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360" windowWidth="19875" windowHeight="7455"/>
  </bookViews>
  <sheets>
    <sheet name="Ischemia_singlenet_25percent_ou" sheetId="1" r:id="rId1"/>
    <sheet name="DV-IDENTITY-0" sheetId="2" state="veryHidden" r:id="rId2"/>
  </sheets>
  <calcPr calcId="0"/>
</workbook>
</file>

<file path=xl/calcChain.xml><?xml version="1.0" encoding="utf-8"?>
<calcChain xmlns="http://schemas.openxmlformats.org/spreadsheetml/2006/main">
  <c r="A27" i="2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</calcChain>
</file>

<file path=xl/sharedStrings.xml><?xml version="1.0" encoding="utf-8"?>
<sst xmlns="http://schemas.openxmlformats.org/spreadsheetml/2006/main" count="4536" uniqueCount="2272">
  <si>
    <t>LUC7L2</t>
  </si>
  <si>
    <t>SSPN</t>
  </si>
  <si>
    <t>LSM2</t>
  </si>
  <si>
    <t>RNF17</t>
  </si>
  <si>
    <t>CYTH2</t>
  </si>
  <si>
    <t>RNF10</t>
  </si>
  <si>
    <t>HIVEP2</t>
  </si>
  <si>
    <t>NCBP2</t>
  </si>
  <si>
    <t>SLC2A1</t>
  </si>
  <si>
    <t>ZFP322A</t>
  </si>
  <si>
    <t>REM1</t>
  </si>
  <si>
    <t>ARFRP1</t>
  </si>
  <si>
    <t>IKZF5</t>
  </si>
  <si>
    <t>LIFR</t>
  </si>
  <si>
    <t>DGKA</t>
  </si>
  <si>
    <t>PDCD10</t>
  </si>
  <si>
    <t>ASS1</t>
  </si>
  <si>
    <t>CRKL</t>
  </si>
  <si>
    <t>TGFB1I1</t>
  </si>
  <si>
    <t>GPR180</t>
  </si>
  <si>
    <t>TRIM35</t>
  </si>
  <si>
    <t>PTPLA</t>
  </si>
  <si>
    <t>FLAD1</t>
  </si>
  <si>
    <t>ZC3H13</t>
  </si>
  <si>
    <t>3110057O12RIK</t>
  </si>
  <si>
    <t>SPTLC2</t>
  </si>
  <si>
    <t>ZSWIM1</t>
  </si>
  <si>
    <t>SRR</t>
  </si>
  <si>
    <t>ABCD1</t>
  </si>
  <si>
    <t>DHX30</t>
  </si>
  <si>
    <t>IRX4</t>
  </si>
  <si>
    <t>SCLY</t>
  </si>
  <si>
    <t>KCNJ3</t>
  </si>
  <si>
    <t>MARK2</t>
  </si>
  <si>
    <t>TCOF1</t>
  </si>
  <si>
    <t>NRAP</t>
  </si>
  <si>
    <t>SIRPA</t>
  </si>
  <si>
    <t>RAD17</t>
  </si>
  <si>
    <t>XPC</t>
  </si>
  <si>
    <t>CDIPT</t>
  </si>
  <si>
    <t>PPP2R2D</t>
  </si>
  <si>
    <t>SPPL3</t>
  </si>
  <si>
    <t>NSG2</t>
  </si>
  <si>
    <t>SFRP1</t>
  </si>
  <si>
    <t>RAB40C</t>
  </si>
  <si>
    <t>HIPK3</t>
  </si>
  <si>
    <t>NME6</t>
  </si>
  <si>
    <t>4933411K20RIK</t>
  </si>
  <si>
    <t>EDNRA</t>
  </si>
  <si>
    <t>TRAPPC3</t>
  </si>
  <si>
    <t>SUMF1</t>
  </si>
  <si>
    <t>MAZ</t>
  </si>
  <si>
    <t>METAP2</t>
  </si>
  <si>
    <t>TRAPPC5</t>
  </si>
  <si>
    <t>TRAPPC4</t>
  </si>
  <si>
    <t>PHKG2</t>
  </si>
  <si>
    <t>MPHOSPH10</t>
  </si>
  <si>
    <t>ANP32E</t>
  </si>
  <si>
    <t>CTBP2</t>
  </si>
  <si>
    <t>MAL</t>
  </si>
  <si>
    <t>ITGA9</t>
  </si>
  <si>
    <t>UGCG</t>
  </si>
  <si>
    <t>FXYD5</t>
  </si>
  <si>
    <t>CKMT1</t>
  </si>
  <si>
    <t>ATP2A3</t>
  </si>
  <si>
    <t>3110009E18RIK</t>
  </si>
  <si>
    <t>UBAC1</t>
  </si>
  <si>
    <t>ITGA5</t>
  </si>
  <si>
    <t>BTG2</t>
  </si>
  <si>
    <t>RIT1</t>
  </si>
  <si>
    <t>ATL2</t>
  </si>
  <si>
    <t>POLE3</t>
  </si>
  <si>
    <t>MGST3</t>
  </si>
  <si>
    <t>MGST1</t>
  </si>
  <si>
    <t>PHLDA1</t>
  </si>
  <si>
    <t>MITF</t>
  </si>
  <si>
    <t>PHLDA3</t>
  </si>
  <si>
    <t>CALCRL</t>
  </si>
  <si>
    <t>XPO1</t>
  </si>
  <si>
    <t>4930471M23RIK</t>
  </si>
  <si>
    <t>XPO5</t>
  </si>
  <si>
    <t>TTR</t>
  </si>
  <si>
    <t>1200009I06RIK</t>
  </si>
  <si>
    <t>TROVE2</t>
  </si>
  <si>
    <t>FBXL12</t>
  </si>
  <si>
    <t>ZFP36L1</t>
  </si>
  <si>
    <t>TTN</t>
  </si>
  <si>
    <t>WSB2</t>
  </si>
  <si>
    <t>PSMG3</t>
  </si>
  <si>
    <t>FBXL19</t>
  </si>
  <si>
    <t>2810026P18RIK</t>
  </si>
  <si>
    <t>LCN2</t>
  </si>
  <si>
    <t>H13</t>
  </si>
  <si>
    <t>ABHD14A</t>
  </si>
  <si>
    <t>GCAP14</t>
  </si>
  <si>
    <t>COL4A2</t>
  </si>
  <si>
    <t>COL4A1</t>
  </si>
  <si>
    <t>DNTTIP2</t>
  </si>
  <si>
    <t>ANAPC1</t>
  </si>
  <si>
    <t>A930001N09RIK</t>
  </si>
  <si>
    <t>ATAD1</t>
  </si>
  <si>
    <t>TOP1</t>
  </si>
  <si>
    <t>PPTC7</t>
  </si>
  <si>
    <t>ZFP646</t>
  </si>
  <si>
    <t>TCIRG1</t>
  </si>
  <si>
    <t>HDGFL1</t>
  </si>
  <si>
    <t>SIGIRR</t>
  </si>
  <si>
    <t>MAN1A2</t>
  </si>
  <si>
    <t>SERBP1</t>
  </si>
  <si>
    <t>FAM134B</t>
  </si>
  <si>
    <t>NUP133</t>
  </si>
  <si>
    <t>PRNP</t>
  </si>
  <si>
    <t>LTBP1</t>
  </si>
  <si>
    <t>SMAD6</t>
  </si>
  <si>
    <t>HDAC5</t>
  </si>
  <si>
    <t>VAPB</t>
  </si>
  <si>
    <t>AFTPH</t>
  </si>
  <si>
    <t>ERLEC1</t>
  </si>
  <si>
    <t>NDUFAF4</t>
  </si>
  <si>
    <t>AMMECR1L</t>
  </si>
  <si>
    <t>MTIF2</t>
  </si>
  <si>
    <t>FKTN</t>
  </si>
  <si>
    <t>SYPL</t>
  </si>
  <si>
    <t>MCM3AP</t>
  </si>
  <si>
    <t>PELI1</t>
  </si>
  <si>
    <t>ARF3</t>
  </si>
  <si>
    <t>SLC36A1</t>
  </si>
  <si>
    <t>PLSCR3</t>
  </si>
  <si>
    <t>FAHD1</t>
  </si>
  <si>
    <t>KIF1B</t>
  </si>
  <si>
    <t>ATE1</t>
  </si>
  <si>
    <t>PRDX6</t>
  </si>
  <si>
    <t>ZC3H15</t>
  </si>
  <si>
    <t>D930014E17RIK</t>
  </si>
  <si>
    <t>NAPB</t>
  </si>
  <si>
    <t>MRPL52</t>
  </si>
  <si>
    <t>GLTP</t>
  </si>
  <si>
    <t>ZFP39</t>
  </si>
  <si>
    <t>ENOPH1</t>
  </si>
  <si>
    <t>CABYR</t>
  </si>
  <si>
    <t>SH2B1</t>
  </si>
  <si>
    <t>MTDH</t>
  </si>
  <si>
    <t>FDX1</t>
  </si>
  <si>
    <t>PQLC3</t>
  </si>
  <si>
    <t>PQLC2</t>
  </si>
  <si>
    <t>PQLC1</t>
  </si>
  <si>
    <t>2510039O18RIK</t>
  </si>
  <si>
    <t>FAM20B</t>
  </si>
  <si>
    <t>CCDC115</t>
  </si>
  <si>
    <t>DCAKD</t>
  </si>
  <si>
    <t>ABCA8A</t>
  </si>
  <si>
    <t>FAM176B</t>
  </si>
  <si>
    <t>KDM5A</t>
  </si>
  <si>
    <t>CDC40</t>
  </si>
  <si>
    <t>MET</t>
  </si>
  <si>
    <t>CUEDC2</t>
  </si>
  <si>
    <t>PEX11C</t>
  </si>
  <si>
    <t>RBBP5</t>
  </si>
  <si>
    <t>ZFP830</t>
  </si>
  <si>
    <t>PEX11A</t>
  </si>
  <si>
    <t>ACRV1</t>
  </si>
  <si>
    <t>0610007P14RIK</t>
  </si>
  <si>
    <t>BIN1</t>
  </si>
  <si>
    <t>VIPAR</t>
  </si>
  <si>
    <t>IFT80</t>
  </si>
  <si>
    <t>WDR45L</t>
  </si>
  <si>
    <t>CLIP1</t>
  </si>
  <si>
    <t>ICK</t>
  </si>
  <si>
    <t>SLIT1</t>
  </si>
  <si>
    <t>SP1</t>
  </si>
  <si>
    <t>HOMER1</t>
  </si>
  <si>
    <t>FIP1L1</t>
  </si>
  <si>
    <t>HOMER3</t>
  </si>
  <si>
    <t>CD48</t>
  </si>
  <si>
    <t>CD44</t>
  </si>
  <si>
    <t>CD47</t>
  </si>
  <si>
    <t>LMAN1</t>
  </si>
  <si>
    <t>ATG4B</t>
  </si>
  <si>
    <t>ATG4D</t>
  </si>
  <si>
    <t>RAB20</t>
  </si>
  <si>
    <t>EIF4E2</t>
  </si>
  <si>
    <t>THAP7</t>
  </si>
  <si>
    <t>DZIP1L</t>
  </si>
  <si>
    <t>RALB</t>
  </si>
  <si>
    <t>FAR1</t>
  </si>
  <si>
    <t>OBP1A</t>
  </si>
  <si>
    <t>PNN</t>
  </si>
  <si>
    <t>CHID1</t>
  </si>
  <si>
    <t>TRIM11</t>
  </si>
  <si>
    <t>RPN1</t>
  </si>
  <si>
    <t>AHCTF1</t>
  </si>
  <si>
    <t>TSPAN8</t>
  </si>
  <si>
    <t>NQO2</t>
  </si>
  <si>
    <t>SPRED1</t>
  </si>
  <si>
    <t>CCRL2</t>
  </si>
  <si>
    <t>CHI3L3</t>
  </si>
  <si>
    <t>RCBTB2</t>
  </si>
  <si>
    <t>CHI3L1</t>
  </si>
  <si>
    <t>ASB2</t>
  </si>
  <si>
    <t>ASB1</t>
  </si>
  <si>
    <t>TMEM126B</t>
  </si>
  <si>
    <t>SIX5</t>
  </si>
  <si>
    <t>SIX6</t>
  </si>
  <si>
    <t>VOPP1</t>
  </si>
  <si>
    <t>PLEKHH3</t>
  </si>
  <si>
    <t>ATP5SL</t>
  </si>
  <si>
    <t>ZFP68</t>
  </si>
  <si>
    <t>ZFP62</t>
  </si>
  <si>
    <t>MRPL34</t>
  </si>
  <si>
    <t>DPY30</t>
  </si>
  <si>
    <t>RGS3</t>
  </si>
  <si>
    <t>CYP4B1</t>
  </si>
  <si>
    <t>ARAP3</t>
  </si>
  <si>
    <t>ZFP87</t>
  </si>
  <si>
    <t>DYRK1A</t>
  </si>
  <si>
    <t>TBL3</t>
  </si>
  <si>
    <t>ARRDC2</t>
  </si>
  <si>
    <t>EYA4</t>
  </si>
  <si>
    <t>MTX1</t>
  </si>
  <si>
    <t>DBI</t>
  </si>
  <si>
    <t>RFX5</t>
  </si>
  <si>
    <t>RABGAP1L</t>
  </si>
  <si>
    <t>ELK3</t>
  </si>
  <si>
    <t>FAM48A</t>
  </si>
  <si>
    <t>KTELC1</t>
  </si>
  <si>
    <t>STXBP5</t>
  </si>
  <si>
    <t>TMEM179B</t>
  </si>
  <si>
    <t>WHSC2</t>
  </si>
  <si>
    <t>TMEM43</t>
  </si>
  <si>
    <t>TMEM42</t>
  </si>
  <si>
    <t>NUP88</t>
  </si>
  <si>
    <t>HIF1A</t>
  </si>
  <si>
    <t>FOXP1</t>
  </si>
  <si>
    <t>ADNP</t>
  </si>
  <si>
    <t>FOXP4</t>
  </si>
  <si>
    <t>COPS3</t>
  </si>
  <si>
    <t>GGCT</t>
  </si>
  <si>
    <t>YTHDF3</t>
  </si>
  <si>
    <t>MED1</t>
  </si>
  <si>
    <t>MED7</t>
  </si>
  <si>
    <t>MED8</t>
  </si>
  <si>
    <t>ZFP346</t>
  </si>
  <si>
    <t>MED9</t>
  </si>
  <si>
    <t>PIGF</t>
  </si>
  <si>
    <t>SUB1</t>
  </si>
  <si>
    <t>TREX1</t>
  </si>
  <si>
    <t>H2-Q10</t>
  </si>
  <si>
    <t>ITIH4</t>
  </si>
  <si>
    <t>CBX1</t>
  </si>
  <si>
    <t>ANGPTL3</t>
  </si>
  <si>
    <t>TNS1</t>
  </si>
  <si>
    <t>NPAS1</t>
  </si>
  <si>
    <t>FAM135A</t>
  </si>
  <si>
    <t>IGF1</t>
  </si>
  <si>
    <t>DPYSL3</t>
  </si>
  <si>
    <t>FKBP10</t>
  </si>
  <si>
    <t>TCF3</t>
  </si>
  <si>
    <t>ARID2</t>
  </si>
  <si>
    <t>ANKRD23</t>
  </si>
  <si>
    <t>NUDT4</t>
  </si>
  <si>
    <t>NUDT5</t>
  </si>
  <si>
    <t>NUDT6</t>
  </si>
  <si>
    <t>NUDT7</t>
  </si>
  <si>
    <t>IGFBP3</t>
  </si>
  <si>
    <t>IGFBP6</t>
  </si>
  <si>
    <t>IGFBP7</t>
  </si>
  <si>
    <t>IGFBP4</t>
  </si>
  <si>
    <t>IGFBP5</t>
  </si>
  <si>
    <t>CKLF</t>
  </si>
  <si>
    <t>D17WSU104E</t>
  </si>
  <si>
    <t>ABTB1</t>
  </si>
  <si>
    <t>CYP27A1</t>
  </si>
  <si>
    <t>TRIM8</t>
  </si>
  <si>
    <t>PFN2</t>
  </si>
  <si>
    <t>CREM</t>
  </si>
  <si>
    <t>GAS1</t>
  </si>
  <si>
    <t>TMEM219</t>
  </si>
  <si>
    <t>TRIM2</t>
  </si>
  <si>
    <t>FBXL20</t>
  </si>
  <si>
    <t>COX15</t>
  </si>
  <si>
    <t>PDGFRB</t>
  </si>
  <si>
    <t>TMC6</t>
  </si>
  <si>
    <t>APIP</t>
  </si>
  <si>
    <t>AMPD3</t>
  </si>
  <si>
    <t>AA960436</t>
  </si>
  <si>
    <t>TXNIP</t>
  </si>
  <si>
    <t>LRRC3B</t>
  </si>
  <si>
    <t>IFT140</t>
  </si>
  <si>
    <t>DICER1</t>
  </si>
  <si>
    <t>ECD</t>
  </si>
  <si>
    <t>TMEM14C</t>
  </si>
  <si>
    <t>SLC22A13</t>
  </si>
  <si>
    <t>TPM3</t>
  </si>
  <si>
    <t>TPM1</t>
  </si>
  <si>
    <t>FBXW8</t>
  </si>
  <si>
    <t>DSTYK</t>
  </si>
  <si>
    <t>THYN1</t>
  </si>
  <si>
    <t>FBXW7</t>
  </si>
  <si>
    <t>TGFBR3</t>
  </si>
  <si>
    <t>CASP6</t>
  </si>
  <si>
    <t>CLIC4</t>
  </si>
  <si>
    <t>CLIC5</t>
  </si>
  <si>
    <t>CLIC1</t>
  </si>
  <si>
    <t>SAMD10</t>
  </si>
  <si>
    <t>YKT6</t>
  </si>
  <si>
    <t>TMEM144</t>
  </si>
  <si>
    <t>DDX19B</t>
  </si>
  <si>
    <t>2310003C23RIK</t>
  </si>
  <si>
    <t>PPAT</t>
  </si>
  <si>
    <t>ISY1</t>
  </si>
  <si>
    <t>ZFP629</t>
  </si>
  <si>
    <t>KTN1</t>
  </si>
  <si>
    <t>TCEB3</t>
  </si>
  <si>
    <t>PRDX2</t>
  </si>
  <si>
    <t>NFIA</t>
  </si>
  <si>
    <t>AGRN</t>
  </si>
  <si>
    <t>ZMAT3</t>
  </si>
  <si>
    <t>NR1D1</t>
  </si>
  <si>
    <t>SMARCA4</t>
  </si>
  <si>
    <t>OTUB2</t>
  </si>
  <si>
    <t>AXIN2</t>
  </si>
  <si>
    <t>1110004E09RIK</t>
  </si>
  <si>
    <t>FYN</t>
  </si>
  <si>
    <t>GPR172B</t>
  </si>
  <si>
    <t>5430407P10RIK</t>
  </si>
  <si>
    <t>TOR1A</t>
  </si>
  <si>
    <t>1810035L17RIK</t>
  </si>
  <si>
    <t>NAGLU</t>
  </si>
  <si>
    <t>PDK4</t>
  </si>
  <si>
    <t>ST3GAL2</t>
  </si>
  <si>
    <t>RAC2</t>
  </si>
  <si>
    <t>ST3GAL6</t>
  </si>
  <si>
    <t>RUFY1</t>
  </si>
  <si>
    <t>NINJ1</t>
  </si>
  <si>
    <t>FCGR2B</t>
  </si>
  <si>
    <t>ROD1</t>
  </si>
  <si>
    <t>LILRB4</t>
  </si>
  <si>
    <t>CYTH3</t>
  </si>
  <si>
    <t>PBX2</t>
  </si>
  <si>
    <t>DPH5</t>
  </si>
  <si>
    <t>DCAF6</t>
  </si>
  <si>
    <t>CANT1</t>
  </si>
  <si>
    <t>BCKDHA</t>
  </si>
  <si>
    <t>QK</t>
  </si>
  <si>
    <t>AZIN1</t>
  </si>
  <si>
    <t>TIMM44</t>
  </si>
  <si>
    <t>TUFM</t>
  </si>
  <si>
    <t>JMJD6</t>
  </si>
  <si>
    <t>ZFR</t>
  </si>
  <si>
    <t>ZFP759</t>
  </si>
  <si>
    <t>POLR3K</t>
  </si>
  <si>
    <t>WDR20A</t>
  </si>
  <si>
    <t>TTC30B</t>
  </si>
  <si>
    <t>DNMT1</t>
  </si>
  <si>
    <t>PSD3</t>
  </si>
  <si>
    <t>SRPX2</t>
  </si>
  <si>
    <t>2310061C15RIK</t>
  </si>
  <si>
    <t>EIF4ENIF1</t>
  </si>
  <si>
    <t>CUL5</t>
  </si>
  <si>
    <t>WDR61</t>
  </si>
  <si>
    <t>WSB1</t>
  </si>
  <si>
    <t>FLCN</t>
  </si>
  <si>
    <t>5730494N06RIK</t>
  </si>
  <si>
    <t>TRIM28</t>
  </si>
  <si>
    <t>TRIM24</t>
  </si>
  <si>
    <t>SLC25A1</t>
  </si>
  <si>
    <t>TRIM27</t>
  </si>
  <si>
    <t>PRMT7</t>
  </si>
  <si>
    <t>SLC25A5</t>
  </si>
  <si>
    <t>ATP1A1</t>
  </si>
  <si>
    <t>PRMT5</t>
  </si>
  <si>
    <t>PNKD</t>
  </si>
  <si>
    <t>BRD8</t>
  </si>
  <si>
    <t>SFRS12IP1</t>
  </si>
  <si>
    <t>MTPAP</t>
  </si>
  <si>
    <t>2310079N02RIK</t>
  </si>
  <si>
    <t>SLC15A4</t>
  </si>
  <si>
    <t>RBM43</t>
  </si>
  <si>
    <t>ORMDL1</t>
  </si>
  <si>
    <t>SC5D</t>
  </si>
  <si>
    <t>PTPN12</t>
  </si>
  <si>
    <t>KIF5B</t>
  </si>
  <si>
    <t>PUF60</t>
  </si>
  <si>
    <t>F2R</t>
  </si>
  <si>
    <t>PIH1D1</t>
  </si>
  <si>
    <t>PPDPF</t>
  </si>
  <si>
    <t>STX5A</t>
  </si>
  <si>
    <t>CD3E</t>
  </si>
  <si>
    <t>RASSF8</t>
  </si>
  <si>
    <t>1700034H14RIK</t>
  </si>
  <si>
    <t>CSF2RA</t>
  </si>
  <si>
    <t>MRPL21</t>
  </si>
  <si>
    <t>MRPL20</t>
  </si>
  <si>
    <t>SEH1L</t>
  </si>
  <si>
    <t>DNAJC24</t>
  </si>
  <si>
    <t>MRPL28</t>
  </si>
  <si>
    <t>KAT2A</t>
  </si>
  <si>
    <t>GAB1</t>
  </si>
  <si>
    <t>SLC31A1</t>
  </si>
  <si>
    <t>STOML1</t>
  </si>
  <si>
    <t>IFNGR1</t>
  </si>
  <si>
    <t>ZFP628</t>
  </si>
  <si>
    <t>CD200</t>
  </si>
  <si>
    <t>NDRG1</t>
  </si>
  <si>
    <t>NDRG3</t>
  </si>
  <si>
    <t>ZFP622</t>
  </si>
  <si>
    <t>SRSF5</t>
  </si>
  <si>
    <t>SRSF7</t>
  </si>
  <si>
    <t>SRSF6</t>
  </si>
  <si>
    <t>SRSF1</t>
  </si>
  <si>
    <t>PPM1B</t>
  </si>
  <si>
    <t>PPM1A</t>
  </si>
  <si>
    <t>SRSF2</t>
  </si>
  <si>
    <t>PPM1M</t>
  </si>
  <si>
    <t>ZFP36</t>
  </si>
  <si>
    <t>PPARGC1B</t>
  </si>
  <si>
    <t>ZYX</t>
  </si>
  <si>
    <t>CX3CL1</t>
  </si>
  <si>
    <t>NSMCE1</t>
  </si>
  <si>
    <t>UPF3B</t>
  </si>
  <si>
    <t>PRKAB1</t>
  </si>
  <si>
    <t>TSHZ1</t>
  </si>
  <si>
    <t>CDK11B</t>
  </si>
  <si>
    <t>RPUSD4</t>
  </si>
  <si>
    <t>MRPL2</t>
  </si>
  <si>
    <t>MRPL1</t>
  </si>
  <si>
    <t>PTPN3</t>
  </si>
  <si>
    <t>GCFC1</t>
  </si>
  <si>
    <t>QDPR</t>
  </si>
  <si>
    <t>PTPN1</t>
  </si>
  <si>
    <t>RG9MTD1</t>
  </si>
  <si>
    <t>BTF3</t>
  </si>
  <si>
    <t>ACAD8</t>
  </si>
  <si>
    <t>CAMKK1</t>
  </si>
  <si>
    <t>ASPRV1</t>
  </si>
  <si>
    <t>BAG2</t>
  </si>
  <si>
    <t>PTDSS2</t>
  </si>
  <si>
    <t>MYO1B</t>
  </si>
  <si>
    <t>MSRB2</t>
  </si>
  <si>
    <t>WIPI1</t>
  </si>
  <si>
    <t>ADAMTS10</t>
  </si>
  <si>
    <t>DHDH</t>
  </si>
  <si>
    <t>LY6G6C</t>
  </si>
  <si>
    <t>UTP11L</t>
  </si>
  <si>
    <t>C9</t>
  </si>
  <si>
    <t>DSG2</t>
  </si>
  <si>
    <t>CPSF3L</t>
  </si>
  <si>
    <t>COL4A3BP</t>
  </si>
  <si>
    <t>TSSK3</t>
  </si>
  <si>
    <t>GALNTL2</t>
  </si>
  <si>
    <t>ZFP148</t>
  </si>
  <si>
    <t>LGALS3</t>
  </si>
  <si>
    <t>LGALS2</t>
  </si>
  <si>
    <t>PDPK1</t>
  </si>
  <si>
    <t>CP</t>
  </si>
  <si>
    <t>SLPI</t>
  </si>
  <si>
    <t>RNF19B</t>
  </si>
  <si>
    <t>MRPS17</t>
  </si>
  <si>
    <t>NUP50</t>
  </si>
  <si>
    <t>MYL12B</t>
  </si>
  <si>
    <t>KCNJ8</t>
  </si>
  <si>
    <t>EIF2AK4</t>
  </si>
  <si>
    <t>1600012H06RIK</t>
  </si>
  <si>
    <t>TAPBP</t>
  </si>
  <si>
    <t>AGPAT5</t>
  </si>
  <si>
    <t>RPRD1B</t>
  </si>
  <si>
    <t>AGPAT3</t>
  </si>
  <si>
    <t>AGPAT1</t>
  </si>
  <si>
    <t>COL1A1</t>
  </si>
  <si>
    <t>UBFD1</t>
  </si>
  <si>
    <t>FAM136A</t>
  </si>
  <si>
    <t>NMI</t>
  </si>
  <si>
    <t>CAMK1D</t>
  </si>
  <si>
    <t>PLAUR</t>
  </si>
  <si>
    <t>SLCO1B2</t>
  </si>
  <si>
    <t>MPDU1</t>
  </si>
  <si>
    <t>LRRC20</t>
  </si>
  <si>
    <t>NIP7</t>
  </si>
  <si>
    <t>C1QTNF1</t>
  </si>
  <si>
    <t>LPGAT1</t>
  </si>
  <si>
    <t>ANGEL2</t>
  </si>
  <si>
    <t>ANGEL1</t>
  </si>
  <si>
    <t>ALDH1A3</t>
  </si>
  <si>
    <t>CDC37L1</t>
  </si>
  <si>
    <t>RAB3IL1</t>
  </si>
  <si>
    <t>GTF2F1</t>
  </si>
  <si>
    <t>SORBS2</t>
  </si>
  <si>
    <t>GCNT3</t>
  </si>
  <si>
    <t>NAP1L1</t>
  </si>
  <si>
    <t>SPAG9</t>
  </si>
  <si>
    <t>CATSPER2</t>
  </si>
  <si>
    <t>PLEKHA2</t>
  </si>
  <si>
    <t>MAPKAP1</t>
  </si>
  <si>
    <t>FAM192A</t>
  </si>
  <si>
    <t>RGS2</t>
  </si>
  <si>
    <t>MED25</t>
  </si>
  <si>
    <t>ATG5</t>
  </si>
  <si>
    <t>MTAP4</t>
  </si>
  <si>
    <t>EYA3</t>
  </si>
  <si>
    <t>SMARCB1</t>
  </si>
  <si>
    <t>GIT2</t>
  </si>
  <si>
    <t>2810416G20RIK</t>
  </si>
  <si>
    <t>PIGK</t>
  </si>
  <si>
    <t>SERTAD2</t>
  </si>
  <si>
    <t>PIGO</t>
  </si>
  <si>
    <t>PIGQ</t>
  </si>
  <si>
    <t>TPCN1</t>
  </si>
  <si>
    <t>PIGY</t>
  </si>
  <si>
    <t>SNAPC3</t>
  </si>
  <si>
    <t>ANKLE2</t>
  </si>
  <si>
    <t>FBXO38</t>
  </si>
  <si>
    <t>RGL1</t>
  </si>
  <si>
    <t>D14ABB1E</t>
  </si>
  <si>
    <t>KANK2</t>
  </si>
  <si>
    <t>KANK3</t>
  </si>
  <si>
    <t>LNPEP</t>
  </si>
  <si>
    <t>COL6A2</t>
  </si>
  <si>
    <t>ALPL</t>
  </si>
  <si>
    <t>RAB6</t>
  </si>
  <si>
    <t>ZFAND5</t>
  </si>
  <si>
    <t>MAFK</t>
  </si>
  <si>
    <t>FBP1</t>
  </si>
  <si>
    <t>PLIN4</t>
  </si>
  <si>
    <t>FAM107B</t>
  </si>
  <si>
    <t>MAFF</t>
  </si>
  <si>
    <t>ARHGEF10</t>
  </si>
  <si>
    <t>ALLC</t>
  </si>
  <si>
    <t>TEX264</t>
  </si>
  <si>
    <t>SLC39A14</t>
  </si>
  <si>
    <t>PPPDE1</t>
  </si>
  <si>
    <t>RBPJ</t>
  </si>
  <si>
    <t>ZFP13</t>
  </si>
  <si>
    <t>HSP90AB1</t>
  </si>
  <si>
    <t>PTP4A1</t>
  </si>
  <si>
    <t>PPP1R16B</t>
  </si>
  <si>
    <t>ZSCAN21</t>
  </si>
  <si>
    <t>MRPS5</t>
  </si>
  <si>
    <t>DNAJC11</t>
  </si>
  <si>
    <t>IFI30</t>
  </si>
  <si>
    <t>MRPS24</t>
  </si>
  <si>
    <t>2610024G14RIK</t>
  </si>
  <si>
    <t>BMP4</t>
  </si>
  <si>
    <t>MYLIP</t>
  </si>
  <si>
    <t>1110005A03RIK</t>
  </si>
  <si>
    <t>UBR2</t>
  </si>
  <si>
    <t>ABHD6</t>
  </si>
  <si>
    <t>ABHD4</t>
  </si>
  <si>
    <t>ABHD5</t>
  </si>
  <si>
    <t>TWF1</t>
  </si>
  <si>
    <t>NKIRAS2</t>
  </si>
  <si>
    <t>NKIRAS1</t>
  </si>
  <si>
    <t>TWF2</t>
  </si>
  <si>
    <t>ACYP1</t>
  </si>
  <si>
    <t>SOCS3</t>
  </si>
  <si>
    <t>EIF4G3</t>
  </si>
  <si>
    <t>EIF4G1</t>
  </si>
  <si>
    <t>SOCS2</t>
  </si>
  <si>
    <t>ACSL5</t>
  </si>
  <si>
    <t>GRB2</t>
  </si>
  <si>
    <t>CHTF8</t>
  </si>
  <si>
    <t>CCNJ</t>
  </si>
  <si>
    <t>VPS72</t>
  </si>
  <si>
    <t>TRIM39</t>
  </si>
  <si>
    <t>RASSF1</t>
  </si>
  <si>
    <t>TRIM32</t>
  </si>
  <si>
    <t>RASSF3</t>
  </si>
  <si>
    <t>TRIM30</t>
  </si>
  <si>
    <t>SORD</t>
  </si>
  <si>
    <t>FEN1</t>
  </si>
  <si>
    <t>TCL1B3</t>
  </si>
  <si>
    <t>ADAM9</t>
  </si>
  <si>
    <t>LUC7L</t>
  </si>
  <si>
    <t>NCKAP1</t>
  </si>
  <si>
    <t>LRRK1</t>
  </si>
  <si>
    <t>D4WSU53E</t>
  </si>
  <si>
    <t>ABHD12</t>
  </si>
  <si>
    <t>NPC2</t>
  </si>
  <si>
    <t>NGRN</t>
  </si>
  <si>
    <t>PSME4</t>
  </si>
  <si>
    <t>IL4RA</t>
  </si>
  <si>
    <t>MRPL18</t>
  </si>
  <si>
    <t>MRPL19</t>
  </si>
  <si>
    <t>UBC</t>
  </si>
  <si>
    <t>BSDC1</t>
  </si>
  <si>
    <t>ZBTB43</t>
  </si>
  <si>
    <t>RHOU</t>
  </si>
  <si>
    <t>ANKRD26</t>
  </si>
  <si>
    <t>ANKRD24</t>
  </si>
  <si>
    <t>TECRL</t>
  </si>
  <si>
    <t>ACO1</t>
  </si>
  <si>
    <t>RHOB</t>
  </si>
  <si>
    <t>ETHE1</t>
  </si>
  <si>
    <t>INHA</t>
  </si>
  <si>
    <t>MPG</t>
  </si>
  <si>
    <t>ABCG2</t>
  </si>
  <si>
    <t>PLSCR2</t>
  </si>
  <si>
    <t>ORC4L</t>
  </si>
  <si>
    <t>LRIG1</t>
  </si>
  <si>
    <t>PLSCR1</t>
  </si>
  <si>
    <t>2610036D13RIK</t>
  </si>
  <si>
    <t>SNCB</t>
  </si>
  <si>
    <t>POLRMT</t>
  </si>
  <si>
    <t>RNF125</t>
  </si>
  <si>
    <t>RNF121</t>
  </si>
  <si>
    <t>IQCF4</t>
  </si>
  <si>
    <t>IQCF3</t>
  </si>
  <si>
    <t>FAM120B</t>
  </si>
  <si>
    <t>BC031353</t>
  </si>
  <si>
    <t>RCOR3</t>
  </si>
  <si>
    <t>NCOR2</t>
  </si>
  <si>
    <t>QRSL1</t>
  </si>
  <si>
    <t>FCER1G</t>
  </si>
  <si>
    <t>TEK</t>
  </si>
  <si>
    <t>CD320</t>
  </si>
  <si>
    <t>FZD4</t>
  </si>
  <si>
    <t>OVGP1</t>
  </si>
  <si>
    <t>FZD6</t>
  </si>
  <si>
    <t>ZFP521</t>
  </si>
  <si>
    <t>ZFP523</t>
  </si>
  <si>
    <t>BRD2</t>
  </si>
  <si>
    <t>ZFP524</t>
  </si>
  <si>
    <t>PLEC</t>
  </si>
  <si>
    <t>TRIM33</t>
  </si>
  <si>
    <t>SALL3</t>
  </si>
  <si>
    <t>NBN</t>
  </si>
  <si>
    <t>GPN1</t>
  </si>
  <si>
    <t>1700021F05RIK</t>
  </si>
  <si>
    <t>HP</t>
  </si>
  <si>
    <t>POLD1</t>
  </si>
  <si>
    <t>APAF1</t>
  </si>
  <si>
    <t>RAP2A</t>
  </si>
  <si>
    <t>GGA3</t>
  </si>
  <si>
    <t>PLCD3</t>
  </si>
  <si>
    <t>PLCD1</t>
  </si>
  <si>
    <t>PHLPP1</t>
  </si>
  <si>
    <t>ADK</t>
  </si>
  <si>
    <t>HIST1H1C</t>
  </si>
  <si>
    <t>ADH1</t>
  </si>
  <si>
    <t>ANKZF1</t>
  </si>
  <si>
    <t>SOS2</t>
  </si>
  <si>
    <t>EMILIN1</t>
  </si>
  <si>
    <t>TACC2</t>
  </si>
  <si>
    <t>JDP2</t>
  </si>
  <si>
    <t>PGM2</t>
  </si>
  <si>
    <t>CMTM2A</t>
  </si>
  <si>
    <t>CTGF</t>
  </si>
  <si>
    <t>PRM1</t>
  </si>
  <si>
    <t>PSMB9</t>
  </si>
  <si>
    <t>PRKACB</t>
  </si>
  <si>
    <t>AKR1C20</t>
  </si>
  <si>
    <t>FAM115A</t>
  </si>
  <si>
    <t>CAB39</t>
  </si>
  <si>
    <t>BC005537</t>
  </si>
  <si>
    <t>NOTCH3</t>
  </si>
  <si>
    <t>P2RX5</t>
  </si>
  <si>
    <t>4732418C07RIK</t>
  </si>
  <si>
    <t>BCL2L12</t>
  </si>
  <si>
    <t>PRPF19</t>
  </si>
  <si>
    <t>ITPA</t>
  </si>
  <si>
    <t>IL1R1</t>
  </si>
  <si>
    <t>ACOT10</t>
  </si>
  <si>
    <t>SSR4</t>
  </si>
  <si>
    <t>SIN3B</t>
  </si>
  <si>
    <t>FAM179A</t>
  </si>
  <si>
    <t>SIN3A</t>
  </si>
  <si>
    <t>TRAF3</t>
  </si>
  <si>
    <t>TRAF7</t>
  </si>
  <si>
    <t>GTF2H2</t>
  </si>
  <si>
    <t>ESD</t>
  </si>
  <si>
    <t>LRRC57</t>
  </si>
  <si>
    <t>TMEM168</t>
  </si>
  <si>
    <t>LRRC58</t>
  </si>
  <si>
    <t>LRRC59</t>
  </si>
  <si>
    <t>COX7A2L</t>
  </si>
  <si>
    <t>DIS3</t>
  </si>
  <si>
    <t>NICN1</t>
  </si>
  <si>
    <t>2210018M11RIK</t>
  </si>
  <si>
    <t>TAB2</t>
  </si>
  <si>
    <t>PMVK</t>
  </si>
  <si>
    <t>1110057K04RIK</t>
  </si>
  <si>
    <t>LMNA</t>
  </si>
  <si>
    <t>KLHDC8A</t>
  </si>
  <si>
    <t>GNA11</t>
  </si>
  <si>
    <t>ATF5</t>
  </si>
  <si>
    <t>ATF4</t>
  </si>
  <si>
    <t>GMPPA</t>
  </si>
  <si>
    <t>SLC4A1AP</t>
  </si>
  <si>
    <t>PPCS</t>
  </si>
  <si>
    <t>TAP1</t>
  </si>
  <si>
    <t>SMARCC1</t>
  </si>
  <si>
    <t>PPAP2B</t>
  </si>
  <si>
    <t>PPAP2A</t>
  </si>
  <si>
    <t>ZCCHC14</t>
  </si>
  <si>
    <t>TMCO3</t>
  </si>
  <si>
    <t>IL6ST</t>
  </si>
  <si>
    <t>SFRS13A</t>
  </si>
  <si>
    <t>MOCS2</t>
  </si>
  <si>
    <t>MOCS1</t>
  </si>
  <si>
    <t>SBF2</t>
  </si>
  <si>
    <t>DBN1</t>
  </si>
  <si>
    <t>SPNB2</t>
  </si>
  <si>
    <t>COMMD9</t>
  </si>
  <si>
    <t>PPP2R4</t>
  </si>
  <si>
    <t>ZFP191</t>
  </si>
  <si>
    <t>SRPK2</t>
  </si>
  <si>
    <t>1600012F09RIK</t>
  </si>
  <si>
    <t>ZMYM3</t>
  </si>
  <si>
    <t>IGF1R</t>
  </si>
  <si>
    <t>CAMK2D</t>
  </si>
  <si>
    <t>CAMK2A</t>
  </si>
  <si>
    <t>SLC45A3</t>
  </si>
  <si>
    <t>STK4</t>
  </si>
  <si>
    <t>IFRD1</t>
  </si>
  <si>
    <t>OSBPL3</t>
  </si>
  <si>
    <t>CXCL12</t>
  </si>
  <si>
    <t>AKAP1</t>
  </si>
  <si>
    <t>UCKL1</t>
  </si>
  <si>
    <t>AKAP8</t>
  </si>
  <si>
    <t>AKAP9</t>
  </si>
  <si>
    <t>SNRNP27</t>
  </si>
  <si>
    <t>ARHGAP12</t>
  </si>
  <si>
    <t>NFU1</t>
  </si>
  <si>
    <t>RAPGEF3</t>
  </si>
  <si>
    <t>POLR1C</t>
  </si>
  <si>
    <t>9130401M01RIK</t>
  </si>
  <si>
    <t>1810074P20RIK</t>
  </si>
  <si>
    <t>COL3A1</t>
  </si>
  <si>
    <t>CHKA</t>
  </si>
  <si>
    <t>STEAP4</t>
  </si>
  <si>
    <t>WDR45</t>
  </si>
  <si>
    <t>CCND2</t>
  </si>
  <si>
    <t>AHSA1</t>
  </si>
  <si>
    <t>JAK2</t>
  </si>
  <si>
    <t>ZFP869</t>
  </si>
  <si>
    <t>NR1H2</t>
  </si>
  <si>
    <t>NR1H3</t>
  </si>
  <si>
    <t>1300014I06RIK</t>
  </si>
  <si>
    <t>HOXB8</t>
  </si>
  <si>
    <t>CXXC5</t>
  </si>
  <si>
    <t>DST</t>
  </si>
  <si>
    <t>UCK2</t>
  </si>
  <si>
    <t>CUX1</t>
  </si>
  <si>
    <t>RNF41</t>
  </si>
  <si>
    <t>PPARA</t>
  </si>
  <si>
    <t>BRF2</t>
  </si>
  <si>
    <t>ING1</t>
  </si>
  <si>
    <t>GSTO2</t>
  </si>
  <si>
    <t>RHOJ</t>
  </si>
  <si>
    <t>DNAJC4</t>
  </si>
  <si>
    <t>DNAJC1</t>
  </si>
  <si>
    <t>KPTN</t>
  </si>
  <si>
    <t>GOSR1</t>
  </si>
  <si>
    <t>ACP6</t>
  </si>
  <si>
    <t>0610009B22RIK</t>
  </si>
  <si>
    <t>ACP1</t>
  </si>
  <si>
    <t>RALBP1</t>
  </si>
  <si>
    <t>1600014C10RIK</t>
  </si>
  <si>
    <t>MAP3K7</t>
  </si>
  <si>
    <t>FOXJ2</t>
  </si>
  <si>
    <t>MKRN1</t>
  </si>
  <si>
    <t>RORA</t>
  </si>
  <si>
    <t>ANKRD32</t>
  </si>
  <si>
    <t>RBM3</t>
  </si>
  <si>
    <t>NT5C3L</t>
  </si>
  <si>
    <t>NCOA1</t>
  </si>
  <si>
    <t>NCOA6</t>
  </si>
  <si>
    <t>TMEM18</t>
  </si>
  <si>
    <t>CISH</t>
  </si>
  <si>
    <t>1110067D22RIK</t>
  </si>
  <si>
    <t>PRDM16</t>
  </si>
  <si>
    <t>CLCN5</t>
  </si>
  <si>
    <t>FXC1</t>
  </si>
  <si>
    <t>ST7L</t>
  </si>
  <si>
    <t>FYCO1</t>
  </si>
  <si>
    <t>GLYAT</t>
  </si>
  <si>
    <t>CAPZA2</t>
  </si>
  <si>
    <t>IL2RG</t>
  </si>
  <si>
    <t>AK3</t>
  </si>
  <si>
    <t>PRRC1</t>
  </si>
  <si>
    <t>LMO2</t>
  </si>
  <si>
    <t>TLK2</t>
  </si>
  <si>
    <t>GEMIN4</t>
  </si>
  <si>
    <t>PBRM1</t>
  </si>
  <si>
    <t>CDK5RAP2</t>
  </si>
  <si>
    <t>SARS</t>
  </si>
  <si>
    <t>CTTN</t>
  </si>
  <si>
    <t>WDR82</t>
  </si>
  <si>
    <t>ZWINT</t>
  </si>
  <si>
    <t>WDR83</t>
  </si>
  <si>
    <t>WRNIP1</t>
  </si>
  <si>
    <t>TPP2</t>
  </si>
  <si>
    <t>ERG</t>
  </si>
  <si>
    <t>CBLL1</t>
  </si>
  <si>
    <t>EPS8</t>
  </si>
  <si>
    <t>AFAP1</t>
  </si>
  <si>
    <t>LARS2</t>
  </si>
  <si>
    <t>ERAL1</t>
  </si>
  <si>
    <t>EIF2S2</t>
  </si>
  <si>
    <t>DDX17</t>
  </si>
  <si>
    <t>LPIN2</t>
  </si>
  <si>
    <t>SLC37A4</t>
  </si>
  <si>
    <t>TOB2</t>
  </si>
  <si>
    <t>GJB1</t>
  </si>
  <si>
    <t>SULF2</t>
  </si>
  <si>
    <t>KLF7</t>
  </si>
  <si>
    <t>KLF6</t>
  </si>
  <si>
    <t>KLF4</t>
  </si>
  <si>
    <t>KLF2</t>
  </si>
  <si>
    <t>EXTL1</t>
  </si>
  <si>
    <t>N4BP1</t>
  </si>
  <si>
    <t>CTSB</t>
  </si>
  <si>
    <t>HEATR6</t>
  </si>
  <si>
    <t>HEATR3</t>
  </si>
  <si>
    <t>AIFM2</t>
  </si>
  <si>
    <t>FCGR3</t>
  </si>
  <si>
    <t>FCER2A</t>
  </si>
  <si>
    <t>LACTB2</t>
  </si>
  <si>
    <t>FAM108A</t>
  </si>
  <si>
    <t>BTRC</t>
  </si>
  <si>
    <t>NUP35</t>
  </si>
  <si>
    <t>NUP37</t>
  </si>
  <si>
    <t>RND1</t>
  </si>
  <si>
    <t>4930503B20RIK</t>
  </si>
  <si>
    <t>FRYL</t>
  </si>
  <si>
    <t>RPL12</t>
  </si>
  <si>
    <t>2810055F11RIK</t>
  </si>
  <si>
    <t>SFTPC</t>
  </si>
  <si>
    <t>LRRC42</t>
  </si>
  <si>
    <t>2410075B13RIK</t>
  </si>
  <si>
    <t>UBXN11</t>
  </si>
  <si>
    <t>GNL2</t>
  </si>
  <si>
    <t>TMEM100</t>
  </si>
  <si>
    <t>2310003L22RIK</t>
  </si>
  <si>
    <t>AW209491</t>
  </si>
  <si>
    <t>FNDC5</t>
  </si>
  <si>
    <t>DHRS1</t>
  </si>
  <si>
    <t>4833420G17RIK</t>
  </si>
  <si>
    <t>TEX22</t>
  </si>
  <si>
    <t>PWWP2A</t>
  </si>
  <si>
    <t>MKKS</t>
  </si>
  <si>
    <t>DYRK1B</t>
  </si>
  <si>
    <t>CCNL1</t>
  </si>
  <si>
    <t>CDKN2C</t>
  </si>
  <si>
    <t>STAMBP</t>
  </si>
  <si>
    <t>DAAM1</t>
  </si>
  <si>
    <t>SMARCAL1</t>
  </si>
  <si>
    <t>IMPA2</t>
  </si>
  <si>
    <t>BAZ1B</t>
  </si>
  <si>
    <t>EDEM3</t>
  </si>
  <si>
    <t>PEA15A</t>
  </si>
  <si>
    <t>PTTG1IP</t>
  </si>
  <si>
    <t>MTCH2</t>
  </si>
  <si>
    <t>PTGES2</t>
  </si>
  <si>
    <t>SLC2A3</t>
  </si>
  <si>
    <t>0610010K14RIK</t>
  </si>
  <si>
    <t>UBTD1</t>
  </si>
  <si>
    <t>TIAL1</t>
  </si>
  <si>
    <t>MESDC2</t>
  </si>
  <si>
    <t>OLFR156</t>
  </si>
  <si>
    <t>BC018507</t>
  </si>
  <si>
    <t>1700010B08RIK</t>
  </si>
  <si>
    <t>CCL9</t>
  </si>
  <si>
    <t>NCSTN</t>
  </si>
  <si>
    <t>LRG1</t>
  </si>
  <si>
    <t>SCHIP1</t>
  </si>
  <si>
    <t>BCKDK</t>
  </si>
  <si>
    <t>EXOSC1</t>
  </si>
  <si>
    <t>GFER</t>
  </si>
  <si>
    <t>CYB561</t>
  </si>
  <si>
    <t>HPGD</t>
  </si>
  <si>
    <t>CEACAM1</t>
  </si>
  <si>
    <t>RRBP1</t>
  </si>
  <si>
    <t>ENG</t>
  </si>
  <si>
    <t>GTF2IRD1</t>
  </si>
  <si>
    <t>CPLX1</t>
  </si>
  <si>
    <t>RALY</t>
  </si>
  <si>
    <t>RAB7L1</t>
  </si>
  <si>
    <t>SNAP47</t>
  </si>
  <si>
    <t>ATP6V0A2</t>
  </si>
  <si>
    <t>GPR97</t>
  </si>
  <si>
    <t>ALKBH7</t>
  </si>
  <si>
    <t>TOR2A</t>
  </si>
  <si>
    <t>RALA</t>
  </si>
  <si>
    <t>4930432K09RIK</t>
  </si>
  <si>
    <t>TNIP2</t>
  </si>
  <si>
    <t>SCYL3</t>
  </si>
  <si>
    <t>TTBK2</t>
  </si>
  <si>
    <t>SMPD1</t>
  </si>
  <si>
    <t>FLT1</t>
  </si>
  <si>
    <t>HEMK1</t>
  </si>
  <si>
    <t>DNAJB9</t>
  </si>
  <si>
    <t>PVR</t>
  </si>
  <si>
    <t>S1PR1</t>
  </si>
  <si>
    <t>NOC2L</t>
  </si>
  <si>
    <t>VKORC1</t>
  </si>
  <si>
    <t>DNAJB6</t>
  </si>
  <si>
    <t>CAR4</t>
  </si>
  <si>
    <t>HSPA12A</t>
  </si>
  <si>
    <t>TTC28</t>
  </si>
  <si>
    <t>HNRNPAB</t>
  </si>
  <si>
    <t>H1F0</t>
  </si>
  <si>
    <t>FRK</t>
  </si>
  <si>
    <t>HNRNPA3</t>
  </si>
  <si>
    <t>NFKB1</t>
  </si>
  <si>
    <t>FRY</t>
  </si>
  <si>
    <t>TAOK1</t>
  </si>
  <si>
    <t>CNOT6L</t>
  </si>
  <si>
    <t>SKIV2L2</t>
  </si>
  <si>
    <t>TFIP11</t>
  </si>
  <si>
    <t>XIRP1</t>
  </si>
  <si>
    <t>SERPINA1A</t>
  </si>
  <si>
    <t>CDK5</t>
  </si>
  <si>
    <t>CDK7</t>
  </si>
  <si>
    <t>CDK8</t>
  </si>
  <si>
    <t>LPAR1</t>
  </si>
  <si>
    <t>RNF145</t>
  </si>
  <si>
    <t>RNF146</t>
  </si>
  <si>
    <t>AMOTL1</t>
  </si>
  <si>
    <t>PTK2</t>
  </si>
  <si>
    <t>PHB2</t>
  </si>
  <si>
    <t>SF3B3</t>
  </si>
  <si>
    <t>5730403B10RIK</t>
  </si>
  <si>
    <t>LIMS1</t>
  </si>
  <si>
    <t>SORBS1</t>
  </si>
  <si>
    <t>SORBS3</t>
  </si>
  <si>
    <t>PRKX</t>
  </si>
  <si>
    <t>SEMA6B</t>
  </si>
  <si>
    <t>H2-K1</t>
  </si>
  <si>
    <t>SCARA5</t>
  </si>
  <si>
    <t>DDHD1</t>
  </si>
  <si>
    <t>SUN1</t>
  </si>
  <si>
    <t>DNAJC17</t>
  </si>
  <si>
    <t>DNAJC14</t>
  </si>
  <si>
    <t>NARFL</t>
  </si>
  <si>
    <t>RAB14</t>
  </si>
  <si>
    <t>MTX2</t>
  </si>
  <si>
    <t>FEM1C</t>
  </si>
  <si>
    <t>PACSIN3</t>
  </si>
  <si>
    <t>DNAJC19</t>
  </si>
  <si>
    <t>ENDOG</t>
  </si>
  <si>
    <t>MS4A6C</t>
  </si>
  <si>
    <t>SLC9A3R2</t>
  </si>
  <si>
    <t>MS4A6B</t>
  </si>
  <si>
    <t>POT1A</t>
  </si>
  <si>
    <t>UCP3</t>
  </si>
  <si>
    <t>MDP1</t>
  </si>
  <si>
    <t>ALPPL2</t>
  </si>
  <si>
    <t>SEC11A</t>
  </si>
  <si>
    <t>DDX21</t>
  </si>
  <si>
    <t>DDX27</t>
  </si>
  <si>
    <t>PMF1</t>
  </si>
  <si>
    <t>PFKFB3</t>
  </si>
  <si>
    <t>NRIP1</t>
  </si>
  <si>
    <t>RAB31</t>
  </si>
  <si>
    <t>MGL2</t>
  </si>
  <si>
    <t>VTI1A</t>
  </si>
  <si>
    <t>TWISTNB</t>
  </si>
  <si>
    <t>1110059E24RIK</t>
  </si>
  <si>
    <t>FBXO18</t>
  </si>
  <si>
    <t>ADD3</t>
  </si>
  <si>
    <t>ACTG1</t>
  </si>
  <si>
    <t>ADD1</t>
  </si>
  <si>
    <t>RAB3IP</t>
  </si>
  <si>
    <t>WDR8</t>
  </si>
  <si>
    <t>ATF7IP</t>
  </si>
  <si>
    <t>PPIL3</t>
  </si>
  <si>
    <t>PPIL4</t>
  </si>
  <si>
    <t>2310046A06RIK</t>
  </si>
  <si>
    <t>BRI3BP</t>
  </si>
  <si>
    <t>MNAT1</t>
  </si>
  <si>
    <t>LTBR</t>
  </si>
  <si>
    <t>PPP1R7</t>
  </si>
  <si>
    <t>BCLAF1</t>
  </si>
  <si>
    <t>MAP3K4</t>
  </si>
  <si>
    <t>MAP3K5</t>
  </si>
  <si>
    <t>CPNE3</t>
  </si>
  <si>
    <t>LUC7L3</t>
  </si>
  <si>
    <t>FMO2</t>
  </si>
  <si>
    <t>FMO1</t>
  </si>
  <si>
    <t>CCDC71</t>
  </si>
  <si>
    <t>SERHL</t>
  </si>
  <si>
    <t>SETD8</t>
  </si>
  <si>
    <t>CHERP</t>
  </si>
  <si>
    <t>OMA1</t>
  </si>
  <si>
    <t>TMEM101</t>
  </si>
  <si>
    <t>ZFP768</t>
  </si>
  <si>
    <t>P4HA2</t>
  </si>
  <si>
    <t>NME3</t>
  </si>
  <si>
    <t>SYP</t>
  </si>
  <si>
    <t>AMMECR1</t>
  </si>
  <si>
    <t>PRRX1</t>
  </si>
  <si>
    <t>SPEG</t>
  </si>
  <si>
    <t>METT10D</t>
  </si>
  <si>
    <t>FBLN2</t>
  </si>
  <si>
    <t>FBLIM1</t>
  </si>
  <si>
    <t>PIAS2</t>
  </si>
  <si>
    <t>NT5M</t>
  </si>
  <si>
    <t>PDE4DIP</t>
  </si>
  <si>
    <t>NT5C</t>
  </si>
  <si>
    <t>NT5E</t>
  </si>
  <si>
    <t>AFF1</t>
  </si>
  <si>
    <t>PNPLA2</t>
  </si>
  <si>
    <t>NPPB</t>
  </si>
  <si>
    <t>PIAS4</t>
  </si>
  <si>
    <t>UNC5B</t>
  </si>
  <si>
    <t>KATNAL1</t>
  </si>
  <si>
    <t>UBA7</t>
  </si>
  <si>
    <t>FRMD5</t>
  </si>
  <si>
    <t>FRMD6</t>
  </si>
  <si>
    <t>PHF23</t>
  </si>
  <si>
    <t>UBE2I</t>
  </si>
  <si>
    <t>UBE2H</t>
  </si>
  <si>
    <t>GNAQ</t>
  </si>
  <si>
    <t>MED13L</t>
  </si>
  <si>
    <t>MOGS</t>
  </si>
  <si>
    <t>PTCD1</t>
  </si>
  <si>
    <t>HLTF</t>
  </si>
  <si>
    <t>UBE2W</t>
  </si>
  <si>
    <t>TOP3B</t>
  </si>
  <si>
    <t>RPS15A</t>
  </si>
  <si>
    <t>GNG11</t>
  </si>
  <si>
    <t>TRP53INP1</t>
  </si>
  <si>
    <t>CEND1</t>
  </si>
  <si>
    <t>PHTF2</t>
  </si>
  <si>
    <t>VPS41</t>
  </si>
  <si>
    <t>PDE3A</t>
  </si>
  <si>
    <t>RAB22A</t>
  </si>
  <si>
    <t>NMNAT1</t>
  </si>
  <si>
    <t>MORF4L1</t>
  </si>
  <si>
    <t>PPCDC</t>
  </si>
  <si>
    <t>2510006D16RIK</t>
  </si>
  <si>
    <t>ACSS1</t>
  </si>
  <si>
    <t>FAM162A</t>
  </si>
  <si>
    <t>GSTM6</t>
  </si>
  <si>
    <t>PPP1R15A</t>
  </si>
  <si>
    <t>PALLD</t>
  </si>
  <si>
    <t>FIS1</t>
  </si>
  <si>
    <t>STX18</t>
  </si>
  <si>
    <t>IFITM3</t>
  </si>
  <si>
    <t>CUTA</t>
  </si>
  <si>
    <t>EIF6</t>
  </si>
  <si>
    <t>MOSPD1</t>
  </si>
  <si>
    <t>AEBP2</t>
  </si>
  <si>
    <t>RB1CC1</t>
  </si>
  <si>
    <t>2810021J22RIK</t>
  </si>
  <si>
    <t>ANKRD10</t>
  </si>
  <si>
    <t>RCHY1</t>
  </si>
  <si>
    <t>EBAG9</t>
  </si>
  <si>
    <t>FBXO9</t>
  </si>
  <si>
    <t>CBR3</t>
  </si>
  <si>
    <t>TLN1</t>
  </si>
  <si>
    <t>NT5C3</t>
  </si>
  <si>
    <t>D3ERTD751E</t>
  </si>
  <si>
    <t>SLC44A1</t>
  </si>
  <si>
    <t>ANXA3</t>
  </si>
  <si>
    <t>ZBTB7A</t>
  </si>
  <si>
    <t>TPST1</t>
  </si>
  <si>
    <t>ZG16</t>
  </si>
  <si>
    <t>COQ10B</t>
  </si>
  <si>
    <t>SIDT2</t>
  </si>
  <si>
    <t>PCNX</t>
  </si>
  <si>
    <t>SQSTM1</t>
  </si>
  <si>
    <t>SAMHD1</t>
  </si>
  <si>
    <t>6330406I15RIK</t>
  </si>
  <si>
    <t>EPC1</t>
  </si>
  <si>
    <t>POGZ</t>
  </si>
  <si>
    <t>HSPB11</t>
  </si>
  <si>
    <t>HIAT1</t>
  </si>
  <si>
    <t>NDUFS4</t>
  </si>
  <si>
    <t>COQ5</t>
  </si>
  <si>
    <t>COQ3</t>
  </si>
  <si>
    <t>SP100</t>
  </si>
  <si>
    <t>FAM198B</t>
  </si>
  <si>
    <t>TIMP3</t>
  </si>
  <si>
    <t>TIMP2</t>
  </si>
  <si>
    <t>ZRANB2</t>
  </si>
  <si>
    <t>ELOF1</t>
  </si>
  <si>
    <t>4932438H23RIK</t>
  </si>
  <si>
    <t>LAMB1-1</t>
  </si>
  <si>
    <t>NHLRC2</t>
  </si>
  <si>
    <t>PAFAH1B1</t>
  </si>
  <si>
    <t>DGCR2</t>
  </si>
  <si>
    <t>DSC2</t>
  </si>
  <si>
    <t>MKNK2</t>
  </si>
  <si>
    <t>COX8A</t>
  </si>
  <si>
    <t>RNF19A</t>
  </si>
  <si>
    <t>MPEG1</t>
  </si>
  <si>
    <t>DDX3Y</t>
  </si>
  <si>
    <t>VWA1</t>
  </si>
  <si>
    <t>NACC2</t>
  </si>
  <si>
    <t>BAMBI</t>
  </si>
  <si>
    <t>KCNN2</t>
  </si>
  <si>
    <t>6430548M08RIK</t>
  </si>
  <si>
    <t>IP6K2</t>
  </si>
  <si>
    <t>PKIA</t>
  </si>
  <si>
    <t>ZADH2</t>
  </si>
  <si>
    <t>FBXL6</t>
  </si>
  <si>
    <t>INADL</t>
  </si>
  <si>
    <t>RNF6</t>
  </si>
  <si>
    <t>RNF5</t>
  </si>
  <si>
    <t>SLC19A2</t>
  </si>
  <si>
    <t>NIT1</t>
  </si>
  <si>
    <t>STMN3</t>
  </si>
  <si>
    <t>NFKBIB</t>
  </si>
  <si>
    <t>TYSND1</t>
  </si>
  <si>
    <t>ASB15</t>
  </si>
  <si>
    <t>PABPN1</t>
  </si>
  <si>
    <t>NRXN1</t>
  </si>
  <si>
    <t>SPRR1B</t>
  </si>
  <si>
    <t>NGLY1</t>
  </si>
  <si>
    <t>ABCB1A</t>
  </si>
  <si>
    <t>NMD3</t>
  </si>
  <si>
    <t>UBE3A</t>
  </si>
  <si>
    <t>SLC35A4</t>
  </si>
  <si>
    <t>SLC35A5</t>
  </si>
  <si>
    <t>SLC35A3</t>
  </si>
  <si>
    <t>UBXN4</t>
  </si>
  <si>
    <t>6720475J19RIK</t>
  </si>
  <si>
    <t>MYD88</t>
  </si>
  <si>
    <t>TOP2B</t>
  </si>
  <si>
    <t>1700016H13RIK</t>
  </si>
  <si>
    <t>ITSN1</t>
  </si>
  <si>
    <t>ISCA2</t>
  </si>
  <si>
    <t>TRF</t>
  </si>
  <si>
    <t>ABCB10</t>
  </si>
  <si>
    <t>SART1</t>
  </si>
  <si>
    <t>SBK1</t>
  </si>
  <si>
    <t>MRPL49</t>
  </si>
  <si>
    <t>FGF1</t>
  </si>
  <si>
    <t>SLC25A46</t>
  </si>
  <si>
    <t>CDC26</t>
  </si>
  <si>
    <t>D230025D16RIK</t>
  </si>
  <si>
    <t>SAMD8</t>
  </si>
  <si>
    <t>SDC4</t>
  </si>
  <si>
    <t>RBPMS</t>
  </si>
  <si>
    <t>4921524J17RIK</t>
  </si>
  <si>
    <t>BAIAP2</t>
  </si>
  <si>
    <t>IPO5</t>
  </si>
  <si>
    <t>ACTR2</t>
  </si>
  <si>
    <t>CD82</t>
  </si>
  <si>
    <t>SMCHD1</t>
  </si>
  <si>
    <t>CARS2</t>
  </si>
  <si>
    <t>TNPO3</t>
  </si>
  <si>
    <t>NAA20</t>
  </si>
  <si>
    <t>CNKSR3</t>
  </si>
  <si>
    <t>NAGK</t>
  </si>
  <si>
    <t>SYVN1</t>
  </si>
  <si>
    <t>CBARA1</t>
  </si>
  <si>
    <t>MAPK7</t>
  </si>
  <si>
    <t>MAPK9</t>
  </si>
  <si>
    <t>PGPEP1</t>
  </si>
  <si>
    <t>DUSP3</t>
  </si>
  <si>
    <t>GABPB1</t>
  </si>
  <si>
    <t>ICAM1</t>
  </si>
  <si>
    <t>LRRC8C</t>
  </si>
  <si>
    <t>TOMM70A</t>
  </si>
  <si>
    <t>TGS1</t>
  </si>
  <si>
    <t>1700021K19RIK</t>
  </si>
  <si>
    <t>METTL1</t>
  </si>
  <si>
    <t>MTF2</t>
  </si>
  <si>
    <t>GLB1</t>
  </si>
  <si>
    <t>PITPNM1</t>
  </si>
  <si>
    <t>TBC1D15</t>
  </si>
  <si>
    <t>KCTD1</t>
  </si>
  <si>
    <t>SERPINA3M</t>
  </si>
  <si>
    <t>SERPINA3N</t>
  </si>
  <si>
    <t>NUMA1</t>
  </si>
  <si>
    <t>SERPINA3C</t>
  </si>
  <si>
    <t>GPR56</t>
  </si>
  <si>
    <t>IDH3A</t>
  </si>
  <si>
    <t>IDH3B</t>
  </si>
  <si>
    <t>HAGH</t>
  </si>
  <si>
    <t>ZC3HC1</t>
  </si>
  <si>
    <t>PLOD1</t>
  </si>
  <si>
    <t>PDZD11</t>
  </si>
  <si>
    <t>SFRS14</t>
  </si>
  <si>
    <t>PYCARD</t>
  </si>
  <si>
    <t>RPS27L</t>
  </si>
  <si>
    <t>SFRS12</t>
  </si>
  <si>
    <t>TMEM106B</t>
  </si>
  <si>
    <t>CNP</t>
  </si>
  <si>
    <t>MPHOSPH8</t>
  </si>
  <si>
    <t>PTGIS</t>
  </si>
  <si>
    <t>USP12</t>
  </si>
  <si>
    <t>USP16</t>
  </si>
  <si>
    <t>SSBP3</t>
  </si>
  <si>
    <t>MOV10L1</t>
  </si>
  <si>
    <t>BCL10</t>
  </si>
  <si>
    <t>PLAA</t>
  </si>
  <si>
    <t>RNF167</t>
  </si>
  <si>
    <t>GATAD1</t>
  </si>
  <si>
    <t>HSPA14</t>
  </si>
  <si>
    <t>RNF168</t>
  </si>
  <si>
    <t>TBC1D10B</t>
  </si>
  <si>
    <t>UCP2</t>
  </si>
  <si>
    <t>NEDD4L</t>
  </si>
  <si>
    <t>BRAF</t>
  </si>
  <si>
    <t>RIC8</t>
  </si>
  <si>
    <t>MEN1</t>
  </si>
  <si>
    <t>JPH2</t>
  </si>
  <si>
    <t>HIPK2</t>
  </si>
  <si>
    <t>HIPK1</t>
  </si>
  <si>
    <t>P4HA1</t>
  </si>
  <si>
    <t>DDX54</t>
  </si>
  <si>
    <t>ANP32A</t>
  </si>
  <si>
    <t>UQCC</t>
  </si>
  <si>
    <t>ZFP259</t>
  </si>
  <si>
    <t>NCAN</t>
  </si>
  <si>
    <t>TAZ</t>
  </si>
  <si>
    <t>MRPL51</t>
  </si>
  <si>
    <t>NAPA</t>
  </si>
  <si>
    <t>VEZF1</t>
  </si>
  <si>
    <t>ARHGEF12</t>
  </si>
  <si>
    <t>ARHGEF18</t>
  </si>
  <si>
    <t>CPD</t>
  </si>
  <si>
    <t>FXR1</t>
  </si>
  <si>
    <t>FKBP4</t>
  </si>
  <si>
    <t>SKP1A</t>
  </si>
  <si>
    <t>GTL3</t>
  </si>
  <si>
    <t>PTEN</t>
  </si>
  <si>
    <t>ANGPTL4</t>
  </si>
  <si>
    <t>RHBDD2</t>
  </si>
  <si>
    <t>KLC4</t>
  </si>
  <si>
    <t>GMCL1</t>
  </si>
  <si>
    <t>CTCF</t>
  </si>
  <si>
    <t>ACTA2</t>
  </si>
  <si>
    <t>MMP15</t>
  </si>
  <si>
    <t>FBXW11</t>
  </si>
  <si>
    <t>CDKN1C</t>
  </si>
  <si>
    <t>UBE2D3</t>
  </si>
  <si>
    <t>UBE2D1</t>
  </si>
  <si>
    <t>MLL1</t>
  </si>
  <si>
    <t>EDNRB</t>
  </si>
  <si>
    <t>FARSA</t>
  </si>
  <si>
    <t>OVCA2</t>
  </si>
  <si>
    <t>PPP1R15B</t>
  </si>
  <si>
    <t>BC011248</t>
  </si>
  <si>
    <t>GDF15</t>
  </si>
  <si>
    <t>TSPYL4</t>
  </si>
  <si>
    <t>FOXJ3</t>
  </si>
  <si>
    <t>CCDC56</t>
  </si>
  <si>
    <t>CCDC59</t>
  </si>
  <si>
    <t>TMEM129</t>
  </si>
  <si>
    <t>KCNQ1</t>
  </si>
  <si>
    <t>VEGFA</t>
  </si>
  <si>
    <t>GLO1</t>
  </si>
  <si>
    <t>WDR33</t>
  </si>
  <si>
    <t>SLC39A3</t>
  </si>
  <si>
    <t>BNIP1</t>
  </si>
  <si>
    <t>BNIP3</t>
  </si>
  <si>
    <t>LHX6</t>
  </si>
  <si>
    <t>D1BWG0212E</t>
  </si>
  <si>
    <t>CABP1</t>
  </si>
  <si>
    <t>FBXO30</t>
  </si>
  <si>
    <t>FBXO31</t>
  </si>
  <si>
    <t>1700020C11RIK</t>
  </si>
  <si>
    <t>ATXN7</t>
  </si>
  <si>
    <t>NAB1</t>
  </si>
  <si>
    <t>NAB2</t>
  </si>
  <si>
    <t>SAT1</t>
  </si>
  <si>
    <t>SNX14</t>
  </si>
  <si>
    <t>OTUD1</t>
  </si>
  <si>
    <t>SPSB1</t>
  </si>
  <si>
    <t>APBB3</t>
  </si>
  <si>
    <t>HTRA3</t>
  </si>
  <si>
    <t>SCLT1</t>
  </si>
  <si>
    <t>SDPR</t>
  </si>
  <si>
    <t>2610034B18RIK</t>
  </si>
  <si>
    <t>NEDD1</t>
  </si>
  <si>
    <t>SYNE1</t>
  </si>
  <si>
    <t>4632428N05RIK</t>
  </si>
  <si>
    <t>SMC4</t>
  </si>
  <si>
    <t>SMC6</t>
  </si>
  <si>
    <t>ALAS1</t>
  </si>
  <si>
    <t>S100A9</t>
  </si>
  <si>
    <t>S100A8</t>
  </si>
  <si>
    <t>S100A5</t>
  </si>
  <si>
    <t>S100A4</t>
  </si>
  <si>
    <t>LIMK1</t>
  </si>
  <si>
    <t>WWC2</t>
  </si>
  <si>
    <t>ROM1</t>
  </si>
  <si>
    <t>ALG14</t>
  </si>
  <si>
    <t>RIOK2</t>
  </si>
  <si>
    <t>RIOK3</t>
  </si>
  <si>
    <t>1500011H22RIK</t>
  </si>
  <si>
    <t>NAA38</t>
  </si>
  <si>
    <t>ABT1</t>
  </si>
  <si>
    <t>FITM2</t>
  </si>
  <si>
    <t>1110008P14RIK</t>
  </si>
  <si>
    <t>RBM6</t>
  </si>
  <si>
    <t>RBM4</t>
  </si>
  <si>
    <t>SLBP</t>
  </si>
  <si>
    <t>B4GALNT1</t>
  </si>
  <si>
    <t>RASGRP2</t>
  </si>
  <si>
    <t>EGFR</t>
  </si>
  <si>
    <t>ALOX5AP</t>
  </si>
  <si>
    <t>AP1S2</t>
  </si>
  <si>
    <t>NOC4L</t>
  </si>
  <si>
    <t>WDR89</t>
  </si>
  <si>
    <t>ACER2</t>
  </si>
  <si>
    <t>MEF2C</t>
  </si>
  <si>
    <t>PFN1</t>
  </si>
  <si>
    <t>ATP13A2</t>
  </si>
  <si>
    <t>ESYT1</t>
  </si>
  <si>
    <t>IMPDH2</t>
  </si>
  <si>
    <t>PELO</t>
  </si>
  <si>
    <t>KLF13</t>
  </si>
  <si>
    <t>BMI1</t>
  </si>
  <si>
    <t>IL33</t>
  </si>
  <si>
    <t>PLEKHO2</t>
  </si>
  <si>
    <t>PLEKHO1</t>
  </si>
  <si>
    <t>2610030H06RIK</t>
  </si>
  <si>
    <t>TMEM218</t>
  </si>
  <si>
    <t>IWS1</t>
  </si>
  <si>
    <t>EXOC4</t>
  </si>
  <si>
    <t>OGT</t>
  </si>
  <si>
    <t>ARMCX2</t>
  </si>
  <si>
    <t>ANK3</t>
  </si>
  <si>
    <t>MON2</t>
  </si>
  <si>
    <t>BZW1</t>
  </si>
  <si>
    <t>FUT8</t>
  </si>
  <si>
    <t>TUSC2</t>
  </si>
  <si>
    <t>ZFP644</t>
  </si>
  <si>
    <t>SF1</t>
  </si>
  <si>
    <t>TNRC6B</t>
  </si>
  <si>
    <t>DAB2</t>
  </si>
  <si>
    <t>SNHG11</t>
  </si>
  <si>
    <t>FBLN5</t>
  </si>
  <si>
    <t>ARHGEF6</t>
  </si>
  <si>
    <t>COX6A1</t>
  </si>
  <si>
    <t>SYNJ2BP</t>
  </si>
  <si>
    <t>ARHGEF3</t>
  </si>
  <si>
    <t>1700001L19RIK</t>
  </si>
  <si>
    <t>IFITM2</t>
  </si>
  <si>
    <t>IFITM1</t>
  </si>
  <si>
    <t>LIPE</t>
  </si>
  <si>
    <t>BRP44</t>
  </si>
  <si>
    <t>SCD2</t>
  </si>
  <si>
    <t>RAMP1</t>
  </si>
  <si>
    <t>HAGHL</t>
  </si>
  <si>
    <t>CENPA</t>
  </si>
  <si>
    <t>LDB3</t>
  </si>
  <si>
    <t>PEX11B</t>
  </si>
  <si>
    <t>NSD1</t>
  </si>
  <si>
    <t>PALM</t>
  </si>
  <si>
    <t>TERF2IP</t>
  </si>
  <si>
    <t>CENPV</t>
  </si>
  <si>
    <t>2310035K24RIK</t>
  </si>
  <si>
    <t>PDXDC1</t>
  </si>
  <si>
    <t>SCARB1</t>
  </si>
  <si>
    <t>CSF1</t>
  </si>
  <si>
    <t>PLEKHA5</t>
  </si>
  <si>
    <t>E130308A19RIK</t>
  </si>
  <si>
    <t>PLEKHA1</t>
  </si>
  <si>
    <t>ACTB</t>
  </si>
  <si>
    <t>CTLA2A</t>
  </si>
  <si>
    <t>CTPS</t>
  </si>
  <si>
    <t>LITAF</t>
  </si>
  <si>
    <t>RRAD</t>
  </si>
  <si>
    <t>PROS1</t>
  </si>
  <si>
    <t>SEC62</t>
  </si>
  <si>
    <t>CNTN1</t>
  </si>
  <si>
    <t>ZFP422</t>
  </si>
  <si>
    <t>UNC93B1</t>
  </si>
  <si>
    <t>ZFP428</t>
  </si>
  <si>
    <t>ARHGEF10L</t>
  </si>
  <si>
    <t>NEK7</t>
  </si>
  <si>
    <t>NEK4</t>
  </si>
  <si>
    <t>CABIN1</t>
  </si>
  <si>
    <t>RUVBL2</t>
  </si>
  <si>
    <t>LCE1H</t>
  </si>
  <si>
    <t>CDC42BPA</t>
  </si>
  <si>
    <t>SF3A3</t>
  </si>
  <si>
    <t>COX6C</t>
  </si>
  <si>
    <t>TXNRD1</t>
  </si>
  <si>
    <t>NUP62</t>
  </si>
  <si>
    <t>CCDC9</t>
  </si>
  <si>
    <t>HHATL</t>
  </si>
  <si>
    <t>GLTPD1</t>
  </si>
  <si>
    <t>PLA2G15</t>
  </si>
  <si>
    <t>MGA</t>
  </si>
  <si>
    <t>DCTN5</t>
  </si>
  <si>
    <t>SEMA5B</t>
  </si>
  <si>
    <t>TBP</t>
  </si>
  <si>
    <t>CSNK1E</t>
  </si>
  <si>
    <t>RPL7L1</t>
  </si>
  <si>
    <t>SCN5A</t>
  </si>
  <si>
    <t>IRGM2</t>
  </si>
  <si>
    <t>IRGM1</t>
  </si>
  <si>
    <t>NUDCD2</t>
  </si>
  <si>
    <t>TMEM135</t>
  </si>
  <si>
    <t>CCDC47</t>
  </si>
  <si>
    <t>CCDC46</t>
  </si>
  <si>
    <t>TMEM138</t>
  </si>
  <si>
    <t>CCDC43</t>
  </si>
  <si>
    <t>RNPEP</t>
  </si>
  <si>
    <t>GMNN</t>
  </si>
  <si>
    <t>AS3MT</t>
  </si>
  <si>
    <t>RPL41</t>
  </si>
  <si>
    <t>GM16517</t>
  </si>
  <si>
    <t>FBXO28</t>
  </si>
  <si>
    <t>RANBP3</t>
  </si>
  <si>
    <t>FGD5</t>
  </si>
  <si>
    <t>RALGDS</t>
  </si>
  <si>
    <t>AMBRA1</t>
  </si>
  <si>
    <t>VTN</t>
  </si>
  <si>
    <t>NUDT13</t>
  </si>
  <si>
    <t>TXN1</t>
  </si>
  <si>
    <t>SATB1</t>
  </si>
  <si>
    <t>BCL2L1</t>
  </si>
  <si>
    <t>MXD1</t>
  </si>
  <si>
    <t>PIP5K1B</t>
  </si>
  <si>
    <t>SLC23A1</t>
  </si>
  <si>
    <t>KEAP1</t>
  </si>
  <si>
    <t>SLC23A2</t>
  </si>
  <si>
    <t>SRXN1</t>
  </si>
  <si>
    <t>CRHR2</t>
  </si>
  <si>
    <t>PHF14</t>
  </si>
  <si>
    <t>LAGE3</t>
  </si>
  <si>
    <t>PHF17</t>
  </si>
  <si>
    <t>STAB1</t>
  </si>
  <si>
    <t>2810474O19RIK</t>
  </si>
  <si>
    <t>CDADC1</t>
  </si>
  <si>
    <t>GPR137B</t>
  </si>
  <si>
    <t>HBP1</t>
  </si>
  <si>
    <t>IQGAP1</t>
  </si>
  <si>
    <t>UBN1</t>
  </si>
  <si>
    <t>IMPACT</t>
  </si>
  <si>
    <t>RAVER1</t>
  </si>
  <si>
    <t>NFYC</t>
  </si>
  <si>
    <t>NAA40</t>
  </si>
  <si>
    <t>NOP56</t>
  </si>
  <si>
    <t>ETS1</t>
  </si>
  <si>
    <t>RPE</t>
  </si>
  <si>
    <t>PANK1</t>
  </si>
  <si>
    <t>KRI1</t>
  </si>
  <si>
    <t>ATAD3A</t>
  </si>
  <si>
    <t>MAT2B</t>
  </si>
  <si>
    <t>CDC42EP3</t>
  </si>
  <si>
    <t>CDC42EP1</t>
  </si>
  <si>
    <t>CARD10</t>
  </si>
  <si>
    <t>DUS1L</t>
  </si>
  <si>
    <t>CDC42EP5</t>
  </si>
  <si>
    <t>CASC4</t>
  </si>
  <si>
    <t>TUBA4A</t>
  </si>
  <si>
    <t>PXMP3</t>
  </si>
  <si>
    <t>VAMP3</t>
  </si>
  <si>
    <t>SLC20A1</t>
  </si>
  <si>
    <t>VPS18</t>
  </si>
  <si>
    <t>ABI1</t>
  </si>
  <si>
    <t>CSTF1</t>
  </si>
  <si>
    <t>ROCK1</t>
  </si>
  <si>
    <t>ROCK2</t>
  </si>
  <si>
    <t>BOLA1</t>
  </si>
  <si>
    <t>MMP2</t>
  </si>
  <si>
    <t>PITPNC1</t>
  </si>
  <si>
    <t>GLCCI1</t>
  </si>
  <si>
    <t>NUDT14</t>
  </si>
  <si>
    <t>SLC6A9</t>
  </si>
  <si>
    <t>MUS81</t>
  </si>
  <si>
    <t>FCHO2</t>
  </si>
  <si>
    <t>CHN2</t>
  </si>
  <si>
    <t>CHN1</t>
  </si>
  <si>
    <t>CAPRIN1</t>
  </si>
  <si>
    <t>PLDN</t>
  </si>
  <si>
    <t>SOX17</t>
  </si>
  <si>
    <t>KIF2A</t>
  </si>
  <si>
    <t>CAV3</t>
  </si>
  <si>
    <t>CAV1</t>
  </si>
  <si>
    <t>CREBZF</t>
  </si>
  <si>
    <t>FAM50A</t>
  </si>
  <si>
    <t>SERPINC1</t>
  </si>
  <si>
    <t>TPD52</t>
  </si>
  <si>
    <t>CBFA2T3</t>
  </si>
  <si>
    <t>CBFA2T2</t>
  </si>
  <si>
    <t>AQP7</t>
  </si>
  <si>
    <t>VRK3</t>
  </si>
  <si>
    <t>VRK2</t>
  </si>
  <si>
    <t>ANKRD49</t>
  </si>
  <si>
    <t>WNK4</t>
  </si>
  <si>
    <t>ZFP654</t>
  </si>
  <si>
    <t>NR2C2</t>
  </si>
  <si>
    <t>RFNG</t>
  </si>
  <si>
    <t>ZFP280D</t>
  </si>
  <si>
    <t>RNF185</t>
  </si>
  <si>
    <t>LIMA1</t>
  </si>
  <si>
    <t>ADCY9</t>
  </si>
  <si>
    <t>TCF7L2</t>
  </si>
  <si>
    <t>APOBEC3</t>
  </si>
  <si>
    <t>BMPR2</t>
  </si>
  <si>
    <t>GUCY1B3</t>
  </si>
  <si>
    <t>RNF215</t>
  </si>
  <si>
    <t>RBX1</t>
  </si>
  <si>
    <t>ADORA1</t>
  </si>
  <si>
    <t>MED20</t>
  </si>
  <si>
    <t>ENAH</t>
  </si>
  <si>
    <t>CDYL2</t>
  </si>
  <si>
    <t>TNFRSF12A</t>
  </si>
  <si>
    <t>FAM184A</t>
  </si>
  <si>
    <t>SMURF2</t>
  </si>
  <si>
    <t>JUN</t>
  </si>
  <si>
    <t>MEIS2</t>
  </si>
  <si>
    <t>TRIAP1</t>
  </si>
  <si>
    <t>CYB5R3</t>
  </si>
  <si>
    <t>GDPD1</t>
  </si>
  <si>
    <t>SENP6</t>
  </si>
  <si>
    <t>DYNLT1B</t>
  </si>
  <si>
    <t>GSPT1</t>
  </si>
  <si>
    <t>PLCB3</t>
  </si>
  <si>
    <t>PLCB4</t>
  </si>
  <si>
    <t>EPHB4</t>
  </si>
  <si>
    <t>EPB4.1</t>
  </si>
  <si>
    <t>EPN2</t>
  </si>
  <si>
    <t>DDO</t>
  </si>
  <si>
    <t>DDC</t>
  </si>
  <si>
    <t>GIMAP1</t>
  </si>
  <si>
    <t>GPHN</t>
  </si>
  <si>
    <t>IL13RA1</t>
  </si>
  <si>
    <t>MRPS25</t>
  </si>
  <si>
    <t>MRPS22</t>
  </si>
  <si>
    <t>MRPS23</t>
  </si>
  <si>
    <t>PHF8</t>
  </si>
  <si>
    <t>PPT1</t>
  </si>
  <si>
    <t>2700062C07RIK</t>
  </si>
  <si>
    <t>PHF1</t>
  </si>
  <si>
    <t>MYOM2</t>
  </si>
  <si>
    <t>YY1</t>
  </si>
  <si>
    <t>RPP30</t>
  </si>
  <si>
    <t>ZFP1</t>
  </si>
  <si>
    <t>TBX2</t>
  </si>
  <si>
    <t>FBXO8</t>
  </si>
  <si>
    <t>SH3GL1</t>
  </si>
  <si>
    <t>TMEM38B</t>
  </si>
  <si>
    <t>ZHX1</t>
  </si>
  <si>
    <t>8430406I07RIK</t>
  </si>
  <si>
    <t>GOLGA3</t>
  </si>
  <si>
    <t>2610044O15RIK</t>
  </si>
  <si>
    <t>KDR</t>
  </si>
  <si>
    <t>RPS25</t>
  </si>
  <si>
    <t>CCDC30</t>
  </si>
  <si>
    <t>FOXD3</t>
  </si>
  <si>
    <t>CCDC34</t>
  </si>
  <si>
    <t>APPL1</t>
  </si>
  <si>
    <t>APPL2</t>
  </si>
  <si>
    <t>DBR1</t>
  </si>
  <si>
    <t>ZDHHC7</t>
  </si>
  <si>
    <t>ATL3</t>
  </si>
  <si>
    <t>NFYA</t>
  </si>
  <si>
    <t>GATAD2B</t>
  </si>
  <si>
    <t>TRMT2A</t>
  </si>
  <si>
    <t>GPA33</t>
  </si>
  <si>
    <t>GPSM1</t>
  </si>
  <si>
    <t>NECAP1</t>
  </si>
  <si>
    <t>AIMP2</t>
  </si>
  <si>
    <t>CORO1A</t>
  </si>
  <si>
    <t>MDH1</t>
  </si>
  <si>
    <t>MID2</t>
  </si>
  <si>
    <t>YES1</t>
  </si>
  <si>
    <t>RNASE4</t>
  </si>
  <si>
    <t>DCPS</t>
  </si>
  <si>
    <t>THUMPD3</t>
  </si>
  <si>
    <t>2700078K21RIK</t>
  </si>
  <si>
    <t>CHORDC1</t>
  </si>
  <si>
    <t>SLC22A5</t>
  </si>
  <si>
    <t>FAS</t>
  </si>
  <si>
    <t>FAP</t>
  </si>
  <si>
    <t>FAH</t>
  </si>
  <si>
    <t>SYNJ2</t>
  </si>
  <si>
    <t>YWHAZ</t>
  </si>
  <si>
    <t>MYCT1</t>
  </si>
  <si>
    <t>GTPBP4</t>
  </si>
  <si>
    <t>GTPBP1</t>
  </si>
  <si>
    <t>GTPBP3</t>
  </si>
  <si>
    <t>GTPBP2</t>
  </si>
  <si>
    <t>FLNB</t>
  </si>
  <si>
    <t>SFPI1</t>
  </si>
  <si>
    <t>NOP58</t>
  </si>
  <si>
    <t>MIDN</t>
  </si>
  <si>
    <t>UPP2</t>
  </si>
  <si>
    <t>BPNT1</t>
  </si>
  <si>
    <t>IL15RA</t>
  </si>
  <si>
    <t>PURB</t>
  </si>
  <si>
    <t>FAM18B</t>
  </si>
  <si>
    <t>BCL6</t>
  </si>
  <si>
    <t>OAF</t>
  </si>
  <si>
    <t>MAN2B2</t>
  </si>
  <si>
    <t>KLHL24</t>
  </si>
  <si>
    <t>PLK2</t>
  </si>
  <si>
    <t>CLMN</t>
  </si>
  <si>
    <t>GLRX2</t>
  </si>
  <si>
    <t>CCDC28B</t>
  </si>
  <si>
    <t>NKX2-9</t>
  </si>
  <si>
    <t>LYRM5</t>
  </si>
  <si>
    <t>S100A11</t>
  </si>
  <si>
    <t>S100A10</t>
  </si>
  <si>
    <t>NKX2-5</t>
  </si>
  <si>
    <t>MRC1</t>
  </si>
  <si>
    <t>NOSIP</t>
  </si>
  <si>
    <t>D10ERTD610E</t>
  </si>
  <si>
    <t>GRK5</t>
  </si>
  <si>
    <t>FSTL3</t>
  </si>
  <si>
    <t>5033414D02RIK</t>
  </si>
  <si>
    <t>PDE7A</t>
  </si>
  <si>
    <t>ENTPD5</t>
  </si>
  <si>
    <t>COG8</t>
  </si>
  <si>
    <t>ENTPD1</t>
  </si>
  <si>
    <t>SYKB</t>
  </si>
  <si>
    <t>COG3</t>
  </si>
  <si>
    <t>MTM1</t>
  </si>
  <si>
    <t>OSTF1</t>
  </si>
  <si>
    <t>IGHMBP2</t>
  </si>
  <si>
    <t>RAE1</t>
  </si>
  <si>
    <t>CAB39L</t>
  </si>
  <si>
    <t>FAM76B</t>
  </si>
  <si>
    <t>GSK3B</t>
  </si>
  <si>
    <t>LACE1</t>
  </si>
  <si>
    <t>SNAPIN</t>
  </si>
  <si>
    <t>ELP2</t>
  </si>
  <si>
    <t>ZFP276</t>
  </si>
  <si>
    <t>RBPMS2</t>
  </si>
  <si>
    <t>ROBO4</t>
  </si>
  <si>
    <t>H2AFZ</t>
  </si>
  <si>
    <t>TRIM54</t>
  </si>
  <si>
    <t>VASN</t>
  </si>
  <si>
    <t>KLHDC2</t>
  </si>
  <si>
    <t>KLHDC3</t>
  </si>
  <si>
    <t>UBAP1</t>
  </si>
  <si>
    <t>PLXNB1</t>
  </si>
  <si>
    <t>CDV3</t>
  </si>
  <si>
    <t>PPP1R8</t>
  </si>
  <si>
    <t>GRAMD3</t>
  </si>
  <si>
    <t>GUCY1A3</t>
  </si>
  <si>
    <t>AKT1S1</t>
  </si>
  <si>
    <t>GBA2</t>
  </si>
  <si>
    <t>MYST4</t>
  </si>
  <si>
    <t>PROCR</t>
  </si>
  <si>
    <t>SIRT3</t>
  </si>
  <si>
    <t>ODF2</t>
  </si>
  <si>
    <t>NR4A1</t>
  </si>
  <si>
    <t>SIRT7</t>
  </si>
  <si>
    <t>2300009A05RIK</t>
  </si>
  <si>
    <t>KLHL30</t>
  </si>
  <si>
    <t>G6PDX</t>
  </si>
  <si>
    <t>PAK1IP1</t>
  </si>
  <si>
    <t>SERAC1</t>
  </si>
  <si>
    <t>TRIM44</t>
  </si>
  <si>
    <t>KIF3B</t>
  </si>
  <si>
    <t>KIF3A</t>
  </si>
  <si>
    <t>TBPL1</t>
  </si>
  <si>
    <t>RNF2</t>
  </si>
  <si>
    <t>1110018J18RIK</t>
  </si>
  <si>
    <t>RBM25</t>
  </si>
  <si>
    <t>ESAM</t>
  </si>
  <si>
    <t>NCF1</t>
  </si>
  <si>
    <t>RFWD3</t>
  </si>
  <si>
    <t>ACE</t>
  </si>
  <si>
    <t>FNBP4</t>
  </si>
  <si>
    <t>USP38</t>
  </si>
  <si>
    <t>EPHA4</t>
  </si>
  <si>
    <t>HNRNPH1</t>
  </si>
  <si>
    <t>GNAI3</t>
  </si>
  <si>
    <t>AFAP1L2</t>
  </si>
  <si>
    <t>TBK1</t>
  </si>
  <si>
    <t>ZFP687</t>
  </si>
  <si>
    <t>TBC1D1</t>
  </si>
  <si>
    <t>MRPS33</t>
  </si>
  <si>
    <t>IKBIP</t>
  </si>
  <si>
    <t>TRMT5</t>
  </si>
  <si>
    <t>TRAK2</t>
  </si>
  <si>
    <t>CITED2</t>
  </si>
  <si>
    <t>FGF16</t>
  </si>
  <si>
    <t>PSMG1</t>
  </si>
  <si>
    <t>SEL1L</t>
  </si>
  <si>
    <t>PHF21A</t>
  </si>
  <si>
    <t>TFPI</t>
  </si>
  <si>
    <t>PDSS2</t>
  </si>
  <si>
    <t>PDSS1</t>
  </si>
  <si>
    <t>VCAM1</t>
  </si>
  <si>
    <t>SYNE2</t>
  </si>
  <si>
    <t>LOXL1</t>
  </si>
  <si>
    <t>VAMP4</t>
  </si>
  <si>
    <t>SEMA3F</t>
  </si>
  <si>
    <t>GLUL</t>
  </si>
  <si>
    <t>RNF144B</t>
  </si>
  <si>
    <t>EMP1</t>
  </si>
  <si>
    <t>FAM160B1</t>
  </si>
  <si>
    <t>RAPGEF5</t>
  </si>
  <si>
    <t>CLPX</t>
  </si>
  <si>
    <t>OTC</t>
  </si>
  <si>
    <t>RPS18</t>
  </si>
  <si>
    <t>PCOLCE2</t>
  </si>
  <si>
    <t>RIPK1</t>
  </si>
  <si>
    <t>LATS2</t>
  </si>
  <si>
    <t>LATS1</t>
  </si>
  <si>
    <t>PDCL</t>
  </si>
  <si>
    <t>ZFP238</t>
  </si>
  <si>
    <t>DERA</t>
  </si>
  <si>
    <t>FAM149B</t>
  </si>
  <si>
    <t>BLZF1</t>
  </si>
  <si>
    <t>B3GNT2</t>
  </si>
  <si>
    <t>UBQLN1</t>
  </si>
  <si>
    <t>GCLC</t>
  </si>
  <si>
    <t>LSM10</t>
  </si>
  <si>
    <t>OSMR</t>
  </si>
  <si>
    <t>UBE2G2</t>
  </si>
  <si>
    <t>KCTD20</t>
  </si>
  <si>
    <t>DAPK1</t>
  </si>
  <si>
    <t>DPY19L1</t>
  </si>
  <si>
    <t>NR3C1</t>
  </si>
  <si>
    <t>TFAM</t>
  </si>
  <si>
    <t>PIM1</t>
  </si>
  <si>
    <t>ZFPL1</t>
  </si>
  <si>
    <t>2610029I01RIK</t>
  </si>
  <si>
    <t>RASA1</t>
  </si>
  <si>
    <t>SLC40A1</t>
  </si>
  <si>
    <t>C1QTNF2</t>
  </si>
  <si>
    <t>PRPF38B</t>
  </si>
  <si>
    <t>TMEM39A</t>
  </si>
  <si>
    <t>PTPRG</t>
  </si>
  <si>
    <t>PTPRD</t>
  </si>
  <si>
    <t>PTPRC</t>
  </si>
  <si>
    <t>PTPRB</t>
  </si>
  <si>
    <t>G3BP2</t>
  </si>
  <si>
    <t>FAM101B</t>
  </si>
  <si>
    <t>SFRS18</t>
  </si>
  <si>
    <t>IFT27</t>
  </si>
  <si>
    <t>IFT20</t>
  </si>
  <si>
    <t>LASS5</t>
  </si>
  <si>
    <t>PPAPDC3</t>
  </si>
  <si>
    <t>STK10</t>
  </si>
  <si>
    <t>STK16</t>
  </si>
  <si>
    <t>IFNAR2</t>
  </si>
  <si>
    <t>FKBP5</t>
  </si>
  <si>
    <t>MFAP3</t>
  </si>
  <si>
    <t>GRAMD1B</t>
  </si>
  <si>
    <t>3110001D03RIK</t>
  </si>
  <si>
    <t>SGPL1</t>
  </si>
  <si>
    <t>TYROBP</t>
  </si>
  <si>
    <t>ZFP422-RS1</t>
  </si>
  <si>
    <t>N6AMT2</t>
  </si>
  <si>
    <t>PIK3R2</t>
  </si>
  <si>
    <t>WDR6</t>
  </si>
  <si>
    <t>DYSF</t>
  </si>
  <si>
    <t>MUTED</t>
  </si>
  <si>
    <t>SIVA1</t>
  </si>
  <si>
    <t>ABLIM1</t>
  </si>
  <si>
    <t>SMARCD1</t>
  </si>
  <si>
    <t>GATA2</t>
  </si>
  <si>
    <t>SCARF2</t>
  </si>
  <si>
    <t>SNAP25</t>
  </si>
  <si>
    <t>HNRPDL</t>
  </si>
  <si>
    <t>SNAP23</t>
  </si>
  <si>
    <t>FKBPL</t>
  </si>
  <si>
    <t>GRB10</t>
  </si>
  <si>
    <t>TCF15</t>
  </si>
  <si>
    <t>PRR14</t>
  </si>
  <si>
    <t>HSD17B12</t>
  </si>
  <si>
    <t>HMGN3</t>
  </si>
  <si>
    <t>ACVR1B</t>
  </si>
  <si>
    <t>RPS27A</t>
  </si>
  <si>
    <t>UROS</t>
  </si>
  <si>
    <t>CHL1</t>
  </si>
  <si>
    <t>SOX18</t>
  </si>
  <si>
    <t>PANK3</t>
  </si>
  <si>
    <t>PANK2</t>
  </si>
  <si>
    <t>PANK4</t>
  </si>
  <si>
    <t>CAV2</t>
  </si>
  <si>
    <t>CCT4</t>
  </si>
  <si>
    <t>PAM</t>
  </si>
  <si>
    <t>6330416G13RIK</t>
  </si>
  <si>
    <t>1700109H08RIK</t>
  </si>
  <si>
    <t>PDLIM5</t>
  </si>
  <si>
    <t>PDLIM2</t>
  </si>
  <si>
    <t>ZFP27</t>
  </si>
  <si>
    <t>INSIG2</t>
  </si>
  <si>
    <t>2700097O09RIK</t>
  </si>
  <si>
    <t>CBY1</t>
  </si>
  <si>
    <t>TNK2</t>
  </si>
  <si>
    <t>ZNRF1</t>
  </si>
  <si>
    <t>ERLIN2</t>
  </si>
  <si>
    <t>ZDHHC6</t>
  </si>
  <si>
    <t>SBSN</t>
  </si>
  <si>
    <t>ZC3H6</t>
  </si>
  <si>
    <t>PRDM5</t>
  </si>
  <si>
    <t>WDR37</t>
  </si>
  <si>
    <t>KRT10</t>
  </si>
  <si>
    <t>GPX8</t>
  </si>
  <si>
    <t>TTC39A</t>
  </si>
  <si>
    <t>FLNC</t>
  </si>
  <si>
    <t>EIF4A1</t>
  </si>
  <si>
    <t>KRT19</t>
  </si>
  <si>
    <t>KLHL25</t>
  </si>
  <si>
    <t>TMEM88</t>
  </si>
  <si>
    <t>CYP2J6</t>
  </si>
  <si>
    <t>GIGYF2</t>
  </si>
  <si>
    <t>TMEM82</t>
  </si>
  <si>
    <t>2900092E17RIK</t>
  </si>
  <si>
    <t>NUDT16L1</t>
  </si>
  <si>
    <t>PLP1</t>
  </si>
  <si>
    <t>DCTN6</t>
  </si>
  <si>
    <t>CYHR1</t>
  </si>
  <si>
    <t>DCTN4</t>
  </si>
  <si>
    <t>SERF1</t>
  </si>
  <si>
    <t>RBM12</t>
  </si>
  <si>
    <t>TM9SF1</t>
  </si>
  <si>
    <t>RBM14</t>
  </si>
  <si>
    <t>LIN37</t>
  </si>
  <si>
    <t>RBM18</t>
  </si>
  <si>
    <t>TPRA1</t>
  </si>
  <si>
    <t>2510012J08RIK</t>
  </si>
  <si>
    <t>MBTPS1</t>
  </si>
  <si>
    <t>RXRB</t>
  </si>
  <si>
    <t>FAM96B</t>
  </si>
  <si>
    <t>MXRA7</t>
  </si>
  <si>
    <t>SIGMAR1</t>
  </si>
  <si>
    <t>RNF25</t>
  </si>
  <si>
    <t>MXRA8</t>
  </si>
  <si>
    <t>UBE2V2</t>
  </si>
  <si>
    <t>RNF26</t>
  </si>
  <si>
    <t>MEPCE</t>
  </si>
  <si>
    <t>C1GALT1C1</t>
  </si>
  <si>
    <t>RELL1</t>
  </si>
  <si>
    <t>KRTCAP2</t>
  </si>
  <si>
    <t>ABCA3</t>
  </si>
  <si>
    <t>PSMD9</t>
  </si>
  <si>
    <t>C2CD2L</t>
  </si>
  <si>
    <t>CDH29</t>
  </si>
  <si>
    <t>G6PC</t>
  </si>
  <si>
    <t>EI24</t>
  </si>
  <si>
    <t>CPSF7</t>
  </si>
  <si>
    <t>RTP4</t>
  </si>
  <si>
    <t>SGMS1</t>
  </si>
  <si>
    <t>SEC22B</t>
  </si>
  <si>
    <t>CPSF2</t>
  </si>
  <si>
    <t>EPS15</t>
  </si>
  <si>
    <t>TMEM41A</t>
  </si>
  <si>
    <t>MYBPHL</t>
  </si>
  <si>
    <t>ARPC3</t>
  </si>
  <si>
    <t>LMCD1</t>
  </si>
  <si>
    <t>CLCN3</t>
  </si>
  <si>
    <t>CNOT8</t>
  </si>
  <si>
    <t>CML1</t>
  </si>
  <si>
    <t>APCS</t>
  </si>
  <si>
    <t>HSD17B7</t>
  </si>
  <si>
    <t>FLT3L</t>
  </si>
  <si>
    <t>NOS3</t>
  </si>
  <si>
    <t>CYR61</t>
  </si>
  <si>
    <t>ARIH1</t>
  </si>
  <si>
    <t>RTN4</t>
  </si>
  <si>
    <t>KPNB1</t>
  </si>
  <si>
    <t>RTN2</t>
  </si>
  <si>
    <t>RTN3</t>
  </si>
  <si>
    <t>CREB1</t>
  </si>
  <si>
    <t>ACTR6</t>
  </si>
  <si>
    <t>MCFD2</t>
  </si>
  <si>
    <t>LCP1</t>
  </si>
  <si>
    <t>ZFP207</t>
  </si>
  <si>
    <t>BACE1</t>
  </si>
  <si>
    <t>LRWD1</t>
  </si>
  <si>
    <t>2700078E11RIK</t>
  </si>
  <si>
    <t>IER5</t>
  </si>
  <si>
    <t>IER2</t>
  </si>
  <si>
    <t>IER3</t>
  </si>
  <si>
    <t>KIF13A</t>
  </si>
  <si>
    <t>KIF13B</t>
  </si>
  <si>
    <t>MBD6</t>
  </si>
  <si>
    <t>RPP14</t>
  </si>
  <si>
    <t>MBD3</t>
  </si>
  <si>
    <t>CMTM7</t>
  </si>
  <si>
    <t>PSKH1</t>
  </si>
  <si>
    <t>ORAOV1</t>
  </si>
  <si>
    <t>ZFPM2</t>
  </si>
  <si>
    <t>GNPDA1</t>
  </si>
  <si>
    <t>HPS4</t>
  </si>
  <si>
    <t>IGTP</t>
  </si>
  <si>
    <t>SLC25A19</t>
  </si>
  <si>
    <t>NFE2L2</t>
  </si>
  <si>
    <t>FAM173B</t>
  </si>
  <si>
    <t>SLC12A7</t>
  </si>
  <si>
    <t>NEO1</t>
  </si>
  <si>
    <t>NDUFA11</t>
  </si>
  <si>
    <t>LBH</t>
  </si>
  <si>
    <t>MRVI1</t>
  </si>
  <si>
    <t>EXT2</t>
  </si>
  <si>
    <t>TMUB2</t>
  </si>
  <si>
    <t>UTP14A</t>
  </si>
  <si>
    <t>CNOT2</t>
  </si>
  <si>
    <t>SYNCRIP</t>
  </si>
  <si>
    <t>ZC3H11A</t>
  </si>
  <si>
    <t>EFR3A</t>
  </si>
  <si>
    <t>C1QC</t>
  </si>
  <si>
    <t>FAM164A</t>
  </si>
  <si>
    <t>FAM36A</t>
  </si>
  <si>
    <t>ALDH5A1</t>
  </si>
  <si>
    <t>LEPROTL1</t>
  </si>
  <si>
    <t>YIPF5</t>
  </si>
  <si>
    <t>PTPN11</t>
  </si>
  <si>
    <t>TCTA</t>
  </si>
  <si>
    <t>SNX2</t>
  </si>
  <si>
    <t>CYB5R4</t>
  </si>
  <si>
    <t>FUS</t>
  </si>
  <si>
    <t>SNX5</t>
  </si>
  <si>
    <t>ALG2</t>
  </si>
  <si>
    <t>ALG3</t>
  </si>
  <si>
    <t>ITGB2</t>
  </si>
  <si>
    <t>SLC29A3</t>
  </si>
  <si>
    <t>SMARCE1</t>
  </si>
  <si>
    <t>SLC29A1</t>
  </si>
  <si>
    <t>LRRCC1</t>
  </si>
  <si>
    <t>STAM</t>
  </si>
  <si>
    <t>BTF3L4</t>
  </si>
  <si>
    <t>GLE1</t>
  </si>
  <si>
    <t>CCDC127</t>
  </si>
  <si>
    <t>JKAMP</t>
  </si>
  <si>
    <t>YPEL1</t>
  </si>
  <si>
    <t>TTC14</t>
  </si>
  <si>
    <t>FTSJ2</t>
  </si>
  <si>
    <t>DERL1</t>
  </si>
  <si>
    <t>RAB11B</t>
  </si>
  <si>
    <t>PLXDC2</t>
  </si>
  <si>
    <t>ZFP295</t>
  </si>
  <si>
    <t>DLAT</t>
  </si>
  <si>
    <t>UHRF1BP1L</t>
  </si>
  <si>
    <t>EIF4E</t>
  </si>
  <si>
    <t>AU040320</t>
  </si>
  <si>
    <t>HAT1</t>
  </si>
  <si>
    <t>CD97</t>
  </si>
  <si>
    <t>IRF9</t>
  </si>
  <si>
    <t>CD93</t>
  </si>
  <si>
    <t>DTYMK</t>
  </si>
  <si>
    <t>CLK2</t>
  </si>
  <si>
    <t>CLK4</t>
  </si>
  <si>
    <t>HNRNPR</t>
  </si>
  <si>
    <t>EFNB1</t>
  </si>
  <si>
    <t>CLOCK</t>
  </si>
  <si>
    <t>RFC4</t>
  </si>
  <si>
    <t>ZFHX3</t>
  </si>
  <si>
    <t>FABP4</t>
  </si>
  <si>
    <t>FABP5</t>
  </si>
  <si>
    <t>SH3BP2</t>
  </si>
  <si>
    <t>PGAM1</t>
  </si>
  <si>
    <t>CBX3</t>
  </si>
  <si>
    <t>RPRD1A</t>
  </si>
  <si>
    <t>2410017P07RIK</t>
  </si>
  <si>
    <t>ATXN7L1</t>
  </si>
  <si>
    <t>TTC30A1</t>
  </si>
  <si>
    <t>PNRC2</t>
  </si>
  <si>
    <t>FILIP1</t>
  </si>
  <si>
    <t>DNAJC28</t>
  </si>
  <si>
    <t>WDR26</t>
  </si>
  <si>
    <t>MED21</t>
  </si>
  <si>
    <t>ZFML</t>
  </si>
  <si>
    <t>PEX3</t>
  </si>
  <si>
    <t>RAB13</t>
  </si>
  <si>
    <t>ASL</t>
  </si>
  <si>
    <t>LYSMD3</t>
  </si>
  <si>
    <t>LYSMD2</t>
  </si>
  <si>
    <t>ATP6V0E</t>
  </si>
  <si>
    <t>CDC42SE1</t>
  </si>
  <si>
    <t>GKN2</t>
  </si>
  <si>
    <t>ZFP593</t>
  </si>
  <si>
    <t>GNL1</t>
  </si>
  <si>
    <t>LAMP2</t>
  </si>
  <si>
    <t>ZFP758</t>
  </si>
  <si>
    <t>UNG</t>
  </si>
  <si>
    <t>IL4I1</t>
  </si>
  <si>
    <t>NCK1</t>
  </si>
  <si>
    <t>SNRNP70</t>
  </si>
  <si>
    <t>2610301B20RIK</t>
  </si>
  <si>
    <t>SHOC2</t>
  </si>
  <si>
    <t>HBA-A1</t>
  </si>
  <si>
    <t>SMEK2</t>
  </si>
  <si>
    <t>NRF1</t>
  </si>
  <si>
    <t>IFNGR2</t>
  </si>
  <si>
    <t>USP1</t>
  </si>
  <si>
    <t>USP3</t>
  </si>
  <si>
    <t>SOX9</t>
  </si>
  <si>
    <t>ARHGAP5</t>
  </si>
  <si>
    <t>SC4MOL</t>
  </si>
  <si>
    <t>RAB8A</t>
  </si>
  <si>
    <t>RNF34</t>
  </si>
  <si>
    <t>RNF32</t>
  </si>
  <si>
    <t>SOX4</t>
  </si>
  <si>
    <t>CEBPA</t>
  </si>
  <si>
    <t>UNC119</t>
  </si>
  <si>
    <t>NM_053120</t>
  </si>
  <si>
    <t>SUZ12</t>
  </si>
  <si>
    <t>BICC1</t>
  </si>
  <si>
    <t>MED19</t>
  </si>
  <si>
    <t>ABCB9</t>
  </si>
  <si>
    <t>INTS3</t>
  </si>
  <si>
    <t>INTS6</t>
  </si>
  <si>
    <t>INTS9</t>
  </si>
  <si>
    <t>MFSD5</t>
  </si>
  <si>
    <t>LSM1</t>
  </si>
  <si>
    <t>LSM3</t>
  </si>
  <si>
    <t>MTSS1</t>
  </si>
  <si>
    <t>CIDEB</t>
  </si>
  <si>
    <t>CIDEA</t>
  </si>
  <si>
    <t>BAI1</t>
  </si>
  <si>
    <t>ABCF1</t>
  </si>
  <si>
    <t>NOTCH4</t>
  </si>
  <si>
    <t>ZFP579</t>
  </si>
  <si>
    <t>GOLGB1</t>
  </si>
  <si>
    <t>NCDN</t>
  </si>
  <si>
    <t>USP47</t>
  </si>
  <si>
    <t>CRLF2</t>
  </si>
  <si>
    <t>NISCH</t>
  </si>
  <si>
    <t>PRPF4B</t>
  </si>
  <si>
    <t>PPARGC1A</t>
  </si>
  <si>
    <t>MYL7</t>
  </si>
  <si>
    <t>MYL1</t>
  </si>
  <si>
    <t>SLC30A5</t>
  </si>
  <si>
    <t>SLC30A6</t>
  </si>
  <si>
    <t>DLL1</t>
  </si>
  <si>
    <t>MPP1</t>
  </si>
  <si>
    <t>1110003E01RIK</t>
  </si>
  <si>
    <t>MPP6</t>
  </si>
  <si>
    <t>MPP5</t>
  </si>
  <si>
    <t>TGDS</t>
  </si>
  <si>
    <t>FAM110B</t>
  </si>
  <si>
    <t>MAGI3</t>
  </si>
  <si>
    <t>MAGI1</t>
  </si>
  <si>
    <t>TAGLN3</t>
  </si>
  <si>
    <t>KLHDC10</t>
  </si>
  <si>
    <t>DMTF1</t>
  </si>
  <si>
    <t>DEB1</t>
  </si>
  <si>
    <t>GUSB</t>
  </si>
  <si>
    <t>SPEF1</t>
  </si>
  <si>
    <t>NARS2</t>
  </si>
  <si>
    <t>SLC25A23</t>
  </si>
  <si>
    <t>SLC25A27</t>
  </si>
  <si>
    <t>ZFP101</t>
  </si>
  <si>
    <t>SLC25A25</t>
  </si>
  <si>
    <t>MDM2</t>
  </si>
  <si>
    <t>SLC25A29</t>
  </si>
  <si>
    <t>NARF</t>
  </si>
  <si>
    <t>CNN3</t>
  </si>
  <si>
    <t>SLTM</t>
  </si>
  <si>
    <t>MYLK</t>
  </si>
  <si>
    <t>CHAC2</t>
  </si>
  <si>
    <t>ARAF</t>
  </si>
  <si>
    <t>IFT46</t>
  </si>
  <si>
    <t>KDELC1</t>
  </si>
  <si>
    <t>FAM98A</t>
  </si>
  <si>
    <t>FRS2</t>
  </si>
  <si>
    <t>1700029I01RIK</t>
  </si>
  <si>
    <t>CRK</t>
  </si>
  <si>
    <t>B9D2</t>
  </si>
  <si>
    <t>SDHAF2</t>
  </si>
  <si>
    <t>RTN4IP1</t>
  </si>
  <si>
    <t>B4GALT1</t>
  </si>
  <si>
    <t>B4GALT3</t>
  </si>
  <si>
    <t>PGK2</t>
  </si>
  <si>
    <t>B4GALT4</t>
  </si>
  <si>
    <t>ZFP292</t>
  </si>
  <si>
    <t>TUBB6</t>
  </si>
  <si>
    <t>EIF3J</t>
  </si>
  <si>
    <t>MAN2A1</t>
  </si>
  <si>
    <t>HERC1</t>
  </si>
  <si>
    <t>2810432D09RIK</t>
  </si>
  <si>
    <t>HEMGN</t>
  </si>
  <si>
    <t>CCDC136</t>
  </si>
  <si>
    <t>RARG</t>
  </si>
  <si>
    <t>CCDC132</t>
  </si>
  <si>
    <t>TNFRSF1A</t>
  </si>
  <si>
    <t>GLB1L</t>
  </si>
  <si>
    <t>PHF5A</t>
  </si>
  <si>
    <t>TFDP2</t>
  </si>
  <si>
    <t>TFDP1</t>
  </si>
  <si>
    <t>SYN1</t>
  </si>
  <si>
    <t>OXA1L</t>
  </si>
  <si>
    <t>TINAGL1</t>
  </si>
  <si>
    <t>1700065I17RIK</t>
  </si>
  <si>
    <t>SERPING1</t>
  </si>
  <si>
    <t>RHOT1</t>
  </si>
  <si>
    <t>PTPN2</t>
  </si>
  <si>
    <t>PSTPIP2</t>
  </si>
  <si>
    <t>POFUT2</t>
  </si>
  <si>
    <t>CD9</t>
  </si>
  <si>
    <t>HRAS1</t>
  </si>
  <si>
    <t>EHMT1</t>
  </si>
  <si>
    <t>DRAM2</t>
  </si>
  <si>
    <t>STAT3</t>
  </si>
  <si>
    <t>CD55</t>
  </si>
  <si>
    <t>SNX19</t>
  </si>
  <si>
    <t>HBEGF</t>
  </si>
  <si>
    <t>ICAM2</t>
  </si>
  <si>
    <t>BCL7A</t>
  </si>
  <si>
    <t>1700123O20RIK</t>
  </si>
  <si>
    <t>LY6E</t>
  </si>
  <si>
    <t>ZBED3</t>
  </si>
  <si>
    <t>CRYAB</t>
  </si>
  <si>
    <t>RABIF</t>
  </si>
  <si>
    <t>SGK3</t>
  </si>
  <si>
    <t>GALNT10</t>
  </si>
  <si>
    <t>CDS2</t>
  </si>
  <si>
    <t>ARPC5L</t>
  </si>
  <si>
    <t>ASNS</t>
  </si>
  <si>
    <t>SLC3A2</t>
  </si>
  <si>
    <t>PDE4A</t>
  </si>
  <si>
    <t>GABPA</t>
  </si>
  <si>
    <t>PSCA</t>
  </si>
  <si>
    <t>PEG3</t>
  </si>
  <si>
    <t>CLCC1</t>
  </si>
  <si>
    <t>LMF1</t>
  </si>
  <si>
    <t>MAP4K4</t>
  </si>
  <si>
    <t>TNNT1</t>
  </si>
  <si>
    <t>CYCS</t>
  </si>
  <si>
    <t>MAP2K3</t>
  </si>
  <si>
    <t>BMPR1A</t>
  </si>
  <si>
    <t>MAP2K7</t>
  </si>
  <si>
    <t>AACS</t>
  </si>
  <si>
    <t>BCL9L</t>
  </si>
  <si>
    <t>TSNAX</t>
  </si>
  <si>
    <t>PTPN23</t>
  </si>
  <si>
    <t>PTPN21</t>
  </si>
  <si>
    <t>PLEKHF1</t>
  </si>
  <si>
    <t>MT1</t>
  </si>
  <si>
    <t>BC028528</t>
  </si>
  <si>
    <t>ZFP46</t>
  </si>
  <si>
    <t>ATP5G1</t>
  </si>
  <si>
    <t>MAD2L1BP</t>
  </si>
  <si>
    <t>DGKZ</t>
  </si>
  <si>
    <t>CYP4V3</t>
  </si>
  <si>
    <t>PSMC3IP</t>
  </si>
  <si>
    <t>RHOBTB2</t>
  </si>
  <si>
    <t>TIA1</t>
  </si>
  <si>
    <t>PLOD2</t>
  </si>
  <si>
    <t>2410015M20RIK</t>
  </si>
  <si>
    <t>B230120H23RIK</t>
  </si>
  <si>
    <t>ABCC5</t>
  </si>
  <si>
    <t>E130309D02RIK</t>
  </si>
  <si>
    <t>PPP2R5C</t>
  </si>
  <si>
    <t>1810008A18RIK</t>
  </si>
  <si>
    <t>CKAP5</t>
  </si>
  <si>
    <t>FAM160A2</t>
  </si>
  <si>
    <t>ERBB2IP</t>
  </si>
  <si>
    <t>TMOD3</t>
  </si>
  <si>
    <t>TMOD2</t>
  </si>
  <si>
    <t>RASIP1</t>
  </si>
  <si>
    <t>ZFP369</t>
  </si>
  <si>
    <t>RPS10</t>
  </si>
  <si>
    <t>SPINT2</t>
  </si>
  <si>
    <t>NES</t>
  </si>
  <si>
    <t>IFI204</t>
  </si>
  <si>
    <t>ITSN2</t>
  </si>
  <si>
    <t>IFI203</t>
  </si>
  <si>
    <t>GOLGA1</t>
  </si>
  <si>
    <t>KHK</t>
  </si>
  <si>
    <t>GOLGA7</t>
  </si>
  <si>
    <t>PTBP2</t>
  </si>
  <si>
    <t>PTBP1</t>
  </si>
  <si>
    <t>SLCO3A1</t>
  </si>
  <si>
    <t>EPB4.1L2</t>
  </si>
  <si>
    <t>RSPRY1</t>
  </si>
  <si>
    <t>5730437N04RIK</t>
  </si>
  <si>
    <t>TDP1</t>
  </si>
  <si>
    <t>2410002O22RIK</t>
  </si>
  <si>
    <t>KCTD13</t>
  </si>
  <si>
    <t>CRCP</t>
  </si>
  <si>
    <t>EPT1</t>
  </si>
  <si>
    <t>GFRA4</t>
  </si>
  <si>
    <t>DKKL1</t>
  </si>
  <si>
    <t>PLCE1</t>
  </si>
  <si>
    <t>CINP</t>
  </si>
  <si>
    <t>KDM5C</t>
  </si>
  <si>
    <t>GGTA1</t>
  </si>
  <si>
    <t>RASD1</t>
  </si>
  <si>
    <t>SLC25A37</t>
  </si>
  <si>
    <t>SLC25A36</t>
  </si>
  <si>
    <t>SLC25A33</t>
  </si>
  <si>
    <t>KCNA7</t>
  </si>
  <si>
    <t>EED</t>
  </si>
  <si>
    <t>TUBA1A</t>
  </si>
  <si>
    <t>CPA5</t>
  </si>
  <si>
    <t>SLMAP</t>
  </si>
  <si>
    <t>PIK3R4</t>
  </si>
  <si>
    <t>TMEM186</t>
  </si>
  <si>
    <t>PIK3R1</t>
  </si>
  <si>
    <t>FAM102A</t>
  </si>
  <si>
    <t>LNX2</t>
  </si>
  <si>
    <t>STAG2</t>
  </si>
  <si>
    <t>ST6GALNAC6</t>
  </si>
  <si>
    <t>6430527G18RIK</t>
  </si>
  <si>
    <t>DNMT3L</t>
  </si>
  <si>
    <t>ETV3</t>
  </si>
  <si>
    <t>ETV5</t>
  </si>
  <si>
    <t>AP1G1</t>
  </si>
  <si>
    <t>HMOX1</t>
  </si>
  <si>
    <t>HMOX2</t>
  </si>
  <si>
    <t>BTBD9</t>
  </si>
  <si>
    <t>POMT1</t>
  </si>
  <si>
    <t>SNRPN</t>
  </si>
  <si>
    <t>CFL2</t>
  </si>
  <si>
    <t>RAB3A</t>
  </si>
  <si>
    <t>EHD1</t>
  </si>
  <si>
    <t>PDXK</t>
  </si>
  <si>
    <t>GON4L</t>
  </si>
  <si>
    <t>CCL6</t>
  </si>
  <si>
    <t>TMEM86A</t>
  </si>
  <si>
    <t>RAG1AP1</t>
  </si>
  <si>
    <t>SSBP2</t>
  </si>
  <si>
    <t>CYB5R1</t>
  </si>
  <si>
    <t>GRAP</t>
  </si>
  <si>
    <t>BAIAP2L1</t>
  </si>
  <si>
    <t>ZFP775</t>
  </si>
  <si>
    <t>FHL1</t>
  </si>
  <si>
    <t>HNRNPL</t>
  </si>
  <si>
    <t>SACM1L</t>
  </si>
  <si>
    <t>PDCD4</t>
  </si>
  <si>
    <t>HNRNPF</t>
  </si>
  <si>
    <t>CECR5</t>
  </si>
  <si>
    <t>RCC1</t>
  </si>
  <si>
    <t>NUB1</t>
  </si>
  <si>
    <t>ARL6IP6</t>
  </si>
  <si>
    <t>PRKCE</t>
  </si>
  <si>
    <t>ARL6IP1</t>
  </si>
  <si>
    <t>MLST8</t>
  </si>
  <si>
    <t>MAPK8IP1</t>
  </si>
  <si>
    <t>RGS10</t>
  </si>
  <si>
    <t>ID2</t>
  </si>
  <si>
    <t>ID1</t>
  </si>
  <si>
    <t>TM7SF3</t>
  </si>
  <si>
    <t>9430023L20RIK</t>
  </si>
  <si>
    <t>TADA1</t>
  </si>
  <si>
    <t>WIZ</t>
  </si>
  <si>
    <t>CD52</t>
  </si>
  <si>
    <t>UTP6</t>
  </si>
  <si>
    <t>TXNDC16</t>
  </si>
  <si>
    <t>SPZ1</t>
  </si>
  <si>
    <t>FBXO44</t>
  </si>
  <si>
    <t>HAX1</t>
  </si>
  <si>
    <t>MINA</t>
  </si>
  <si>
    <t>SLC33A1</t>
  </si>
  <si>
    <t>GALNTL1</t>
  </si>
  <si>
    <t>SEC31A</t>
  </si>
  <si>
    <t>XBP1</t>
  </si>
  <si>
    <t>ANKRD7</t>
  </si>
  <si>
    <t>UPK3B</t>
  </si>
  <si>
    <t>ANKRD1</t>
  </si>
  <si>
    <t>PRPS1</t>
  </si>
  <si>
    <t>CDR2</t>
  </si>
  <si>
    <t>TATDN3</t>
  </si>
  <si>
    <t>FUK</t>
  </si>
  <si>
    <t>AHDC1</t>
  </si>
  <si>
    <t>DOK4</t>
  </si>
  <si>
    <t>GMPR2</t>
  </si>
  <si>
    <t>MPPE1</t>
  </si>
  <si>
    <t>ARL4A</t>
  </si>
  <si>
    <t>MTA1</t>
  </si>
  <si>
    <t>PDGFA</t>
  </si>
  <si>
    <t>PDGFD</t>
  </si>
  <si>
    <t>GTF2E2</t>
  </si>
  <si>
    <t>PTRF</t>
  </si>
  <si>
    <t>RAB3D</t>
  </si>
  <si>
    <t>2810004N23RIK</t>
  </si>
  <si>
    <t>CFL1</t>
  </si>
  <si>
    <t>ZFP772</t>
  </si>
  <si>
    <t>BICD2</t>
  </si>
  <si>
    <t>ARMC1</t>
  </si>
  <si>
    <t>NFIC</t>
  </si>
  <si>
    <t>NFIB</t>
  </si>
  <si>
    <t>SELK</t>
  </si>
  <si>
    <t>PDCD6IP</t>
  </si>
  <si>
    <t>METTL11A</t>
  </si>
  <si>
    <t>ACTL6A</t>
  </si>
  <si>
    <t>SPATA3</t>
  </si>
  <si>
    <t>SPATA2</t>
  </si>
  <si>
    <t>TCP11L2</t>
  </si>
  <si>
    <t>SPATA5</t>
  </si>
  <si>
    <t>AAAAABl9tqg=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</si>
</sst>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2274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6</v>
      </c>
      <c r="B6" t="s">
        <v>10</v>
      </c>
    </row>
    <row r="7" spans="1:2">
      <c r="A7" t="s">
        <v>6</v>
      </c>
      <c r="B7" t="s">
        <v>11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15</v>
      </c>
    </row>
    <row r="10" spans="1:2">
      <c r="A10" t="s">
        <v>6</v>
      </c>
      <c r="B10" t="s">
        <v>16</v>
      </c>
    </row>
    <row r="11" spans="1:2">
      <c r="A11" t="s">
        <v>6</v>
      </c>
      <c r="B11" t="s">
        <v>17</v>
      </c>
    </row>
    <row r="12" spans="1:2">
      <c r="A12" t="s">
        <v>18</v>
      </c>
      <c r="B12" t="s">
        <v>19</v>
      </c>
    </row>
    <row r="13" spans="1:2">
      <c r="A13" t="s">
        <v>20</v>
      </c>
      <c r="B13" t="s">
        <v>21</v>
      </c>
    </row>
    <row r="14" spans="1:2">
      <c r="A14" t="s">
        <v>22</v>
      </c>
      <c r="B14" t="s">
        <v>23</v>
      </c>
    </row>
    <row r="15" spans="1:2">
      <c r="A15" t="s">
        <v>24</v>
      </c>
      <c r="B15" t="s">
        <v>25</v>
      </c>
    </row>
    <row r="16" spans="1:2">
      <c r="A16" t="s">
        <v>6</v>
      </c>
      <c r="B16" t="s">
        <v>26</v>
      </c>
    </row>
    <row r="17" spans="1:2">
      <c r="A17" t="s">
        <v>27</v>
      </c>
      <c r="B17" t="s">
        <v>28</v>
      </c>
    </row>
    <row r="18" spans="1:2">
      <c r="A18" t="s">
        <v>29</v>
      </c>
      <c r="B18" t="s">
        <v>30</v>
      </c>
    </row>
    <row r="19" spans="1:2">
      <c r="A19" t="s">
        <v>6</v>
      </c>
      <c r="B19" t="s">
        <v>31</v>
      </c>
    </row>
    <row r="20" spans="1:2">
      <c r="A20" t="s">
        <v>6</v>
      </c>
      <c r="B20" t="s">
        <v>32</v>
      </c>
    </row>
    <row r="21" spans="1:2">
      <c r="A21" t="s">
        <v>33</v>
      </c>
      <c r="B21" t="s">
        <v>34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 t="s">
        <v>40</v>
      </c>
    </row>
    <row r="25" spans="1:2">
      <c r="A25" t="s">
        <v>14</v>
      </c>
      <c r="B25" t="s">
        <v>41</v>
      </c>
    </row>
    <row r="26" spans="1:2">
      <c r="A26" t="s">
        <v>42</v>
      </c>
      <c r="B26" t="s">
        <v>43</v>
      </c>
    </row>
    <row r="27" spans="1:2">
      <c r="A27" t="s">
        <v>22</v>
      </c>
      <c r="B27" t="s">
        <v>44</v>
      </c>
    </row>
    <row r="28" spans="1:2">
      <c r="A28" t="s">
        <v>8</v>
      </c>
      <c r="B28" t="s">
        <v>45</v>
      </c>
    </row>
    <row r="29" spans="1:2">
      <c r="A29" t="s">
        <v>46</v>
      </c>
      <c r="B29" t="s">
        <v>47</v>
      </c>
    </row>
    <row r="30" spans="1:2">
      <c r="A30" t="s">
        <v>48</v>
      </c>
      <c r="B30" t="s">
        <v>49</v>
      </c>
    </row>
    <row r="31" spans="1:2">
      <c r="A31" t="s">
        <v>50</v>
      </c>
      <c r="B31" t="s">
        <v>51</v>
      </c>
    </row>
    <row r="32" spans="1:2">
      <c r="A32" t="s">
        <v>52</v>
      </c>
      <c r="B32" t="s">
        <v>53</v>
      </c>
    </row>
    <row r="33" spans="1:2">
      <c r="A33" t="s">
        <v>6</v>
      </c>
      <c r="B33" t="s">
        <v>54</v>
      </c>
    </row>
    <row r="34" spans="1:2">
      <c r="A34" t="s">
        <v>46</v>
      </c>
      <c r="B34" t="s">
        <v>55</v>
      </c>
    </row>
    <row r="35" spans="1:2">
      <c r="A35" t="s">
        <v>56</v>
      </c>
      <c r="B35" t="s">
        <v>57</v>
      </c>
    </row>
    <row r="36" spans="1:2">
      <c r="A36" t="s">
        <v>18</v>
      </c>
      <c r="B36" t="s">
        <v>58</v>
      </c>
    </row>
    <row r="37" spans="1:2">
      <c r="A37" t="s">
        <v>39</v>
      </c>
      <c r="B37" t="s">
        <v>59</v>
      </c>
    </row>
    <row r="38" spans="1:2">
      <c r="A38" t="s">
        <v>46</v>
      </c>
      <c r="B38" t="s">
        <v>60</v>
      </c>
    </row>
    <row r="39" spans="1:2">
      <c r="A39" t="s">
        <v>6</v>
      </c>
      <c r="B39" t="s">
        <v>61</v>
      </c>
    </row>
    <row r="40" spans="1:2">
      <c r="A40" t="s">
        <v>62</v>
      </c>
      <c r="B40" t="s">
        <v>63</v>
      </c>
    </row>
    <row r="41" spans="1:2">
      <c r="A41" t="s">
        <v>39</v>
      </c>
      <c r="B41" t="s">
        <v>64</v>
      </c>
    </row>
    <row r="42" spans="1:2">
      <c r="A42" t="s">
        <v>65</v>
      </c>
      <c r="B42" t="s">
        <v>66</v>
      </c>
    </row>
    <row r="43" spans="1:2">
      <c r="A43" t="s">
        <v>6</v>
      </c>
      <c r="B43" t="s">
        <v>67</v>
      </c>
    </row>
    <row r="44" spans="1:2">
      <c r="A44" t="s">
        <v>68</v>
      </c>
      <c r="B44" t="s">
        <v>69</v>
      </c>
    </row>
    <row r="45" spans="1:2">
      <c r="A45" t="s">
        <v>6</v>
      </c>
      <c r="B45" t="s">
        <v>70</v>
      </c>
    </row>
    <row r="46" spans="1:2">
      <c r="A46" t="s">
        <v>71</v>
      </c>
      <c r="B46" t="s">
        <v>72</v>
      </c>
    </row>
    <row r="47" spans="1:2">
      <c r="A47" t="s">
        <v>6</v>
      </c>
      <c r="B47" t="s">
        <v>73</v>
      </c>
    </row>
    <row r="48" spans="1:2">
      <c r="A48" t="s">
        <v>65</v>
      </c>
      <c r="B48" t="s">
        <v>74</v>
      </c>
    </row>
    <row r="49" spans="1:2">
      <c r="A49" t="s">
        <v>75</v>
      </c>
      <c r="B49" t="s">
        <v>76</v>
      </c>
    </row>
    <row r="50" spans="1:2">
      <c r="A50" t="s">
        <v>77</v>
      </c>
      <c r="B50" t="s">
        <v>78</v>
      </c>
    </row>
    <row r="51" spans="1:2">
      <c r="A51" t="s">
        <v>29</v>
      </c>
      <c r="B51" t="s">
        <v>79</v>
      </c>
    </row>
    <row r="52" spans="1:2">
      <c r="A52" t="s">
        <v>6</v>
      </c>
      <c r="B52" t="s">
        <v>80</v>
      </c>
    </row>
    <row r="53" spans="1:2">
      <c r="A53" t="s">
        <v>6</v>
      </c>
      <c r="B53" t="s">
        <v>81</v>
      </c>
    </row>
    <row r="54" spans="1:2">
      <c r="A54" t="s">
        <v>6</v>
      </c>
      <c r="B54" t="s">
        <v>82</v>
      </c>
    </row>
    <row r="55" spans="1:2">
      <c r="A55" t="s">
        <v>83</v>
      </c>
      <c r="B55" t="s">
        <v>84</v>
      </c>
    </row>
    <row r="56" spans="1:2">
      <c r="A56" t="s">
        <v>85</v>
      </c>
      <c r="B56" t="s">
        <v>86</v>
      </c>
    </row>
    <row r="57" spans="1:2">
      <c r="A57" t="s">
        <v>29</v>
      </c>
      <c r="B57" t="s">
        <v>87</v>
      </c>
    </row>
    <row r="58" spans="1:2">
      <c r="A58" t="s">
        <v>27</v>
      </c>
      <c r="B58" t="s">
        <v>88</v>
      </c>
    </row>
    <row r="59" spans="1:2">
      <c r="A59" t="s">
        <v>46</v>
      </c>
      <c r="B59" t="s">
        <v>89</v>
      </c>
    </row>
    <row r="60" spans="1:2">
      <c r="A60" t="s">
        <v>8</v>
      </c>
      <c r="B60" t="s">
        <v>90</v>
      </c>
    </row>
    <row r="61" spans="1:2">
      <c r="A61" t="s">
        <v>91</v>
      </c>
      <c r="B61" t="s">
        <v>92</v>
      </c>
    </row>
    <row r="62" spans="1:2">
      <c r="A62" t="s">
        <v>42</v>
      </c>
      <c r="B62" t="s">
        <v>93</v>
      </c>
    </row>
    <row r="63" spans="1:2">
      <c r="A63" t="s">
        <v>94</v>
      </c>
      <c r="B63" t="s">
        <v>95</v>
      </c>
    </row>
    <row r="64" spans="1:2">
      <c r="A64" t="s">
        <v>77</v>
      </c>
      <c r="B64" t="s">
        <v>96</v>
      </c>
    </row>
    <row r="65" spans="1:2">
      <c r="A65" t="s">
        <v>97</v>
      </c>
      <c r="B65" t="s">
        <v>98</v>
      </c>
    </row>
    <row r="66" spans="1:2">
      <c r="A66" t="s">
        <v>6</v>
      </c>
      <c r="B66" t="s">
        <v>99</v>
      </c>
    </row>
    <row r="67" spans="1:2">
      <c r="A67" t="s">
        <v>77</v>
      </c>
      <c r="B67" t="s">
        <v>100</v>
      </c>
    </row>
    <row r="68" spans="1:2">
      <c r="A68" t="s">
        <v>18</v>
      </c>
      <c r="B68" t="s">
        <v>101</v>
      </c>
    </row>
    <row r="69" spans="1:2">
      <c r="A69" t="s">
        <v>6</v>
      </c>
      <c r="B69" t="s">
        <v>102</v>
      </c>
    </row>
    <row r="70" spans="1:2">
      <c r="A70" t="s">
        <v>103</v>
      </c>
      <c r="B70" t="s">
        <v>104</v>
      </c>
    </row>
    <row r="71" spans="1:2">
      <c r="A71" t="s">
        <v>105</v>
      </c>
      <c r="B71" t="s">
        <v>106</v>
      </c>
    </row>
    <row r="72" spans="1:2">
      <c r="A72" t="s">
        <v>107</v>
      </c>
      <c r="B72" t="s">
        <v>108</v>
      </c>
    </row>
    <row r="73" spans="1:2">
      <c r="A73" t="s">
        <v>24</v>
      </c>
      <c r="B73" t="s">
        <v>109</v>
      </c>
    </row>
    <row r="74" spans="1:2">
      <c r="A74" t="s">
        <v>6</v>
      </c>
      <c r="B74" t="s">
        <v>110</v>
      </c>
    </row>
    <row r="75" spans="1:2">
      <c r="A75" t="s">
        <v>68</v>
      </c>
      <c r="B75" t="s">
        <v>111</v>
      </c>
    </row>
    <row r="76" spans="1:2">
      <c r="A76" t="s">
        <v>112</v>
      </c>
      <c r="B76" t="s">
        <v>113</v>
      </c>
    </row>
    <row r="77" spans="1:2">
      <c r="A77" t="s">
        <v>114</v>
      </c>
      <c r="B77" t="s">
        <v>115</v>
      </c>
    </row>
    <row r="78" spans="1:2">
      <c r="A78" t="s">
        <v>6</v>
      </c>
      <c r="B78" t="s">
        <v>116</v>
      </c>
    </row>
    <row r="79" spans="1:2">
      <c r="A79" t="s">
        <v>117</v>
      </c>
      <c r="B79" t="s">
        <v>118</v>
      </c>
    </row>
    <row r="80" spans="1:2">
      <c r="A80" t="s">
        <v>68</v>
      </c>
      <c r="B80" t="s">
        <v>119</v>
      </c>
    </row>
    <row r="81" spans="1:2">
      <c r="A81" t="s">
        <v>6</v>
      </c>
      <c r="B81" t="s">
        <v>120</v>
      </c>
    </row>
    <row r="82" spans="1:2">
      <c r="A82" t="s">
        <v>6</v>
      </c>
      <c r="B82" t="s">
        <v>121</v>
      </c>
    </row>
    <row r="83" spans="1:2">
      <c r="A83" t="s">
        <v>6</v>
      </c>
      <c r="B83" t="s">
        <v>122</v>
      </c>
    </row>
    <row r="84" spans="1:2">
      <c r="A84" t="s">
        <v>46</v>
      </c>
      <c r="B84" t="s">
        <v>123</v>
      </c>
    </row>
    <row r="85" spans="1:2">
      <c r="A85" t="s">
        <v>68</v>
      </c>
      <c r="B85" t="s">
        <v>124</v>
      </c>
    </row>
    <row r="86" spans="1:2">
      <c r="A86" t="s">
        <v>18</v>
      </c>
      <c r="B86" t="s">
        <v>125</v>
      </c>
    </row>
    <row r="87" spans="1:2">
      <c r="A87" t="s">
        <v>6</v>
      </c>
      <c r="B87" t="s">
        <v>126</v>
      </c>
    </row>
    <row r="88" spans="1:2">
      <c r="A88" t="s">
        <v>127</v>
      </c>
      <c r="B88" t="s">
        <v>128</v>
      </c>
    </row>
    <row r="89" spans="1:2">
      <c r="A89" t="s">
        <v>129</v>
      </c>
      <c r="B89" t="s">
        <v>130</v>
      </c>
    </row>
    <row r="90" spans="1:2">
      <c r="A90" t="s">
        <v>131</v>
      </c>
      <c r="B90" t="s">
        <v>132</v>
      </c>
    </row>
    <row r="91" spans="1:2">
      <c r="A91" t="s">
        <v>18</v>
      </c>
      <c r="B91" t="s">
        <v>133</v>
      </c>
    </row>
    <row r="92" spans="1:2">
      <c r="A92" t="s">
        <v>18</v>
      </c>
      <c r="B92" t="s">
        <v>134</v>
      </c>
    </row>
    <row r="93" spans="1:2">
      <c r="A93" t="s">
        <v>85</v>
      </c>
      <c r="B93" t="s">
        <v>135</v>
      </c>
    </row>
    <row r="94" spans="1:2">
      <c r="A94" t="s">
        <v>48</v>
      </c>
      <c r="B94" t="s">
        <v>136</v>
      </c>
    </row>
    <row r="95" spans="1:2">
      <c r="A95" t="s">
        <v>137</v>
      </c>
      <c r="B95" t="s">
        <v>138</v>
      </c>
    </row>
    <row r="96" spans="1:2">
      <c r="A96" t="s">
        <v>22</v>
      </c>
      <c r="B96" t="s">
        <v>139</v>
      </c>
    </row>
    <row r="97" spans="1:2">
      <c r="A97" t="s">
        <v>77</v>
      </c>
      <c r="B97" t="s">
        <v>140</v>
      </c>
    </row>
    <row r="98" spans="1:2">
      <c r="A98" t="s">
        <v>6</v>
      </c>
      <c r="B98" t="s">
        <v>141</v>
      </c>
    </row>
    <row r="99" spans="1:2">
      <c r="A99" t="s">
        <v>142</v>
      </c>
      <c r="B99" t="s">
        <v>143</v>
      </c>
    </row>
    <row r="100" spans="1:2">
      <c r="A100" t="s">
        <v>33</v>
      </c>
      <c r="B100" t="s">
        <v>144</v>
      </c>
    </row>
    <row r="101" spans="1:2">
      <c r="A101" t="s">
        <v>56</v>
      </c>
      <c r="B101" t="s">
        <v>145</v>
      </c>
    </row>
    <row r="102" spans="1:2">
      <c r="A102" t="s">
        <v>48</v>
      </c>
      <c r="B102" t="s">
        <v>146</v>
      </c>
    </row>
    <row r="103" spans="1:2">
      <c r="A103" t="s">
        <v>46</v>
      </c>
      <c r="B103" t="s">
        <v>147</v>
      </c>
    </row>
    <row r="104" spans="1:2">
      <c r="A104" t="s">
        <v>50</v>
      </c>
      <c r="B104" t="s">
        <v>148</v>
      </c>
    </row>
    <row r="105" spans="1:2">
      <c r="A105" t="s">
        <v>6</v>
      </c>
      <c r="B105" t="s">
        <v>149</v>
      </c>
    </row>
    <row r="106" spans="1:2">
      <c r="A106" t="s">
        <v>22</v>
      </c>
      <c r="B106" t="s">
        <v>150</v>
      </c>
    </row>
    <row r="107" spans="1:2">
      <c r="A107" t="s">
        <v>6</v>
      </c>
      <c r="B107" t="s">
        <v>151</v>
      </c>
    </row>
    <row r="108" spans="1:2">
      <c r="A108" t="s">
        <v>152</v>
      </c>
      <c r="B108" t="s">
        <v>153</v>
      </c>
    </row>
    <row r="109" spans="1:2">
      <c r="A109" t="s">
        <v>154</v>
      </c>
      <c r="B109" t="s">
        <v>155</v>
      </c>
    </row>
    <row r="110" spans="1:2">
      <c r="A110" t="s">
        <v>156</v>
      </c>
      <c r="B110" t="s">
        <v>157</v>
      </c>
    </row>
    <row r="111" spans="1:2">
      <c r="A111" t="s">
        <v>6</v>
      </c>
      <c r="B111" t="s">
        <v>158</v>
      </c>
    </row>
    <row r="112" spans="1:2">
      <c r="A112" t="s">
        <v>159</v>
      </c>
      <c r="B112" t="s">
        <v>160</v>
      </c>
    </row>
    <row r="113" spans="1:2">
      <c r="A113" t="s">
        <v>6</v>
      </c>
      <c r="B113" t="s">
        <v>161</v>
      </c>
    </row>
    <row r="114" spans="1:2">
      <c r="A114" t="s">
        <v>6</v>
      </c>
      <c r="B114" t="s">
        <v>162</v>
      </c>
    </row>
    <row r="115" spans="1:2">
      <c r="A115" t="s">
        <v>6</v>
      </c>
      <c r="B115" t="s">
        <v>163</v>
      </c>
    </row>
    <row r="116" spans="1:2">
      <c r="A116" t="s">
        <v>46</v>
      </c>
      <c r="B116" t="s">
        <v>164</v>
      </c>
    </row>
    <row r="117" spans="1:2">
      <c r="A117" t="s">
        <v>50</v>
      </c>
      <c r="B117" t="s">
        <v>165</v>
      </c>
    </row>
    <row r="118" spans="1:2">
      <c r="A118" t="s">
        <v>6</v>
      </c>
      <c r="B118" t="s">
        <v>166</v>
      </c>
    </row>
    <row r="119" spans="1:2">
      <c r="A119" t="s">
        <v>167</v>
      </c>
      <c r="B119" t="s">
        <v>168</v>
      </c>
    </row>
    <row r="120" spans="1:2">
      <c r="A120" t="s">
        <v>154</v>
      </c>
      <c r="B120" t="s">
        <v>169</v>
      </c>
    </row>
    <row r="121" spans="1:2">
      <c r="A121" t="s">
        <v>29</v>
      </c>
      <c r="B121" t="s">
        <v>170</v>
      </c>
    </row>
    <row r="122" spans="1:2">
      <c r="A122" t="s">
        <v>50</v>
      </c>
      <c r="B122" t="s">
        <v>171</v>
      </c>
    </row>
    <row r="123" spans="1:2">
      <c r="A123" t="s">
        <v>18</v>
      </c>
      <c r="B123" t="s">
        <v>172</v>
      </c>
    </row>
    <row r="124" spans="1:2">
      <c r="A124" t="s">
        <v>103</v>
      </c>
      <c r="B124" t="s">
        <v>173</v>
      </c>
    </row>
    <row r="125" spans="1:2">
      <c r="A125" t="s">
        <v>6</v>
      </c>
      <c r="B125" t="s">
        <v>174</v>
      </c>
    </row>
    <row r="126" spans="1:2">
      <c r="A126" t="s">
        <v>6</v>
      </c>
      <c r="B126" t="s">
        <v>175</v>
      </c>
    </row>
    <row r="127" spans="1:2">
      <c r="A127" t="s">
        <v>176</v>
      </c>
      <c r="B127" t="s">
        <v>177</v>
      </c>
    </row>
    <row r="128" spans="1:2">
      <c r="A128" t="s">
        <v>6</v>
      </c>
      <c r="B128" t="s">
        <v>178</v>
      </c>
    </row>
    <row r="129" spans="1:2">
      <c r="A129" t="s">
        <v>18</v>
      </c>
      <c r="B129" t="s">
        <v>179</v>
      </c>
    </row>
    <row r="130" spans="1:2">
      <c r="A130" t="s">
        <v>6</v>
      </c>
      <c r="B130" t="s">
        <v>180</v>
      </c>
    </row>
    <row r="131" spans="1:2">
      <c r="A131" t="s">
        <v>6</v>
      </c>
      <c r="B131" t="s">
        <v>181</v>
      </c>
    </row>
    <row r="132" spans="1:2">
      <c r="A132" t="s">
        <v>6</v>
      </c>
      <c r="B132" t="s">
        <v>182</v>
      </c>
    </row>
    <row r="133" spans="1:2">
      <c r="A133" t="s">
        <v>6</v>
      </c>
      <c r="B133" t="s">
        <v>183</v>
      </c>
    </row>
    <row r="134" spans="1:2">
      <c r="A134" t="s">
        <v>68</v>
      </c>
      <c r="B134" t="s">
        <v>184</v>
      </c>
    </row>
    <row r="135" spans="1:2">
      <c r="A135" t="s">
        <v>48</v>
      </c>
      <c r="B135" t="s">
        <v>185</v>
      </c>
    </row>
    <row r="136" spans="1:2">
      <c r="A136" t="s">
        <v>46</v>
      </c>
      <c r="B136" t="s">
        <v>186</v>
      </c>
    </row>
    <row r="137" spans="1:2">
      <c r="A137" t="s">
        <v>22</v>
      </c>
      <c r="B137" t="s">
        <v>187</v>
      </c>
    </row>
    <row r="138" spans="1:2">
      <c r="A138" t="s">
        <v>42</v>
      </c>
      <c r="B138" t="s">
        <v>188</v>
      </c>
    </row>
    <row r="139" spans="1:2">
      <c r="A139" t="s">
        <v>6</v>
      </c>
      <c r="B139" t="s">
        <v>189</v>
      </c>
    </row>
    <row r="140" spans="1:2">
      <c r="A140" t="s">
        <v>6</v>
      </c>
      <c r="B140" t="s">
        <v>190</v>
      </c>
    </row>
    <row r="141" spans="1:2">
      <c r="A141" t="s">
        <v>191</v>
      </c>
      <c r="B141" t="s">
        <v>192</v>
      </c>
    </row>
    <row r="142" spans="1:2">
      <c r="A142" t="s">
        <v>77</v>
      </c>
      <c r="B142" t="s">
        <v>193</v>
      </c>
    </row>
    <row r="143" spans="1:2">
      <c r="A143" t="s">
        <v>8</v>
      </c>
      <c r="B143" t="s">
        <v>194</v>
      </c>
    </row>
    <row r="144" spans="1:2">
      <c r="A144" t="s">
        <v>39</v>
      </c>
      <c r="B144" t="s">
        <v>195</v>
      </c>
    </row>
    <row r="145" spans="1:2">
      <c r="A145" t="s">
        <v>6</v>
      </c>
      <c r="B145" t="s">
        <v>196</v>
      </c>
    </row>
    <row r="146" spans="1:2">
      <c r="A146" t="s">
        <v>18</v>
      </c>
      <c r="B146" t="s">
        <v>197</v>
      </c>
    </row>
    <row r="147" spans="1:2">
      <c r="A147" t="s">
        <v>68</v>
      </c>
      <c r="B147" t="s">
        <v>198</v>
      </c>
    </row>
    <row r="148" spans="1:2">
      <c r="A148" t="s">
        <v>6</v>
      </c>
      <c r="B148" t="s">
        <v>199</v>
      </c>
    </row>
    <row r="149" spans="1:2">
      <c r="A149" t="s">
        <v>6</v>
      </c>
      <c r="B149" t="s">
        <v>200</v>
      </c>
    </row>
    <row r="150" spans="1:2">
      <c r="A150" t="s">
        <v>6</v>
      </c>
      <c r="B150" t="s">
        <v>201</v>
      </c>
    </row>
    <row r="151" spans="1:2">
      <c r="A151" t="s">
        <v>105</v>
      </c>
      <c r="B151" t="s">
        <v>202</v>
      </c>
    </row>
    <row r="152" spans="1:2">
      <c r="A152" t="s">
        <v>33</v>
      </c>
      <c r="B152" t="s">
        <v>203</v>
      </c>
    </row>
    <row r="153" spans="1:2">
      <c r="A153" t="s">
        <v>6</v>
      </c>
      <c r="B153" t="s">
        <v>204</v>
      </c>
    </row>
    <row r="154" spans="1:2">
      <c r="A154" t="s">
        <v>6</v>
      </c>
      <c r="B154" t="s">
        <v>205</v>
      </c>
    </row>
    <row r="155" spans="1:2">
      <c r="A155" t="s">
        <v>6</v>
      </c>
      <c r="B155" t="s">
        <v>206</v>
      </c>
    </row>
    <row r="156" spans="1:2">
      <c r="A156" t="s">
        <v>6</v>
      </c>
      <c r="B156" t="s">
        <v>207</v>
      </c>
    </row>
    <row r="157" spans="1:2">
      <c r="A157" t="s">
        <v>8</v>
      </c>
      <c r="B157" t="s">
        <v>208</v>
      </c>
    </row>
    <row r="158" spans="1:2">
      <c r="A158" t="s">
        <v>6</v>
      </c>
      <c r="B158" t="s">
        <v>209</v>
      </c>
    </row>
    <row r="159" spans="1:2">
      <c r="A159" t="s">
        <v>6</v>
      </c>
      <c r="B159" t="s">
        <v>210</v>
      </c>
    </row>
    <row r="160" spans="1:2">
      <c r="A160" t="s">
        <v>18</v>
      </c>
      <c r="B160" t="s">
        <v>211</v>
      </c>
    </row>
    <row r="161" spans="1:2">
      <c r="A161" t="s">
        <v>212</v>
      </c>
      <c r="B161" t="s">
        <v>213</v>
      </c>
    </row>
    <row r="162" spans="1:2">
      <c r="A162" t="s">
        <v>214</v>
      </c>
      <c r="B162" t="s">
        <v>215</v>
      </c>
    </row>
    <row r="163" spans="1:2">
      <c r="A163" t="s">
        <v>133</v>
      </c>
      <c r="B163" t="s">
        <v>216</v>
      </c>
    </row>
    <row r="164" spans="1:2">
      <c r="A164" t="s">
        <v>112</v>
      </c>
      <c r="B164" t="s">
        <v>217</v>
      </c>
    </row>
    <row r="165" spans="1:2">
      <c r="A165" t="s">
        <v>218</v>
      </c>
      <c r="B165" t="s">
        <v>219</v>
      </c>
    </row>
    <row r="166" spans="1:2">
      <c r="A166" t="s">
        <v>18</v>
      </c>
      <c r="B166" t="s">
        <v>220</v>
      </c>
    </row>
    <row r="167" spans="1:2">
      <c r="A167" t="s">
        <v>20</v>
      </c>
      <c r="B167" t="s">
        <v>221</v>
      </c>
    </row>
    <row r="168" spans="1:2">
      <c r="A168" t="s">
        <v>20</v>
      </c>
      <c r="B168" t="s">
        <v>222</v>
      </c>
    </row>
    <row r="169" spans="1:2">
      <c r="A169" t="s">
        <v>223</v>
      </c>
      <c r="B169" t="s">
        <v>224</v>
      </c>
    </row>
    <row r="170" spans="1:2">
      <c r="A170" t="s">
        <v>8</v>
      </c>
      <c r="B170" t="s">
        <v>225</v>
      </c>
    </row>
    <row r="171" spans="1:2">
      <c r="A171" t="s">
        <v>6</v>
      </c>
      <c r="B171" t="s">
        <v>226</v>
      </c>
    </row>
    <row r="172" spans="1:2">
      <c r="A172" t="s">
        <v>18</v>
      </c>
      <c r="B172" t="s">
        <v>227</v>
      </c>
    </row>
    <row r="173" spans="1:2">
      <c r="A173" t="s">
        <v>6</v>
      </c>
      <c r="B173" t="s">
        <v>228</v>
      </c>
    </row>
    <row r="174" spans="1:2">
      <c r="A174" t="s">
        <v>6</v>
      </c>
      <c r="B174" t="s">
        <v>229</v>
      </c>
    </row>
    <row r="175" spans="1:2">
      <c r="A175" t="s">
        <v>6</v>
      </c>
      <c r="B175" t="s">
        <v>230</v>
      </c>
    </row>
    <row r="176" spans="1:2">
      <c r="A176" t="s">
        <v>6</v>
      </c>
      <c r="B176" t="s">
        <v>231</v>
      </c>
    </row>
    <row r="177" spans="1:2">
      <c r="A177" t="s">
        <v>18</v>
      </c>
      <c r="B177" t="s">
        <v>232</v>
      </c>
    </row>
    <row r="178" spans="1:2">
      <c r="A178" t="s">
        <v>42</v>
      </c>
      <c r="B178" t="s">
        <v>233</v>
      </c>
    </row>
    <row r="179" spans="1:2">
      <c r="A179" t="s">
        <v>6</v>
      </c>
      <c r="B179" t="s">
        <v>234</v>
      </c>
    </row>
    <row r="180" spans="1:2">
      <c r="A180" t="s">
        <v>6</v>
      </c>
      <c r="B180" t="s">
        <v>235</v>
      </c>
    </row>
    <row r="181" spans="1:2">
      <c r="A181" t="s">
        <v>56</v>
      </c>
      <c r="B181" t="s">
        <v>236</v>
      </c>
    </row>
    <row r="182" spans="1:2">
      <c r="A182" t="s">
        <v>6</v>
      </c>
      <c r="B182" t="s">
        <v>237</v>
      </c>
    </row>
    <row r="183" spans="1:2">
      <c r="A183" t="s">
        <v>6</v>
      </c>
      <c r="B183" t="s">
        <v>238</v>
      </c>
    </row>
    <row r="184" spans="1:2">
      <c r="A184" t="s">
        <v>6</v>
      </c>
      <c r="B184" t="s">
        <v>239</v>
      </c>
    </row>
    <row r="185" spans="1:2">
      <c r="A185" t="s">
        <v>29</v>
      </c>
      <c r="B185" t="s">
        <v>240</v>
      </c>
    </row>
    <row r="186" spans="1:2">
      <c r="A186" t="s">
        <v>241</v>
      </c>
      <c r="B186" t="s">
        <v>242</v>
      </c>
    </row>
    <row r="187" spans="1:2">
      <c r="A187" t="s">
        <v>50</v>
      </c>
      <c r="B187" t="s">
        <v>243</v>
      </c>
    </row>
    <row r="188" spans="1:2">
      <c r="A188" t="s">
        <v>8</v>
      </c>
      <c r="B188" t="s">
        <v>244</v>
      </c>
    </row>
    <row r="189" spans="1:2">
      <c r="A189" t="s">
        <v>191</v>
      </c>
      <c r="B189" t="s">
        <v>245</v>
      </c>
    </row>
    <row r="190" spans="1:2">
      <c r="A190" t="s">
        <v>29</v>
      </c>
      <c r="B190" t="s">
        <v>246</v>
      </c>
    </row>
    <row r="191" spans="1:2">
      <c r="A191" t="s">
        <v>12</v>
      </c>
      <c r="B191" t="s">
        <v>247</v>
      </c>
    </row>
    <row r="192" spans="1:2">
      <c r="A192" t="s">
        <v>6</v>
      </c>
      <c r="B192" t="s">
        <v>248</v>
      </c>
    </row>
    <row r="193" spans="1:2">
      <c r="A193" t="s">
        <v>14</v>
      </c>
      <c r="B193" t="s">
        <v>249</v>
      </c>
    </row>
    <row r="194" spans="1:2">
      <c r="A194" t="s">
        <v>56</v>
      </c>
      <c r="B194" t="s">
        <v>250</v>
      </c>
    </row>
    <row r="195" spans="1:2">
      <c r="A195" t="s">
        <v>251</v>
      </c>
      <c r="B195" t="s">
        <v>252</v>
      </c>
    </row>
    <row r="196" spans="1:2">
      <c r="A196" t="s">
        <v>18</v>
      </c>
      <c r="B196" t="s">
        <v>253</v>
      </c>
    </row>
    <row r="197" spans="1:2">
      <c r="A197" t="s">
        <v>39</v>
      </c>
      <c r="B197" t="s">
        <v>254</v>
      </c>
    </row>
    <row r="198" spans="1:2">
      <c r="A198" t="s">
        <v>255</v>
      </c>
      <c r="B198" t="s">
        <v>256</v>
      </c>
    </row>
    <row r="199" spans="1:2">
      <c r="A199" t="s">
        <v>14</v>
      </c>
      <c r="B199" t="s">
        <v>257</v>
      </c>
    </row>
    <row r="200" spans="1:2">
      <c r="A200" t="s">
        <v>258</v>
      </c>
      <c r="B200" t="s">
        <v>259</v>
      </c>
    </row>
    <row r="201" spans="1:2">
      <c r="A201" t="s">
        <v>18</v>
      </c>
      <c r="B201" t="s">
        <v>260</v>
      </c>
    </row>
    <row r="202" spans="1:2">
      <c r="A202" t="s">
        <v>6</v>
      </c>
      <c r="B202" t="s">
        <v>261</v>
      </c>
    </row>
    <row r="203" spans="1:2">
      <c r="A203" t="s">
        <v>6</v>
      </c>
      <c r="B203" t="s">
        <v>262</v>
      </c>
    </row>
    <row r="204" spans="1:2">
      <c r="A204" t="s">
        <v>33</v>
      </c>
      <c r="B204" t="s">
        <v>263</v>
      </c>
    </row>
    <row r="205" spans="1:2">
      <c r="A205" t="s">
        <v>107</v>
      </c>
      <c r="B205" t="s">
        <v>264</v>
      </c>
    </row>
    <row r="206" spans="1:2">
      <c r="A206" t="s">
        <v>6</v>
      </c>
      <c r="B206" t="s">
        <v>265</v>
      </c>
    </row>
    <row r="207" spans="1:2">
      <c r="A207" t="s">
        <v>8</v>
      </c>
      <c r="B207" t="s">
        <v>266</v>
      </c>
    </row>
    <row r="208" spans="1:2">
      <c r="A208" t="s">
        <v>18</v>
      </c>
      <c r="B208" t="s">
        <v>267</v>
      </c>
    </row>
    <row r="209" spans="1:2">
      <c r="A209" t="s">
        <v>176</v>
      </c>
      <c r="B209" t="s">
        <v>268</v>
      </c>
    </row>
    <row r="210" spans="1:2">
      <c r="A210" t="s">
        <v>77</v>
      </c>
      <c r="B210" t="s">
        <v>269</v>
      </c>
    </row>
    <row r="211" spans="1:2">
      <c r="A211" t="s">
        <v>6</v>
      </c>
      <c r="B211" t="s">
        <v>270</v>
      </c>
    </row>
    <row r="212" spans="1:2">
      <c r="A212" t="s">
        <v>154</v>
      </c>
      <c r="B212" t="s">
        <v>271</v>
      </c>
    </row>
    <row r="213" spans="1:2">
      <c r="A213" t="s">
        <v>6</v>
      </c>
      <c r="B213" t="s">
        <v>272</v>
      </c>
    </row>
    <row r="214" spans="1:2">
      <c r="A214" t="s">
        <v>20</v>
      </c>
      <c r="B214" t="s">
        <v>273</v>
      </c>
    </row>
    <row r="215" spans="1:2">
      <c r="A215" t="s">
        <v>42</v>
      </c>
      <c r="B215" t="s">
        <v>274</v>
      </c>
    </row>
    <row r="216" spans="1:2">
      <c r="A216" t="s">
        <v>77</v>
      </c>
      <c r="B216" t="s">
        <v>275</v>
      </c>
    </row>
    <row r="217" spans="1:2">
      <c r="A217" t="s">
        <v>6</v>
      </c>
      <c r="B217" t="s">
        <v>276</v>
      </c>
    </row>
    <row r="218" spans="1:2">
      <c r="A218" t="s">
        <v>18</v>
      </c>
      <c r="B218" t="s">
        <v>277</v>
      </c>
    </row>
    <row r="219" spans="1:2">
      <c r="A219" t="s">
        <v>6</v>
      </c>
      <c r="B219" t="s">
        <v>278</v>
      </c>
    </row>
    <row r="220" spans="1:2">
      <c r="A220" t="s">
        <v>6</v>
      </c>
      <c r="B220" t="s">
        <v>279</v>
      </c>
    </row>
    <row r="221" spans="1:2">
      <c r="A221" t="s">
        <v>6</v>
      </c>
      <c r="B221" t="s">
        <v>280</v>
      </c>
    </row>
    <row r="222" spans="1:2">
      <c r="A222" t="s">
        <v>6</v>
      </c>
      <c r="B222" t="s">
        <v>281</v>
      </c>
    </row>
    <row r="223" spans="1:2">
      <c r="A223" t="s">
        <v>134</v>
      </c>
      <c r="B223" t="s">
        <v>282</v>
      </c>
    </row>
    <row r="224" spans="1:2">
      <c r="A224" t="s">
        <v>18</v>
      </c>
      <c r="B224" t="s">
        <v>283</v>
      </c>
    </row>
    <row r="225" spans="1:2">
      <c r="A225" t="s">
        <v>12</v>
      </c>
      <c r="B225" t="s">
        <v>284</v>
      </c>
    </row>
    <row r="226" spans="1:2">
      <c r="A226" t="s">
        <v>6</v>
      </c>
      <c r="B226" t="s">
        <v>285</v>
      </c>
    </row>
    <row r="227" spans="1:2">
      <c r="A227" t="s">
        <v>14</v>
      </c>
      <c r="B227" t="s">
        <v>286</v>
      </c>
    </row>
    <row r="228" spans="1:2">
      <c r="A228" t="s">
        <v>6</v>
      </c>
      <c r="B228" t="s">
        <v>287</v>
      </c>
    </row>
    <row r="229" spans="1:2">
      <c r="A229" t="s">
        <v>288</v>
      </c>
      <c r="B229" t="s">
        <v>289</v>
      </c>
    </row>
    <row r="230" spans="1:2">
      <c r="A230" t="s">
        <v>56</v>
      </c>
      <c r="B230" t="s">
        <v>290</v>
      </c>
    </row>
    <row r="231" spans="1:2">
      <c r="A231" t="s">
        <v>6</v>
      </c>
      <c r="B231" t="s">
        <v>291</v>
      </c>
    </row>
    <row r="232" spans="1:2">
      <c r="A232" t="s">
        <v>77</v>
      </c>
      <c r="B232" t="s">
        <v>292</v>
      </c>
    </row>
    <row r="233" spans="1:2">
      <c r="A233" t="s">
        <v>68</v>
      </c>
      <c r="B233" t="s">
        <v>293</v>
      </c>
    </row>
    <row r="234" spans="1:2">
      <c r="A234" t="s">
        <v>288</v>
      </c>
      <c r="B234" t="s">
        <v>294</v>
      </c>
    </row>
    <row r="235" spans="1:2">
      <c r="A235" t="s">
        <v>6</v>
      </c>
      <c r="B235" t="s">
        <v>295</v>
      </c>
    </row>
    <row r="236" spans="1:2">
      <c r="A236" t="s">
        <v>20</v>
      </c>
      <c r="B236" t="s">
        <v>296</v>
      </c>
    </row>
    <row r="237" spans="1:2">
      <c r="A237" t="s">
        <v>6</v>
      </c>
      <c r="B237" t="s">
        <v>297</v>
      </c>
    </row>
    <row r="238" spans="1:2">
      <c r="A238" t="s">
        <v>152</v>
      </c>
      <c r="B238" t="s">
        <v>298</v>
      </c>
    </row>
    <row r="239" spans="1:2">
      <c r="A239" t="s">
        <v>6</v>
      </c>
      <c r="B239" t="s">
        <v>299</v>
      </c>
    </row>
    <row r="240" spans="1:2">
      <c r="A240" t="s">
        <v>39</v>
      </c>
      <c r="B240" t="s">
        <v>300</v>
      </c>
    </row>
    <row r="241" spans="1:2">
      <c r="A241" t="s">
        <v>68</v>
      </c>
      <c r="B241" t="s">
        <v>301</v>
      </c>
    </row>
    <row r="242" spans="1:2">
      <c r="A242" t="s">
        <v>68</v>
      </c>
      <c r="B242" t="s">
        <v>302</v>
      </c>
    </row>
    <row r="243" spans="1:2">
      <c r="A243" t="s">
        <v>303</v>
      </c>
      <c r="B243" t="s">
        <v>304</v>
      </c>
    </row>
    <row r="244" spans="1:2">
      <c r="A244" t="s">
        <v>77</v>
      </c>
      <c r="B244" t="s">
        <v>305</v>
      </c>
    </row>
    <row r="245" spans="1:2">
      <c r="A245" t="s">
        <v>105</v>
      </c>
      <c r="B245" t="s">
        <v>306</v>
      </c>
    </row>
    <row r="246" spans="1:2">
      <c r="A246" t="s">
        <v>6</v>
      </c>
      <c r="B246" t="s">
        <v>307</v>
      </c>
    </row>
    <row r="247" spans="1:2">
      <c r="A247" t="s">
        <v>6</v>
      </c>
      <c r="B247" t="s">
        <v>308</v>
      </c>
    </row>
    <row r="248" spans="1:2">
      <c r="A248" t="s">
        <v>18</v>
      </c>
      <c r="B248" t="s">
        <v>309</v>
      </c>
    </row>
    <row r="249" spans="1:2">
      <c r="A249" t="s">
        <v>310</v>
      </c>
      <c r="B249" t="s">
        <v>311</v>
      </c>
    </row>
    <row r="250" spans="1:2">
      <c r="A250" t="s">
        <v>6</v>
      </c>
      <c r="B250" t="s">
        <v>312</v>
      </c>
    </row>
    <row r="251" spans="1:2">
      <c r="A251" t="s">
        <v>33</v>
      </c>
      <c r="B251" t="s">
        <v>131</v>
      </c>
    </row>
    <row r="252" spans="1:2">
      <c r="A252" t="s">
        <v>6</v>
      </c>
      <c r="B252" t="s">
        <v>313</v>
      </c>
    </row>
    <row r="253" spans="1:2">
      <c r="A253" t="s">
        <v>314</v>
      </c>
      <c r="B253" t="s">
        <v>315</v>
      </c>
    </row>
    <row r="254" spans="1:2">
      <c r="A254" t="s">
        <v>6</v>
      </c>
      <c r="B254" t="s">
        <v>316</v>
      </c>
    </row>
    <row r="255" spans="1:2">
      <c r="A255" t="s">
        <v>20</v>
      </c>
      <c r="B255" t="s">
        <v>317</v>
      </c>
    </row>
    <row r="256" spans="1:2">
      <c r="A256" t="s">
        <v>77</v>
      </c>
      <c r="B256" t="s">
        <v>318</v>
      </c>
    </row>
    <row r="257" spans="1:2">
      <c r="A257" t="s">
        <v>91</v>
      </c>
      <c r="B257" t="s">
        <v>319</v>
      </c>
    </row>
    <row r="258" spans="1:2">
      <c r="A258" t="s">
        <v>56</v>
      </c>
      <c r="B258" t="s">
        <v>320</v>
      </c>
    </row>
    <row r="259" spans="1:2">
      <c r="A259" t="s">
        <v>18</v>
      </c>
      <c r="B259" t="s">
        <v>321</v>
      </c>
    </row>
    <row r="260" spans="1:2">
      <c r="A260" t="s">
        <v>6</v>
      </c>
      <c r="B260" t="s">
        <v>322</v>
      </c>
    </row>
    <row r="261" spans="1:2">
      <c r="A261" t="s">
        <v>323</v>
      </c>
      <c r="B261" t="s">
        <v>324</v>
      </c>
    </row>
    <row r="262" spans="1:2">
      <c r="A262" t="s">
        <v>6</v>
      </c>
      <c r="B262" t="s">
        <v>325</v>
      </c>
    </row>
    <row r="263" spans="1:2">
      <c r="A263" t="s">
        <v>6</v>
      </c>
      <c r="B263" t="s">
        <v>326</v>
      </c>
    </row>
    <row r="264" spans="1:2">
      <c r="A264" t="s">
        <v>310</v>
      </c>
      <c r="B264" t="s">
        <v>327</v>
      </c>
    </row>
    <row r="265" spans="1:2">
      <c r="A265" t="s">
        <v>77</v>
      </c>
      <c r="B265" t="s">
        <v>328</v>
      </c>
    </row>
    <row r="266" spans="1:2">
      <c r="A266" t="s">
        <v>107</v>
      </c>
      <c r="B266" t="s">
        <v>329</v>
      </c>
    </row>
    <row r="267" spans="1:2">
      <c r="A267" t="s">
        <v>6</v>
      </c>
      <c r="B267" t="s">
        <v>330</v>
      </c>
    </row>
    <row r="268" spans="1:2">
      <c r="A268" t="s">
        <v>8</v>
      </c>
      <c r="B268" t="s">
        <v>331</v>
      </c>
    </row>
    <row r="269" spans="1:2">
      <c r="A269" t="s">
        <v>6</v>
      </c>
      <c r="B269" t="s">
        <v>332</v>
      </c>
    </row>
    <row r="270" spans="1:2">
      <c r="A270" t="s">
        <v>56</v>
      </c>
      <c r="B270" t="s">
        <v>333</v>
      </c>
    </row>
    <row r="271" spans="1:2">
      <c r="A271" t="s">
        <v>56</v>
      </c>
      <c r="B271" t="s">
        <v>334</v>
      </c>
    </row>
    <row r="272" spans="1:2">
      <c r="A272" t="s">
        <v>48</v>
      </c>
      <c r="B272" t="s">
        <v>335</v>
      </c>
    </row>
    <row r="273" spans="1:2">
      <c r="A273" t="s">
        <v>6</v>
      </c>
      <c r="B273" t="s">
        <v>336</v>
      </c>
    </row>
    <row r="274" spans="1:2">
      <c r="A274" t="s">
        <v>18</v>
      </c>
      <c r="B274" t="s">
        <v>337</v>
      </c>
    </row>
    <row r="275" spans="1:2">
      <c r="A275" t="s">
        <v>56</v>
      </c>
      <c r="B275" t="s">
        <v>4</v>
      </c>
    </row>
    <row r="276" spans="1:2">
      <c r="A276" t="s">
        <v>107</v>
      </c>
      <c r="B276" t="s">
        <v>338</v>
      </c>
    </row>
    <row r="277" spans="1:2">
      <c r="A277" t="s">
        <v>6</v>
      </c>
      <c r="B277" t="s">
        <v>339</v>
      </c>
    </row>
    <row r="278" spans="1:2">
      <c r="A278" t="s">
        <v>6</v>
      </c>
      <c r="B278" t="s">
        <v>340</v>
      </c>
    </row>
    <row r="279" spans="1:2">
      <c r="A279" t="s">
        <v>56</v>
      </c>
      <c r="B279" t="s">
        <v>341</v>
      </c>
    </row>
    <row r="280" spans="1:2">
      <c r="A280" t="s">
        <v>14</v>
      </c>
      <c r="B280" t="s">
        <v>342</v>
      </c>
    </row>
    <row r="281" spans="1:2">
      <c r="A281" t="s">
        <v>14</v>
      </c>
      <c r="B281" t="s">
        <v>343</v>
      </c>
    </row>
    <row r="282" spans="1:2">
      <c r="A282" t="s">
        <v>344</v>
      </c>
      <c r="B282" t="s">
        <v>345</v>
      </c>
    </row>
    <row r="283" spans="1:2">
      <c r="A283" t="s">
        <v>6</v>
      </c>
      <c r="B283" t="s">
        <v>346</v>
      </c>
    </row>
    <row r="284" spans="1:2">
      <c r="A284" t="s">
        <v>347</v>
      </c>
      <c r="B284" t="s">
        <v>348</v>
      </c>
    </row>
    <row r="285" spans="1:2">
      <c r="A285" t="s">
        <v>14</v>
      </c>
      <c r="B285" t="s">
        <v>349</v>
      </c>
    </row>
    <row r="286" spans="1:2">
      <c r="A286" t="s">
        <v>56</v>
      </c>
      <c r="B286" t="s">
        <v>350</v>
      </c>
    </row>
    <row r="287" spans="1:2">
      <c r="A287" t="s">
        <v>6</v>
      </c>
      <c r="B287" t="s">
        <v>351</v>
      </c>
    </row>
    <row r="288" spans="1:2">
      <c r="A288" t="s">
        <v>18</v>
      </c>
      <c r="B288" t="s">
        <v>352</v>
      </c>
    </row>
    <row r="289" spans="1:2">
      <c r="A289" t="s">
        <v>68</v>
      </c>
      <c r="B289" t="s">
        <v>353</v>
      </c>
    </row>
    <row r="290" spans="1:2">
      <c r="A290" t="s">
        <v>14</v>
      </c>
      <c r="B290" t="s">
        <v>354</v>
      </c>
    </row>
    <row r="291" spans="1:2">
      <c r="A291" t="s">
        <v>160</v>
      </c>
      <c r="B291" t="s">
        <v>355</v>
      </c>
    </row>
    <row r="292" spans="1:2">
      <c r="A292" t="s">
        <v>356</v>
      </c>
      <c r="B292" t="s">
        <v>357</v>
      </c>
    </row>
    <row r="293" spans="1:2">
      <c r="A293" t="s">
        <v>6</v>
      </c>
      <c r="B293" t="s">
        <v>358</v>
      </c>
    </row>
    <row r="294" spans="1:2">
      <c r="A294" t="s">
        <v>14</v>
      </c>
      <c r="B294" t="s">
        <v>359</v>
      </c>
    </row>
    <row r="295" spans="1:2">
      <c r="A295" t="s">
        <v>18</v>
      </c>
      <c r="B295" t="s">
        <v>360</v>
      </c>
    </row>
    <row r="296" spans="1:2">
      <c r="A296" t="s">
        <v>134</v>
      </c>
      <c r="B296" t="s">
        <v>361</v>
      </c>
    </row>
    <row r="297" spans="1:2">
      <c r="A297" t="s">
        <v>29</v>
      </c>
      <c r="B297" t="s">
        <v>362</v>
      </c>
    </row>
    <row r="298" spans="1:2">
      <c r="A298" t="s">
        <v>18</v>
      </c>
      <c r="B298" t="s">
        <v>363</v>
      </c>
    </row>
    <row r="299" spans="1:2">
      <c r="A299" t="s">
        <v>6</v>
      </c>
      <c r="B299" t="s">
        <v>364</v>
      </c>
    </row>
    <row r="300" spans="1:2">
      <c r="A300" t="s">
        <v>130</v>
      </c>
      <c r="B300" t="s">
        <v>365</v>
      </c>
    </row>
    <row r="301" spans="1:2">
      <c r="A301" t="s">
        <v>191</v>
      </c>
      <c r="B301" t="s">
        <v>366</v>
      </c>
    </row>
    <row r="302" spans="1:2">
      <c r="A302" t="s">
        <v>48</v>
      </c>
      <c r="B302" t="s">
        <v>367</v>
      </c>
    </row>
    <row r="303" spans="1:2">
      <c r="A303" t="s">
        <v>18</v>
      </c>
      <c r="B303" t="s">
        <v>368</v>
      </c>
    </row>
    <row r="304" spans="1:2">
      <c r="A304" t="s">
        <v>369</v>
      </c>
      <c r="B304" t="s">
        <v>370</v>
      </c>
    </row>
    <row r="305" spans="1:2">
      <c r="A305" t="s">
        <v>6</v>
      </c>
      <c r="B305" t="s">
        <v>371</v>
      </c>
    </row>
    <row r="306" spans="1:2">
      <c r="A306" t="s">
        <v>6</v>
      </c>
      <c r="B306" t="s">
        <v>372</v>
      </c>
    </row>
    <row r="307" spans="1:2">
      <c r="A307" t="s">
        <v>6</v>
      </c>
      <c r="B307" t="s">
        <v>373</v>
      </c>
    </row>
    <row r="308" spans="1:2">
      <c r="A308" t="s">
        <v>71</v>
      </c>
      <c r="B308" t="s">
        <v>374</v>
      </c>
    </row>
    <row r="309" spans="1:2">
      <c r="A309" t="s">
        <v>6</v>
      </c>
      <c r="B309" t="s">
        <v>375</v>
      </c>
    </row>
    <row r="310" spans="1:2">
      <c r="A310" t="s">
        <v>18</v>
      </c>
      <c r="B310" t="s">
        <v>376</v>
      </c>
    </row>
    <row r="311" spans="1:2">
      <c r="A311" t="s">
        <v>18</v>
      </c>
      <c r="B311" t="s">
        <v>377</v>
      </c>
    </row>
    <row r="312" spans="1:2">
      <c r="A312" t="s">
        <v>20</v>
      </c>
      <c r="B312" t="s">
        <v>378</v>
      </c>
    </row>
    <row r="313" spans="1:2">
      <c r="A313" t="s">
        <v>379</v>
      </c>
      <c r="B313" t="s">
        <v>380</v>
      </c>
    </row>
    <row r="314" spans="1:2">
      <c r="A314" t="s">
        <v>29</v>
      </c>
      <c r="B314" t="s">
        <v>381</v>
      </c>
    </row>
    <row r="315" spans="1:2">
      <c r="A315" t="s">
        <v>18</v>
      </c>
      <c r="B315" t="s">
        <v>382</v>
      </c>
    </row>
    <row r="316" spans="1:2">
      <c r="A316" t="s">
        <v>56</v>
      </c>
      <c r="B316" t="s">
        <v>383</v>
      </c>
    </row>
    <row r="317" spans="1:2">
      <c r="A317" t="s">
        <v>6</v>
      </c>
      <c r="B317" t="s">
        <v>384</v>
      </c>
    </row>
    <row r="318" spans="1:2">
      <c r="A318" t="s">
        <v>6</v>
      </c>
      <c r="B318" t="s">
        <v>385</v>
      </c>
    </row>
    <row r="319" spans="1:2">
      <c r="A319" t="s">
        <v>77</v>
      </c>
      <c r="B319" t="s">
        <v>386</v>
      </c>
    </row>
    <row r="320" spans="1:2">
      <c r="A320" t="s">
        <v>18</v>
      </c>
      <c r="B320" t="s">
        <v>387</v>
      </c>
    </row>
    <row r="321" spans="1:2">
      <c r="A321" t="s">
        <v>388</v>
      </c>
      <c r="B321" t="s">
        <v>389</v>
      </c>
    </row>
    <row r="322" spans="1:2">
      <c r="A322" t="s">
        <v>112</v>
      </c>
      <c r="B322" t="s">
        <v>390</v>
      </c>
    </row>
    <row r="323" spans="1:2">
      <c r="A323" t="s">
        <v>107</v>
      </c>
      <c r="B323" t="s">
        <v>391</v>
      </c>
    </row>
    <row r="324" spans="1:2">
      <c r="A324" t="s">
        <v>6</v>
      </c>
      <c r="B324" t="s">
        <v>392</v>
      </c>
    </row>
    <row r="325" spans="1:2">
      <c r="A325" t="s">
        <v>112</v>
      </c>
      <c r="B325" t="s">
        <v>393</v>
      </c>
    </row>
    <row r="326" spans="1:2">
      <c r="A326" t="s">
        <v>18</v>
      </c>
      <c r="B326" t="s">
        <v>223</v>
      </c>
    </row>
    <row r="327" spans="1:2">
      <c r="A327" t="s">
        <v>6</v>
      </c>
      <c r="B327" t="s">
        <v>394</v>
      </c>
    </row>
    <row r="328" spans="1:2">
      <c r="A328" t="s">
        <v>6</v>
      </c>
      <c r="B328" t="s">
        <v>395</v>
      </c>
    </row>
    <row r="329" spans="1:2">
      <c r="A329" t="s">
        <v>6</v>
      </c>
      <c r="B329" t="s">
        <v>396</v>
      </c>
    </row>
    <row r="330" spans="1:2">
      <c r="A330" t="s">
        <v>6</v>
      </c>
      <c r="B330" t="s">
        <v>397</v>
      </c>
    </row>
    <row r="331" spans="1:2">
      <c r="A331" t="s">
        <v>68</v>
      </c>
      <c r="B331" t="s">
        <v>398</v>
      </c>
    </row>
    <row r="332" spans="1:2">
      <c r="A332" t="s">
        <v>399</v>
      </c>
      <c r="B332" t="s">
        <v>400</v>
      </c>
    </row>
    <row r="333" spans="1:2">
      <c r="A333" t="s">
        <v>6</v>
      </c>
      <c r="B333" t="s">
        <v>401</v>
      </c>
    </row>
    <row r="334" spans="1:2">
      <c r="A334" t="s">
        <v>56</v>
      </c>
      <c r="B334" t="s">
        <v>310</v>
      </c>
    </row>
    <row r="335" spans="1:2">
      <c r="A335" t="s">
        <v>160</v>
      </c>
      <c r="B335" t="s">
        <v>402</v>
      </c>
    </row>
    <row r="336" spans="1:2">
      <c r="A336" t="s">
        <v>112</v>
      </c>
      <c r="B336" t="s">
        <v>403</v>
      </c>
    </row>
    <row r="337" spans="1:2">
      <c r="A337" t="s">
        <v>42</v>
      </c>
      <c r="B337" t="s">
        <v>404</v>
      </c>
    </row>
    <row r="338" spans="1:2">
      <c r="A338" t="s">
        <v>39</v>
      </c>
      <c r="B338" t="s">
        <v>405</v>
      </c>
    </row>
    <row r="339" spans="1:2">
      <c r="A339" t="s">
        <v>18</v>
      </c>
      <c r="B339" t="s">
        <v>406</v>
      </c>
    </row>
    <row r="340" spans="1:2">
      <c r="A340" t="s">
        <v>6</v>
      </c>
      <c r="B340" t="s">
        <v>407</v>
      </c>
    </row>
    <row r="341" spans="1:2">
      <c r="A341" t="s">
        <v>6</v>
      </c>
      <c r="B341" t="s">
        <v>408</v>
      </c>
    </row>
    <row r="342" spans="1:2">
      <c r="A342" t="s">
        <v>6</v>
      </c>
      <c r="B342" t="s">
        <v>409</v>
      </c>
    </row>
    <row r="343" spans="1:2">
      <c r="A343" t="s">
        <v>6</v>
      </c>
      <c r="B343" t="s">
        <v>410</v>
      </c>
    </row>
    <row r="344" spans="1:2">
      <c r="A344" t="s">
        <v>39</v>
      </c>
      <c r="B344" t="s">
        <v>411</v>
      </c>
    </row>
    <row r="345" spans="1:2">
      <c r="A345" t="s">
        <v>6</v>
      </c>
      <c r="B345" t="s">
        <v>412</v>
      </c>
    </row>
    <row r="346" spans="1:2">
      <c r="A346" t="s">
        <v>6</v>
      </c>
      <c r="B346" t="s">
        <v>413</v>
      </c>
    </row>
    <row r="347" spans="1:2">
      <c r="A347" t="s">
        <v>18</v>
      </c>
      <c r="B347" t="s">
        <v>414</v>
      </c>
    </row>
    <row r="348" spans="1:2">
      <c r="A348" t="s">
        <v>29</v>
      </c>
      <c r="B348" t="s">
        <v>415</v>
      </c>
    </row>
    <row r="349" spans="1:2">
      <c r="A349" t="s">
        <v>77</v>
      </c>
      <c r="B349" t="s">
        <v>416</v>
      </c>
    </row>
    <row r="350" spans="1:2">
      <c r="A350" t="s">
        <v>42</v>
      </c>
      <c r="B350" t="s">
        <v>417</v>
      </c>
    </row>
    <row r="351" spans="1:2">
      <c r="A351" t="s">
        <v>6</v>
      </c>
      <c r="B351" t="s">
        <v>418</v>
      </c>
    </row>
    <row r="352" spans="1:2">
      <c r="A352" t="s">
        <v>6</v>
      </c>
      <c r="B352" t="s">
        <v>419</v>
      </c>
    </row>
    <row r="353" spans="1:2">
      <c r="A353" t="s">
        <v>6</v>
      </c>
      <c r="B353" t="s">
        <v>420</v>
      </c>
    </row>
    <row r="354" spans="1:2">
      <c r="A354" t="s">
        <v>77</v>
      </c>
      <c r="B354" t="s">
        <v>421</v>
      </c>
    </row>
    <row r="355" spans="1:2">
      <c r="A355" t="s">
        <v>6</v>
      </c>
      <c r="B355" t="s">
        <v>422</v>
      </c>
    </row>
    <row r="356" spans="1:2">
      <c r="A356" t="s">
        <v>18</v>
      </c>
      <c r="B356" t="s">
        <v>423</v>
      </c>
    </row>
    <row r="357" spans="1:2">
      <c r="A357" t="s">
        <v>6</v>
      </c>
      <c r="B357" t="s">
        <v>424</v>
      </c>
    </row>
    <row r="358" spans="1:2">
      <c r="A358" t="s">
        <v>39</v>
      </c>
      <c r="B358" t="s">
        <v>425</v>
      </c>
    </row>
    <row r="359" spans="1:2">
      <c r="A359" t="s">
        <v>154</v>
      </c>
      <c r="B359" t="s">
        <v>426</v>
      </c>
    </row>
    <row r="360" spans="1:2">
      <c r="A360" t="s">
        <v>56</v>
      </c>
      <c r="B360" t="s">
        <v>427</v>
      </c>
    </row>
    <row r="361" spans="1:2">
      <c r="A361" t="s">
        <v>428</v>
      </c>
      <c r="B361" t="s">
        <v>429</v>
      </c>
    </row>
    <row r="362" spans="1:2">
      <c r="A362" t="s">
        <v>112</v>
      </c>
      <c r="B362" t="s">
        <v>430</v>
      </c>
    </row>
    <row r="363" spans="1:2">
      <c r="A363" t="s">
        <v>77</v>
      </c>
      <c r="B363" t="s">
        <v>431</v>
      </c>
    </row>
    <row r="364" spans="1:2">
      <c r="A364" t="s">
        <v>6</v>
      </c>
      <c r="B364" t="s">
        <v>432</v>
      </c>
    </row>
    <row r="365" spans="1:2">
      <c r="A365" t="s">
        <v>6</v>
      </c>
      <c r="B365" t="s">
        <v>433</v>
      </c>
    </row>
    <row r="366" spans="1:2">
      <c r="A366" t="s">
        <v>18</v>
      </c>
      <c r="B366" t="s">
        <v>434</v>
      </c>
    </row>
    <row r="367" spans="1:2">
      <c r="A367" t="s">
        <v>6</v>
      </c>
      <c r="B367" t="s">
        <v>435</v>
      </c>
    </row>
    <row r="368" spans="1:2">
      <c r="A368" t="s">
        <v>29</v>
      </c>
      <c r="B368" t="s">
        <v>436</v>
      </c>
    </row>
    <row r="369" spans="1:2">
      <c r="A369" t="s">
        <v>6</v>
      </c>
      <c r="B369" t="s">
        <v>437</v>
      </c>
    </row>
    <row r="370" spans="1:2">
      <c r="A370" t="s">
        <v>18</v>
      </c>
      <c r="B370" t="s">
        <v>438</v>
      </c>
    </row>
    <row r="371" spans="1:2">
      <c r="A371" t="s">
        <v>439</v>
      </c>
      <c r="B371" t="s">
        <v>440</v>
      </c>
    </row>
    <row r="372" spans="1:2">
      <c r="A372" t="s">
        <v>42</v>
      </c>
      <c r="B372" t="s">
        <v>441</v>
      </c>
    </row>
    <row r="373" spans="1:2">
      <c r="A373" t="s">
        <v>112</v>
      </c>
      <c r="B373" t="s">
        <v>442</v>
      </c>
    </row>
    <row r="374" spans="1:2">
      <c r="A374" t="s">
        <v>12</v>
      </c>
      <c r="B374" t="s">
        <v>443</v>
      </c>
    </row>
    <row r="375" spans="1:2">
      <c r="A375" t="s">
        <v>39</v>
      </c>
      <c r="B375" t="s">
        <v>444</v>
      </c>
    </row>
    <row r="376" spans="1:2">
      <c r="A376" t="s">
        <v>6</v>
      </c>
      <c r="B376" t="s">
        <v>445</v>
      </c>
    </row>
    <row r="377" spans="1:2">
      <c r="A377" t="s">
        <v>18</v>
      </c>
      <c r="B377" t="s">
        <v>446</v>
      </c>
    </row>
    <row r="378" spans="1:2">
      <c r="A378" t="s">
        <v>6</v>
      </c>
      <c r="B378" t="s">
        <v>447</v>
      </c>
    </row>
    <row r="379" spans="1:2">
      <c r="A379" t="s">
        <v>107</v>
      </c>
      <c r="B379" t="s">
        <v>448</v>
      </c>
    </row>
    <row r="380" spans="1:2">
      <c r="A380" t="s">
        <v>77</v>
      </c>
      <c r="B380" t="s">
        <v>449</v>
      </c>
    </row>
    <row r="381" spans="1:2">
      <c r="A381" t="s">
        <v>18</v>
      </c>
      <c r="B381" t="s">
        <v>27</v>
      </c>
    </row>
    <row r="382" spans="1:2">
      <c r="A382" t="s">
        <v>112</v>
      </c>
      <c r="B382" t="s">
        <v>450</v>
      </c>
    </row>
    <row r="383" spans="1:2">
      <c r="A383" t="s">
        <v>77</v>
      </c>
      <c r="B383" t="s">
        <v>451</v>
      </c>
    </row>
    <row r="384" spans="1:2">
      <c r="A384" t="s">
        <v>12</v>
      </c>
      <c r="B384" t="s">
        <v>452</v>
      </c>
    </row>
    <row r="385" spans="1:2">
      <c r="A385" t="s">
        <v>453</v>
      </c>
      <c r="B385" t="s">
        <v>454</v>
      </c>
    </row>
    <row r="386" spans="1:2">
      <c r="A386" t="s">
        <v>223</v>
      </c>
      <c r="B386" t="s">
        <v>455</v>
      </c>
    </row>
    <row r="387" spans="1:2">
      <c r="A387" t="s">
        <v>456</v>
      </c>
      <c r="B387" t="s">
        <v>457</v>
      </c>
    </row>
    <row r="388" spans="1:2">
      <c r="A388" t="s">
        <v>48</v>
      </c>
      <c r="B388" t="s">
        <v>458</v>
      </c>
    </row>
    <row r="389" spans="1:2">
      <c r="A389" t="s">
        <v>6</v>
      </c>
      <c r="B389" t="s">
        <v>459</v>
      </c>
    </row>
    <row r="390" spans="1:2">
      <c r="A390" t="s">
        <v>77</v>
      </c>
      <c r="B390" t="s">
        <v>460</v>
      </c>
    </row>
    <row r="391" spans="1:2">
      <c r="A391" t="s">
        <v>6</v>
      </c>
      <c r="B391" t="s">
        <v>461</v>
      </c>
    </row>
    <row r="392" spans="1:2">
      <c r="A392" t="s">
        <v>56</v>
      </c>
      <c r="B392" t="s">
        <v>462</v>
      </c>
    </row>
    <row r="393" spans="1:2">
      <c r="A393" t="s">
        <v>8</v>
      </c>
      <c r="B393" t="s">
        <v>463</v>
      </c>
    </row>
    <row r="394" spans="1:2">
      <c r="A394" t="s">
        <v>68</v>
      </c>
      <c r="B394" t="s">
        <v>464</v>
      </c>
    </row>
    <row r="395" spans="1:2">
      <c r="A395" t="s">
        <v>6</v>
      </c>
      <c r="B395" t="s">
        <v>465</v>
      </c>
    </row>
    <row r="396" spans="1:2">
      <c r="A396" t="s">
        <v>29</v>
      </c>
      <c r="B396" t="s">
        <v>466</v>
      </c>
    </row>
    <row r="397" spans="1:2">
      <c r="A397" t="s">
        <v>6</v>
      </c>
      <c r="B397" t="s">
        <v>467</v>
      </c>
    </row>
    <row r="398" spans="1:2">
      <c r="A398" t="s">
        <v>456</v>
      </c>
      <c r="B398" t="s">
        <v>468</v>
      </c>
    </row>
    <row r="399" spans="1:2">
      <c r="A399" t="s">
        <v>469</v>
      </c>
      <c r="B399" t="s">
        <v>470</v>
      </c>
    </row>
    <row r="400" spans="1:2">
      <c r="A400" t="s">
        <v>18</v>
      </c>
      <c r="B400" t="s">
        <v>471</v>
      </c>
    </row>
    <row r="401" spans="1:2">
      <c r="A401" t="s">
        <v>134</v>
      </c>
      <c r="B401" t="s">
        <v>472</v>
      </c>
    </row>
    <row r="402" spans="1:2">
      <c r="A402" t="s">
        <v>48</v>
      </c>
      <c r="B402" t="s">
        <v>473</v>
      </c>
    </row>
    <row r="403" spans="1:2">
      <c r="A403" t="s">
        <v>103</v>
      </c>
      <c r="B403" t="s">
        <v>474</v>
      </c>
    </row>
    <row r="404" spans="1:2">
      <c r="A404" t="s">
        <v>6</v>
      </c>
      <c r="B404" t="s">
        <v>475</v>
      </c>
    </row>
    <row r="405" spans="1:2">
      <c r="A405" t="s">
        <v>39</v>
      </c>
      <c r="B405" t="s">
        <v>476</v>
      </c>
    </row>
    <row r="406" spans="1:2">
      <c r="A406" t="s">
        <v>42</v>
      </c>
      <c r="B406" t="s">
        <v>477</v>
      </c>
    </row>
    <row r="407" spans="1:2">
      <c r="A407" t="s">
        <v>478</v>
      </c>
      <c r="B407" t="s">
        <v>479</v>
      </c>
    </row>
    <row r="408" spans="1:2">
      <c r="A408" t="s">
        <v>48</v>
      </c>
      <c r="B408" t="s">
        <v>480</v>
      </c>
    </row>
    <row r="409" spans="1:2">
      <c r="A409" t="s">
        <v>29</v>
      </c>
      <c r="B409" t="s">
        <v>481</v>
      </c>
    </row>
    <row r="410" spans="1:2">
      <c r="A410" t="s">
        <v>105</v>
      </c>
      <c r="B410" t="s">
        <v>482</v>
      </c>
    </row>
    <row r="411" spans="1:2">
      <c r="A411" t="s">
        <v>6</v>
      </c>
      <c r="B411" t="s">
        <v>483</v>
      </c>
    </row>
    <row r="412" spans="1:2">
      <c r="A412" t="s">
        <v>68</v>
      </c>
      <c r="B412" t="s">
        <v>484</v>
      </c>
    </row>
    <row r="413" spans="1:2">
      <c r="A413" t="s">
        <v>485</v>
      </c>
      <c r="B413" t="s">
        <v>486</v>
      </c>
    </row>
    <row r="414" spans="1:2">
      <c r="A414" t="s">
        <v>6</v>
      </c>
      <c r="B414" t="s">
        <v>487</v>
      </c>
    </row>
    <row r="415" spans="1:2">
      <c r="A415" t="s">
        <v>20</v>
      </c>
      <c r="B415" t="s">
        <v>488</v>
      </c>
    </row>
    <row r="416" spans="1:2">
      <c r="A416" t="s">
        <v>6</v>
      </c>
      <c r="B416" t="s">
        <v>489</v>
      </c>
    </row>
    <row r="417" spans="1:2">
      <c r="A417" t="s">
        <v>6</v>
      </c>
      <c r="B417" t="s">
        <v>490</v>
      </c>
    </row>
    <row r="418" spans="1:2">
      <c r="A418" t="s">
        <v>491</v>
      </c>
      <c r="B418" t="s">
        <v>492</v>
      </c>
    </row>
    <row r="419" spans="1:2">
      <c r="A419" s="1">
        <v>41159</v>
      </c>
      <c r="B419" t="s">
        <v>493</v>
      </c>
    </row>
    <row r="420" spans="1:2">
      <c r="A420" t="s">
        <v>6</v>
      </c>
      <c r="B420" t="s">
        <v>494</v>
      </c>
    </row>
    <row r="421" spans="1:2">
      <c r="A421" t="s">
        <v>495</v>
      </c>
      <c r="B421" t="s">
        <v>496</v>
      </c>
    </row>
    <row r="422" spans="1:2">
      <c r="A422" t="s">
        <v>388</v>
      </c>
      <c r="B422" t="s">
        <v>497</v>
      </c>
    </row>
    <row r="423" spans="1:2">
      <c r="A423" t="s">
        <v>133</v>
      </c>
      <c r="B423" t="s">
        <v>498</v>
      </c>
    </row>
    <row r="424" spans="1:2">
      <c r="A424" t="s">
        <v>137</v>
      </c>
      <c r="B424" t="s">
        <v>499</v>
      </c>
    </row>
    <row r="425" spans="1:2">
      <c r="A425" t="s">
        <v>6</v>
      </c>
      <c r="B425" t="s">
        <v>500</v>
      </c>
    </row>
    <row r="426" spans="1:2">
      <c r="A426" t="s">
        <v>77</v>
      </c>
      <c r="B426" t="s">
        <v>501</v>
      </c>
    </row>
    <row r="427" spans="1:2">
      <c r="A427" t="s">
        <v>18</v>
      </c>
      <c r="B427" t="s">
        <v>77</v>
      </c>
    </row>
    <row r="428" spans="1:2">
      <c r="A428" t="s">
        <v>14</v>
      </c>
      <c r="B428" t="s">
        <v>502</v>
      </c>
    </row>
    <row r="429" spans="1:2">
      <c r="A429" t="s">
        <v>107</v>
      </c>
      <c r="B429" t="s">
        <v>503</v>
      </c>
    </row>
    <row r="430" spans="1:2">
      <c r="A430" t="s">
        <v>18</v>
      </c>
      <c r="B430" t="s">
        <v>504</v>
      </c>
    </row>
    <row r="431" spans="1:2">
      <c r="A431" t="s">
        <v>48</v>
      </c>
      <c r="B431" t="s">
        <v>505</v>
      </c>
    </row>
    <row r="432" spans="1:2">
      <c r="A432" t="s">
        <v>506</v>
      </c>
      <c r="B432" t="s">
        <v>507</v>
      </c>
    </row>
    <row r="433" spans="1:2">
      <c r="A433" t="s">
        <v>152</v>
      </c>
      <c r="B433" t="s">
        <v>94</v>
      </c>
    </row>
    <row r="434" spans="1:2">
      <c r="A434" t="s">
        <v>18</v>
      </c>
      <c r="B434" t="s">
        <v>508</v>
      </c>
    </row>
    <row r="435" spans="1:2">
      <c r="A435" t="s">
        <v>29</v>
      </c>
      <c r="B435" t="s">
        <v>509</v>
      </c>
    </row>
    <row r="436" spans="1:2">
      <c r="A436" t="s">
        <v>212</v>
      </c>
      <c r="B436" t="s">
        <v>510</v>
      </c>
    </row>
    <row r="437" spans="1:2">
      <c r="A437" t="s">
        <v>46</v>
      </c>
      <c r="B437" t="s">
        <v>511</v>
      </c>
    </row>
    <row r="438" spans="1:2">
      <c r="A438" t="s">
        <v>6</v>
      </c>
      <c r="B438" t="s">
        <v>512</v>
      </c>
    </row>
    <row r="439" spans="1:2">
      <c r="A439" t="s">
        <v>20</v>
      </c>
      <c r="B439" t="s">
        <v>513</v>
      </c>
    </row>
    <row r="440" spans="1:2">
      <c r="A440" t="s">
        <v>29</v>
      </c>
      <c r="B440" t="s">
        <v>514</v>
      </c>
    </row>
    <row r="441" spans="1:2">
      <c r="A441" t="s">
        <v>105</v>
      </c>
      <c r="B441" t="s">
        <v>515</v>
      </c>
    </row>
    <row r="442" spans="1:2">
      <c r="A442" t="s">
        <v>6</v>
      </c>
      <c r="B442" t="s">
        <v>516</v>
      </c>
    </row>
    <row r="443" spans="1:2">
      <c r="A443" t="s">
        <v>18</v>
      </c>
      <c r="B443" t="s">
        <v>517</v>
      </c>
    </row>
    <row r="444" spans="1:2">
      <c r="A444" t="s">
        <v>469</v>
      </c>
      <c r="B444" t="s">
        <v>62</v>
      </c>
    </row>
    <row r="445" spans="1:2">
      <c r="A445" t="s">
        <v>6</v>
      </c>
      <c r="B445" t="s">
        <v>518</v>
      </c>
    </row>
    <row r="446" spans="1:2">
      <c r="A446" t="s">
        <v>6</v>
      </c>
      <c r="B446" t="s">
        <v>519</v>
      </c>
    </row>
    <row r="447" spans="1:2">
      <c r="A447" t="s">
        <v>105</v>
      </c>
      <c r="B447" t="s">
        <v>520</v>
      </c>
    </row>
    <row r="448" spans="1:2">
      <c r="A448" t="s">
        <v>68</v>
      </c>
      <c r="B448" t="s">
        <v>521</v>
      </c>
    </row>
    <row r="449" spans="1:2">
      <c r="A449" t="s">
        <v>18</v>
      </c>
      <c r="B449" t="s">
        <v>522</v>
      </c>
    </row>
    <row r="450" spans="1:2">
      <c r="A450" t="s">
        <v>6</v>
      </c>
      <c r="B450" t="s">
        <v>523</v>
      </c>
    </row>
    <row r="451" spans="1:2">
      <c r="A451" t="s">
        <v>33</v>
      </c>
      <c r="B451" t="s">
        <v>524</v>
      </c>
    </row>
    <row r="452" spans="1:2">
      <c r="A452" t="s">
        <v>525</v>
      </c>
      <c r="B452" t="s">
        <v>526</v>
      </c>
    </row>
    <row r="453" spans="1:2">
      <c r="A453" t="s">
        <v>527</v>
      </c>
      <c r="B453" t="s">
        <v>528</v>
      </c>
    </row>
    <row r="454" spans="1:2">
      <c r="A454" t="s">
        <v>18</v>
      </c>
      <c r="B454" t="s">
        <v>529</v>
      </c>
    </row>
    <row r="455" spans="1:2">
      <c r="A455" t="s">
        <v>12</v>
      </c>
      <c r="B455" t="s">
        <v>530</v>
      </c>
    </row>
    <row r="456" spans="1:2">
      <c r="A456" t="s">
        <v>531</v>
      </c>
      <c r="B456" t="s">
        <v>532</v>
      </c>
    </row>
    <row r="457" spans="1:2">
      <c r="A457" t="s">
        <v>56</v>
      </c>
      <c r="B457" t="s">
        <v>533</v>
      </c>
    </row>
    <row r="458" spans="1:2">
      <c r="A458" t="s">
        <v>6</v>
      </c>
      <c r="B458" t="s">
        <v>534</v>
      </c>
    </row>
    <row r="459" spans="1:2">
      <c r="A459" t="s">
        <v>20</v>
      </c>
      <c r="B459" t="s">
        <v>535</v>
      </c>
    </row>
    <row r="460" spans="1:2">
      <c r="A460" t="s">
        <v>50</v>
      </c>
      <c r="B460" t="s">
        <v>536</v>
      </c>
    </row>
    <row r="461" spans="1:2">
      <c r="A461" t="s">
        <v>6</v>
      </c>
      <c r="B461" t="s">
        <v>537</v>
      </c>
    </row>
    <row r="462" spans="1:2">
      <c r="A462" t="s">
        <v>18</v>
      </c>
      <c r="B462" t="s">
        <v>538</v>
      </c>
    </row>
    <row r="463" spans="1:2">
      <c r="A463" t="s">
        <v>539</v>
      </c>
      <c r="B463" t="s">
        <v>540</v>
      </c>
    </row>
    <row r="464" spans="1:2">
      <c r="A464" t="s">
        <v>6</v>
      </c>
      <c r="B464" t="s">
        <v>541</v>
      </c>
    </row>
    <row r="465" spans="1:2">
      <c r="A465" t="s">
        <v>56</v>
      </c>
      <c r="B465" t="s">
        <v>542</v>
      </c>
    </row>
    <row r="466" spans="1:2">
      <c r="A466" t="s">
        <v>77</v>
      </c>
      <c r="B466" t="s">
        <v>543</v>
      </c>
    </row>
    <row r="467" spans="1:2">
      <c r="A467" t="s">
        <v>77</v>
      </c>
      <c r="B467" t="s">
        <v>544</v>
      </c>
    </row>
    <row r="468" spans="1:2">
      <c r="A468" t="s">
        <v>22</v>
      </c>
      <c r="B468" t="s">
        <v>545</v>
      </c>
    </row>
    <row r="469" spans="1:2">
      <c r="A469" t="s">
        <v>46</v>
      </c>
      <c r="B469" t="s">
        <v>546</v>
      </c>
    </row>
    <row r="470" spans="1:2">
      <c r="A470" t="s">
        <v>48</v>
      </c>
      <c r="B470" t="s">
        <v>547</v>
      </c>
    </row>
    <row r="471" spans="1:2">
      <c r="A471" t="s">
        <v>14</v>
      </c>
      <c r="B471" t="s">
        <v>548</v>
      </c>
    </row>
    <row r="472" spans="1:2">
      <c r="A472" t="s">
        <v>18</v>
      </c>
      <c r="B472" t="s">
        <v>549</v>
      </c>
    </row>
    <row r="473" spans="1:2">
      <c r="A473" t="s">
        <v>77</v>
      </c>
      <c r="B473" t="s">
        <v>550</v>
      </c>
    </row>
    <row r="474" spans="1:2">
      <c r="A474" t="s">
        <v>6</v>
      </c>
      <c r="B474" t="s">
        <v>551</v>
      </c>
    </row>
    <row r="475" spans="1:2">
      <c r="A475" t="s">
        <v>103</v>
      </c>
      <c r="B475" t="s">
        <v>552</v>
      </c>
    </row>
    <row r="476" spans="1:2">
      <c r="A476" t="s">
        <v>112</v>
      </c>
      <c r="B476" t="s">
        <v>553</v>
      </c>
    </row>
    <row r="477" spans="1:2">
      <c r="A477" t="s">
        <v>56</v>
      </c>
      <c r="B477" t="s">
        <v>379</v>
      </c>
    </row>
    <row r="478" spans="1:2">
      <c r="A478" t="s">
        <v>6</v>
      </c>
      <c r="B478" t="s">
        <v>554</v>
      </c>
    </row>
    <row r="479" spans="1:2">
      <c r="A479" t="s">
        <v>6</v>
      </c>
      <c r="B479" t="s">
        <v>555</v>
      </c>
    </row>
    <row r="480" spans="1:2">
      <c r="A480" t="s">
        <v>8</v>
      </c>
      <c r="B480" t="s">
        <v>556</v>
      </c>
    </row>
    <row r="481" spans="1:2">
      <c r="A481" t="s">
        <v>22</v>
      </c>
      <c r="B481" t="s">
        <v>557</v>
      </c>
    </row>
    <row r="482" spans="1:2">
      <c r="A482" t="s">
        <v>6</v>
      </c>
      <c r="B482" t="s">
        <v>558</v>
      </c>
    </row>
    <row r="483" spans="1:2">
      <c r="A483" t="s">
        <v>18</v>
      </c>
      <c r="B483" t="s">
        <v>559</v>
      </c>
    </row>
    <row r="484" spans="1:2">
      <c r="A484" t="s">
        <v>68</v>
      </c>
      <c r="B484" t="s">
        <v>560</v>
      </c>
    </row>
    <row r="485" spans="1:2">
      <c r="A485" t="s">
        <v>154</v>
      </c>
      <c r="B485" t="s">
        <v>561</v>
      </c>
    </row>
    <row r="486" spans="1:2">
      <c r="A486" t="s">
        <v>107</v>
      </c>
      <c r="B486" t="s">
        <v>388</v>
      </c>
    </row>
    <row r="487" spans="1:2">
      <c r="A487" t="s">
        <v>22</v>
      </c>
      <c r="B487" t="s">
        <v>562</v>
      </c>
    </row>
    <row r="488" spans="1:2">
      <c r="A488" t="s">
        <v>18</v>
      </c>
      <c r="B488" t="s">
        <v>563</v>
      </c>
    </row>
    <row r="489" spans="1:2">
      <c r="A489" t="s">
        <v>6</v>
      </c>
      <c r="B489" t="s">
        <v>564</v>
      </c>
    </row>
    <row r="490" spans="1:2">
      <c r="A490" t="s">
        <v>6</v>
      </c>
      <c r="B490" t="s">
        <v>565</v>
      </c>
    </row>
    <row r="491" spans="1:2">
      <c r="A491" t="s">
        <v>62</v>
      </c>
      <c r="B491" t="s">
        <v>566</v>
      </c>
    </row>
    <row r="492" spans="1:2">
      <c r="A492" t="s">
        <v>56</v>
      </c>
      <c r="B492" t="s">
        <v>20</v>
      </c>
    </row>
    <row r="493" spans="1:2">
      <c r="A493" t="s">
        <v>105</v>
      </c>
      <c r="B493" t="s">
        <v>567</v>
      </c>
    </row>
    <row r="494" spans="1:2">
      <c r="A494" t="s">
        <v>42</v>
      </c>
      <c r="B494" t="s">
        <v>568</v>
      </c>
    </row>
    <row r="495" spans="1:2">
      <c r="A495" t="s">
        <v>20</v>
      </c>
      <c r="B495" t="s">
        <v>569</v>
      </c>
    </row>
    <row r="496" spans="1:2">
      <c r="A496" t="s">
        <v>6</v>
      </c>
      <c r="B496" t="s">
        <v>570</v>
      </c>
    </row>
    <row r="497" spans="1:2">
      <c r="A497" t="s">
        <v>56</v>
      </c>
      <c r="B497" t="s">
        <v>571</v>
      </c>
    </row>
    <row r="498" spans="1:2">
      <c r="A498" t="s">
        <v>137</v>
      </c>
      <c r="B498" t="s">
        <v>572</v>
      </c>
    </row>
    <row r="499" spans="1:2">
      <c r="A499" t="s">
        <v>18</v>
      </c>
      <c r="B499" t="s">
        <v>573</v>
      </c>
    </row>
    <row r="500" spans="1:2">
      <c r="A500" t="s">
        <v>154</v>
      </c>
      <c r="B500" t="s">
        <v>574</v>
      </c>
    </row>
    <row r="501" spans="1:2">
      <c r="A501" t="s">
        <v>309</v>
      </c>
      <c r="B501" t="s">
        <v>575</v>
      </c>
    </row>
    <row r="502" spans="1:2">
      <c r="A502" t="s">
        <v>18</v>
      </c>
      <c r="B502" t="s">
        <v>576</v>
      </c>
    </row>
    <row r="503" spans="1:2">
      <c r="A503" t="s">
        <v>68</v>
      </c>
      <c r="B503" t="s">
        <v>577</v>
      </c>
    </row>
    <row r="504" spans="1:2">
      <c r="A504" t="s">
        <v>6</v>
      </c>
      <c r="B504" t="s">
        <v>18</v>
      </c>
    </row>
    <row r="505" spans="1:2">
      <c r="A505" t="s">
        <v>48</v>
      </c>
      <c r="B505" t="s">
        <v>578</v>
      </c>
    </row>
    <row r="506" spans="1:2">
      <c r="A506" t="s">
        <v>83</v>
      </c>
      <c r="B506" t="s">
        <v>579</v>
      </c>
    </row>
    <row r="507" spans="1:2">
      <c r="A507" t="s">
        <v>191</v>
      </c>
      <c r="B507" t="s">
        <v>580</v>
      </c>
    </row>
    <row r="508" spans="1:2">
      <c r="A508" t="s">
        <v>48</v>
      </c>
      <c r="B508" t="s">
        <v>581</v>
      </c>
    </row>
    <row r="509" spans="1:2">
      <c r="A509" t="s">
        <v>6</v>
      </c>
      <c r="B509" t="s">
        <v>582</v>
      </c>
    </row>
    <row r="510" spans="1:2">
      <c r="A510" t="s">
        <v>8</v>
      </c>
      <c r="B510" t="s">
        <v>583</v>
      </c>
    </row>
    <row r="511" spans="1:2">
      <c r="A511" t="s">
        <v>584</v>
      </c>
      <c r="B511" t="s">
        <v>585</v>
      </c>
    </row>
    <row r="512" spans="1:2">
      <c r="A512" t="s">
        <v>42</v>
      </c>
      <c r="B512" t="s">
        <v>586</v>
      </c>
    </row>
    <row r="513" spans="1:2">
      <c r="A513" t="s">
        <v>39</v>
      </c>
      <c r="B513" t="s">
        <v>587</v>
      </c>
    </row>
    <row r="514" spans="1:2">
      <c r="A514" t="s">
        <v>191</v>
      </c>
      <c r="B514" t="s">
        <v>258</v>
      </c>
    </row>
    <row r="515" spans="1:2">
      <c r="A515" t="s">
        <v>588</v>
      </c>
      <c r="B515" t="s">
        <v>589</v>
      </c>
    </row>
    <row r="516" spans="1:2">
      <c r="A516" t="s">
        <v>48</v>
      </c>
      <c r="B516" t="s">
        <v>590</v>
      </c>
    </row>
    <row r="517" spans="1:2">
      <c r="A517" t="s">
        <v>495</v>
      </c>
      <c r="B517" t="s">
        <v>591</v>
      </c>
    </row>
    <row r="518" spans="1:2">
      <c r="A518" t="s">
        <v>6</v>
      </c>
      <c r="B518" t="s">
        <v>592</v>
      </c>
    </row>
    <row r="519" spans="1:2">
      <c r="A519" t="s">
        <v>6</v>
      </c>
      <c r="B519" t="s">
        <v>593</v>
      </c>
    </row>
    <row r="520" spans="1:2">
      <c r="A520" t="s">
        <v>97</v>
      </c>
      <c r="B520" t="s">
        <v>594</v>
      </c>
    </row>
    <row r="521" spans="1:2">
      <c r="A521" t="s">
        <v>42</v>
      </c>
      <c r="B521" t="s">
        <v>595</v>
      </c>
    </row>
    <row r="522" spans="1:2">
      <c r="A522" t="s">
        <v>56</v>
      </c>
      <c r="B522" t="s">
        <v>127</v>
      </c>
    </row>
    <row r="523" spans="1:2">
      <c r="A523" t="s">
        <v>596</v>
      </c>
      <c r="B523" t="s">
        <v>597</v>
      </c>
    </row>
    <row r="524" spans="1:2">
      <c r="A524" t="s">
        <v>529</v>
      </c>
      <c r="B524" t="s">
        <v>598</v>
      </c>
    </row>
    <row r="525" spans="1:2">
      <c r="A525" t="s">
        <v>68</v>
      </c>
      <c r="B525" t="s">
        <v>599</v>
      </c>
    </row>
    <row r="526" spans="1:2">
      <c r="A526" t="s">
        <v>154</v>
      </c>
      <c r="B526" t="s">
        <v>600</v>
      </c>
    </row>
    <row r="527" spans="1:2">
      <c r="A527" t="s">
        <v>6</v>
      </c>
      <c r="B527" t="s">
        <v>601</v>
      </c>
    </row>
    <row r="528" spans="1:2">
      <c r="A528" t="s">
        <v>56</v>
      </c>
      <c r="B528" t="s">
        <v>602</v>
      </c>
    </row>
    <row r="529" spans="1:2">
      <c r="A529" t="s">
        <v>6</v>
      </c>
      <c r="B529" t="s">
        <v>603</v>
      </c>
    </row>
    <row r="530" spans="1:2">
      <c r="A530" t="s">
        <v>526</v>
      </c>
      <c r="B530" t="s">
        <v>604</v>
      </c>
    </row>
    <row r="531" spans="1:2">
      <c r="A531" t="s">
        <v>6</v>
      </c>
      <c r="B531" t="s">
        <v>605</v>
      </c>
    </row>
    <row r="532" spans="1:2">
      <c r="A532" t="s">
        <v>6</v>
      </c>
      <c r="B532" t="s">
        <v>606</v>
      </c>
    </row>
    <row r="533" spans="1:2">
      <c r="A533" t="s">
        <v>33</v>
      </c>
      <c r="B533" t="s">
        <v>607</v>
      </c>
    </row>
    <row r="534" spans="1:2">
      <c r="A534" t="s">
        <v>608</v>
      </c>
      <c r="B534" t="s">
        <v>609</v>
      </c>
    </row>
    <row r="535" spans="1:2">
      <c r="A535" t="s">
        <v>6</v>
      </c>
      <c r="B535" t="s">
        <v>610</v>
      </c>
    </row>
    <row r="536" spans="1:2">
      <c r="A536" t="s">
        <v>154</v>
      </c>
      <c r="B536" t="s">
        <v>611</v>
      </c>
    </row>
    <row r="537" spans="1:2">
      <c r="A537" t="s">
        <v>18</v>
      </c>
      <c r="B537" t="s">
        <v>612</v>
      </c>
    </row>
    <row r="538" spans="1:2">
      <c r="A538" t="s">
        <v>613</v>
      </c>
      <c r="B538" t="s">
        <v>614</v>
      </c>
    </row>
    <row r="539" spans="1:2">
      <c r="A539" t="s">
        <v>18</v>
      </c>
      <c r="B539" t="s">
        <v>68</v>
      </c>
    </row>
    <row r="540" spans="1:2">
      <c r="A540" t="s">
        <v>615</v>
      </c>
      <c r="B540" t="s">
        <v>616</v>
      </c>
    </row>
    <row r="541" spans="1:2">
      <c r="A541" t="s">
        <v>22</v>
      </c>
      <c r="B541" t="s">
        <v>617</v>
      </c>
    </row>
    <row r="542" spans="1:2">
      <c r="A542" t="s">
        <v>39</v>
      </c>
      <c r="B542" t="s">
        <v>618</v>
      </c>
    </row>
    <row r="543" spans="1:2">
      <c r="A543" t="s">
        <v>133</v>
      </c>
      <c r="B543" t="s">
        <v>619</v>
      </c>
    </row>
    <row r="544" spans="1:2">
      <c r="A544" t="s">
        <v>6</v>
      </c>
      <c r="B544" t="s">
        <v>620</v>
      </c>
    </row>
    <row r="545" spans="1:2">
      <c r="A545" t="s">
        <v>621</v>
      </c>
      <c r="B545" t="s">
        <v>622</v>
      </c>
    </row>
    <row r="546" spans="1:2">
      <c r="A546" t="s">
        <v>623</v>
      </c>
      <c r="B546" t="s">
        <v>624</v>
      </c>
    </row>
    <row r="547" spans="1:2">
      <c r="A547" t="s">
        <v>107</v>
      </c>
      <c r="B547" t="s">
        <v>625</v>
      </c>
    </row>
    <row r="548" spans="1:2">
      <c r="A548" t="s">
        <v>39</v>
      </c>
      <c r="B548" t="s">
        <v>626</v>
      </c>
    </row>
    <row r="549" spans="1:2">
      <c r="A549" t="s">
        <v>29</v>
      </c>
      <c r="B549" t="s">
        <v>627</v>
      </c>
    </row>
    <row r="550" spans="1:2">
      <c r="A550" t="s">
        <v>628</v>
      </c>
      <c r="B550" t="s">
        <v>629</v>
      </c>
    </row>
    <row r="551" spans="1:2">
      <c r="A551" t="s">
        <v>6</v>
      </c>
      <c r="B551" t="s">
        <v>630</v>
      </c>
    </row>
    <row r="552" spans="1:2">
      <c r="A552" t="s">
        <v>14</v>
      </c>
      <c r="B552" t="s">
        <v>85</v>
      </c>
    </row>
    <row r="553" spans="1:2">
      <c r="A553" t="s">
        <v>18</v>
      </c>
      <c r="B553" t="s">
        <v>631</v>
      </c>
    </row>
    <row r="554" spans="1:2">
      <c r="A554" t="s">
        <v>91</v>
      </c>
      <c r="B554" t="s">
        <v>632</v>
      </c>
    </row>
    <row r="555" spans="1:2">
      <c r="A555" t="s">
        <v>48</v>
      </c>
      <c r="B555" t="s">
        <v>633</v>
      </c>
    </row>
    <row r="556" spans="1:2">
      <c r="A556" t="s">
        <v>6</v>
      </c>
      <c r="B556" t="s">
        <v>634</v>
      </c>
    </row>
    <row r="557" spans="1:2">
      <c r="A557" t="s">
        <v>137</v>
      </c>
      <c r="B557" t="s">
        <v>635</v>
      </c>
    </row>
    <row r="558" spans="1:2">
      <c r="A558" t="s">
        <v>6</v>
      </c>
      <c r="B558" t="s">
        <v>636</v>
      </c>
    </row>
    <row r="559" spans="1:2">
      <c r="A559" t="s">
        <v>24</v>
      </c>
      <c r="B559" t="s">
        <v>637</v>
      </c>
    </row>
    <row r="560" spans="1:2">
      <c r="A560" t="s">
        <v>6</v>
      </c>
      <c r="B560" t="s">
        <v>638</v>
      </c>
    </row>
    <row r="561" spans="1:2">
      <c r="A561" t="s">
        <v>29</v>
      </c>
      <c r="B561" t="s">
        <v>639</v>
      </c>
    </row>
    <row r="562" spans="1:2">
      <c r="A562" t="s">
        <v>50</v>
      </c>
      <c r="B562" t="s">
        <v>640</v>
      </c>
    </row>
    <row r="563" spans="1:2">
      <c r="A563" t="s">
        <v>50</v>
      </c>
      <c r="B563" t="s">
        <v>641</v>
      </c>
    </row>
    <row r="564" spans="1:2">
      <c r="A564" t="s">
        <v>6</v>
      </c>
      <c r="B564" t="s">
        <v>642</v>
      </c>
    </row>
    <row r="565" spans="1:2">
      <c r="A565" t="s">
        <v>643</v>
      </c>
      <c r="B565" t="s">
        <v>644</v>
      </c>
    </row>
    <row r="566" spans="1:2">
      <c r="A566" t="s">
        <v>191</v>
      </c>
      <c r="B566" t="s">
        <v>645</v>
      </c>
    </row>
    <row r="567" spans="1:2">
      <c r="A567" t="s">
        <v>6</v>
      </c>
      <c r="B567" t="s">
        <v>646</v>
      </c>
    </row>
    <row r="568" spans="1:2">
      <c r="A568" t="s">
        <v>56</v>
      </c>
      <c r="B568" t="s">
        <v>647</v>
      </c>
    </row>
    <row r="569" spans="1:2">
      <c r="A569" t="s">
        <v>103</v>
      </c>
      <c r="B569" t="s">
        <v>648</v>
      </c>
    </row>
    <row r="570" spans="1:2">
      <c r="A570" t="s">
        <v>56</v>
      </c>
      <c r="B570" t="s">
        <v>6</v>
      </c>
    </row>
    <row r="571" spans="1:2">
      <c r="A571" t="s">
        <v>20</v>
      </c>
      <c r="B571" t="s">
        <v>649</v>
      </c>
    </row>
    <row r="572" spans="1:2">
      <c r="A572" t="s">
        <v>6</v>
      </c>
      <c r="B572" t="s">
        <v>650</v>
      </c>
    </row>
    <row r="573" spans="1:2">
      <c r="A573" t="s">
        <v>29</v>
      </c>
      <c r="B573" t="s">
        <v>651</v>
      </c>
    </row>
    <row r="574" spans="1:2">
      <c r="A574" t="s">
        <v>6</v>
      </c>
      <c r="B574" t="s">
        <v>652</v>
      </c>
    </row>
    <row r="575" spans="1:2">
      <c r="A575" t="s">
        <v>33</v>
      </c>
      <c r="B575" t="s">
        <v>653</v>
      </c>
    </row>
    <row r="576" spans="1:2">
      <c r="A576" t="s">
        <v>6</v>
      </c>
      <c r="B576" t="s">
        <v>654</v>
      </c>
    </row>
    <row r="577" spans="1:2">
      <c r="A577" t="s">
        <v>107</v>
      </c>
      <c r="B577" t="s">
        <v>356</v>
      </c>
    </row>
    <row r="578" spans="1:2">
      <c r="A578" t="s">
        <v>6</v>
      </c>
      <c r="B578" t="s">
        <v>655</v>
      </c>
    </row>
    <row r="579" spans="1:2">
      <c r="A579" t="s">
        <v>6</v>
      </c>
      <c r="B579" t="s">
        <v>656</v>
      </c>
    </row>
    <row r="580" spans="1:2">
      <c r="A580" t="s">
        <v>68</v>
      </c>
      <c r="B580" t="s">
        <v>657</v>
      </c>
    </row>
    <row r="581" spans="1:2">
      <c r="A581" t="s">
        <v>29</v>
      </c>
      <c r="B581" t="s">
        <v>658</v>
      </c>
    </row>
    <row r="582" spans="1:2">
      <c r="A582" s="1">
        <v>41159</v>
      </c>
      <c r="B582" t="s">
        <v>659</v>
      </c>
    </row>
    <row r="583" spans="1:2">
      <c r="A583" t="s">
        <v>22</v>
      </c>
      <c r="B583" t="s">
        <v>660</v>
      </c>
    </row>
    <row r="584" spans="1:2">
      <c r="A584" t="s">
        <v>6</v>
      </c>
      <c r="B584" t="s">
        <v>661</v>
      </c>
    </row>
    <row r="585" spans="1:2">
      <c r="A585" t="s">
        <v>6</v>
      </c>
      <c r="B585" t="s">
        <v>662</v>
      </c>
    </row>
    <row r="586" spans="1:2">
      <c r="A586" t="s">
        <v>20</v>
      </c>
      <c r="B586" t="s">
        <v>663</v>
      </c>
    </row>
    <row r="587" spans="1:2">
      <c r="A587" t="s">
        <v>6</v>
      </c>
      <c r="B587" t="s">
        <v>664</v>
      </c>
    </row>
    <row r="588" spans="1:2">
      <c r="A588" t="s">
        <v>29</v>
      </c>
      <c r="B588" t="s">
        <v>665</v>
      </c>
    </row>
    <row r="589" spans="1:2">
      <c r="A589" t="s">
        <v>6</v>
      </c>
      <c r="B589" t="s">
        <v>666</v>
      </c>
    </row>
    <row r="590" spans="1:2">
      <c r="A590" t="s">
        <v>623</v>
      </c>
      <c r="B590" t="s">
        <v>667</v>
      </c>
    </row>
    <row r="591" spans="1:2">
      <c r="A591" t="s">
        <v>6</v>
      </c>
      <c r="B591" t="s">
        <v>668</v>
      </c>
    </row>
    <row r="592" spans="1:2">
      <c r="A592" t="s">
        <v>6</v>
      </c>
      <c r="B592" t="s">
        <v>669</v>
      </c>
    </row>
    <row r="593" spans="1:2">
      <c r="A593" s="1">
        <v>41159</v>
      </c>
      <c r="B593" t="s">
        <v>670</v>
      </c>
    </row>
    <row r="594" spans="1:2">
      <c r="A594" t="s">
        <v>12</v>
      </c>
      <c r="B594" t="s">
        <v>671</v>
      </c>
    </row>
    <row r="595" spans="1:2">
      <c r="A595" t="s">
        <v>6</v>
      </c>
      <c r="B595" t="s">
        <v>672</v>
      </c>
    </row>
    <row r="596" spans="1:2">
      <c r="A596" t="s">
        <v>6</v>
      </c>
      <c r="B596" t="s">
        <v>673</v>
      </c>
    </row>
    <row r="597" spans="1:2">
      <c r="A597" t="s">
        <v>56</v>
      </c>
      <c r="B597" t="s">
        <v>674</v>
      </c>
    </row>
    <row r="598" spans="1:2">
      <c r="A598" t="s">
        <v>46</v>
      </c>
      <c r="B598" t="s">
        <v>675</v>
      </c>
    </row>
    <row r="599" spans="1:2">
      <c r="A599" t="s">
        <v>29</v>
      </c>
      <c r="B599" t="s">
        <v>676</v>
      </c>
    </row>
    <row r="600" spans="1:2">
      <c r="A600" t="s">
        <v>6</v>
      </c>
      <c r="B600" t="s">
        <v>677</v>
      </c>
    </row>
    <row r="601" spans="1:2">
      <c r="A601" t="s">
        <v>369</v>
      </c>
      <c r="B601" t="s">
        <v>678</v>
      </c>
    </row>
    <row r="602" spans="1:2">
      <c r="A602" t="s">
        <v>679</v>
      </c>
      <c r="B602" t="s">
        <v>680</v>
      </c>
    </row>
    <row r="603" spans="1:2">
      <c r="A603" t="s">
        <v>39</v>
      </c>
      <c r="B603" t="s">
        <v>681</v>
      </c>
    </row>
    <row r="604" spans="1:2">
      <c r="A604" t="s">
        <v>8</v>
      </c>
      <c r="B604" t="s">
        <v>682</v>
      </c>
    </row>
    <row r="605" spans="1:2">
      <c r="A605" t="s">
        <v>20</v>
      </c>
      <c r="B605" t="s">
        <v>683</v>
      </c>
    </row>
    <row r="606" spans="1:2">
      <c r="A606" t="s">
        <v>18</v>
      </c>
      <c r="B606" t="s">
        <v>684</v>
      </c>
    </row>
    <row r="607" spans="1:2">
      <c r="A607" t="s">
        <v>685</v>
      </c>
      <c r="B607" t="s">
        <v>686</v>
      </c>
    </row>
    <row r="608" spans="1:2">
      <c r="A608" t="s">
        <v>6</v>
      </c>
      <c r="B608" t="s">
        <v>687</v>
      </c>
    </row>
    <row r="609" spans="1:2">
      <c r="A609" t="s">
        <v>478</v>
      </c>
      <c r="B609" t="s">
        <v>688</v>
      </c>
    </row>
    <row r="610" spans="1:2">
      <c r="A610" t="s">
        <v>56</v>
      </c>
      <c r="B610" t="s">
        <v>689</v>
      </c>
    </row>
    <row r="611" spans="1:2">
      <c r="A611" t="s">
        <v>103</v>
      </c>
      <c r="B611" t="s">
        <v>690</v>
      </c>
    </row>
    <row r="612" spans="1:2">
      <c r="A612" t="s">
        <v>18</v>
      </c>
      <c r="B612" t="s">
        <v>691</v>
      </c>
    </row>
    <row r="613" spans="1:2">
      <c r="A613" t="s">
        <v>6</v>
      </c>
      <c r="B613" t="s">
        <v>692</v>
      </c>
    </row>
    <row r="614" spans="1:2">
      <c r="A614" t="s">
        <v>57</v>
      </c>
      <c r="B614" t="s">
        <v>693</v>
      </c>
    </row>
    <row r="615" spans="1:2">
      <c r="A615" t="s">
        <v>12</v>
      </c>
      <c r="B615" t="s">
        <v>694</v>
      </c>
    </row>
    <row r="616" spans="1:2">
      <c r="A616" t="s">
        <v>8</v>
      </c>
      <c r="B616" t="s">
        <v>695</v>
      </c>
    </row>
    <row r="617" spans="1:2">
      <c r="A617" t="s">
        <v>83</v>
      </c>
      <c r="B617" t="s">
        <v>696</v>
      </c>
    </row>
    <row r="618" spans="1:2">
      <c r="A618" t="s">
        <v>105</v>
      </c>
      <c r="B618" t="s">
        <v>697</v>
      </c>
    </row>
    <row r="619" spans="1:2">
      <c r="A619" t="s">
        <v>6</v>
      </c>
      <c r="B619" t="s">
        <v>698</v>
      </c>
    </row>
    <row r="620" spans="1:2">
      <c r="A620" t="s">
        <v>18</v>
      </c>
      <c r="B620" t="s">
        <v>699</v>
      </c>
    </row>
    <row r="621" spans="1:2">
      <c r="A621" t="s">
        <v>46</v>
      </c>
      <c r="B621" t="s">
        <v>700</v>
      </c>
    </row>
    <row r="622" spans="1:2">
      <c r="A622" t="s">
        <v>309</v>
      </c>
      <c r="B622" t="s">
        <v>701</v>
      </c>
    </row>
    <row r="623" spans="1:2">
      <c r="A623" t="s">
        <v>6</v>
      </c>
      <c r="B623" t="s">
        <v>255</v>
      </c>
    </row>
    <row r="624" spans="1:2">
      <c r="A624" t="s">
        <v>18</v>
      </c>
      <c r="B624" t="s">
        <v>303</v>
      </c>
    </row>
    <row r="625" spans="1:2">
      <c r="A625" t="s">
        <v>77</v>
      </c>
      <c r="B625" t="s">
        <v>702</v>
      </c>
    </row>
    <row r="626" spans="1:2">
      <c r="A626" t="s">
        <v>56</v>
      </c>
      <c r="B626" t="s">
        <v>703</v>
      </c>
    </row>
    <row r="627" spans="1:2">
      <c r="A627" t="s">
        <v>62</v>
      </c>
      <c r="B627" t="s">
        <v>704</v>
      </c>
    </row>
    <row r="628" spans="1:2">
      <c r="A628" t="s">
        <v>152</v>
      </c>
      <c r="B628" t="s">
        <v>705</v>
      </c>
    </row>
    <row r="629" spans="1:2">
      <c r="A629" t="s">
        <v>42</v>
      </c>
      <c r="B629" t="s">
        <v>706</v>
      </c>
    </row>
    <row r="630" spans="1:2">
      <c r="A630" t="s">
        <v>6</v>
      </c>
      <c r="B630" t="s">
        <v>707</v>
      </c>
    </row>
    <row r="631" spans="1:2">
      <c r="A631" t="s">
        <v>152</v>
      </c>
      <c r="B631" t="s">
        <v>708</v>
      </c>
    </row>
    <row r="632" spans="1:2">
      <c r="A632" t="s">
        <v>29</v>
      </c>
      <c r="B632" t="s">
        <v>709</v>
      </c>
    </row>
    <row r="633" spans="1:2">
      <c r="A633" t="s">
        <v>6</v>
      </c>
      <c r="B633" t="s">
        <v>710</v>
      </c>
    </row>
    <row r="634" spans="1:2">
      <c r="A634" t="s">
        <v>48</v>
      </c>
      <c r="B634" t="s">
        <v>711</v>
      </c>
    </row>
    <row r="635" spans="1:2">
      <c r="A635" t="s">
        <v>531</v>
      </c>
      <c r="B635" t="s">
        <v>712</v>
      </c>
    </row>
    <row r="636" spans="1:2">
      <c r="A636" t="s">
        <v>39</v>
      </c>
      <c r="B636" t="s">
        <v>713</v>
      </c>
    </row>
    <row r="637" spans="1:2">
      <c r="A637" t="s">
        <v>6</v>
      </c>
      <c r="B637" t="s">
        <v>714</v>
      </c>
    </row>
    <row r="638" spans="1:2">
      <c r="A638" t="s">
        <v>22</v>
      </c>
      <c r="B638" t="s">
        <v>485</v>
      </c>
    </row>
    <row r="639" spans="1:2">
      <c r="A639" t="s">
        <v>71</v>
      </c>
      <c r="B639" t="s">
        <v>715</v>
      </c>
    </row>
    <row r="640" spans="1:2">
      <c r="A640" t="s">
        <v>6</v>
      </c>
      <c r="B640" t="s">
        <v>716</v>
      </c>
    </row>
    <row r="641" spans="1:2">
      <c r="A641" t="s">
        <v>68</v>
      </c>
      <c r="B641" t="s">
        <v>717</v>
      </c>
    </row>
    <row r="642" spans="1:2">
      <c r="A642" t="s">
        <v>68</v>
      </c>
      <c r="B642" t="s">
        <v>718</v>
      </c>
    </row>
    <row r="643" spans="1:2">
      <c r="A643" t="s">
        <v>56</v>
      </c>
      <c r="B643" t="s">
        <v>719</v>
      </c>
    </row>
    <row r="644" spans="1:2">
      <c r="A644" t="s">
        <v>6</v>
      </c>
      <c r="B644" t="s">
        <v>720</v>
      </c>
    </row>
    <row r="645" spans="1:2">
      <c r="A645" t="s">
        <v>62</v>
      </c>
      <c r="B645" t="s">
        <v>721</v>
      </c>
    </row>
    <row r="646" spans="1:2">
      <c r="A646" t="s">
        <v>46</v>
      </c>
      <c r="B646" t="s">
        <v>722</v>
      </c>
    </row>
    <row r="647" spans="1:2">
      <c r="A647" s="1">
        <v>41159</v>
      </c>
      <c r="B647" t="s">
        <v>723</v>
      </c>
    </row>
    <row r="648" spans="1:2">
      <c r="A648" t="s">
        <v>6</v>
      </c>
      <c r="B648" t="s">
        <v>724</v>
      </c>
    </row>
    <row r="649" spans="1:2">
      <c r="A649" t="s">
        <v>6</v>
      </c>
      <c r="B649" t="s">
        <v>725</v>
      </c>
    </row>
    <row r="650" spans="1:2">
      <c r="A650" t="s">
        <v>22</v>
      </c>
      <c r="B650" t="s">
        <v>726</v>
      </c>
    </row>
    <row r="651" spans="1:2">
      <c r="A651" t="s">
        <v>39</v>
      </c>
      <c r="B651" t="s">
        <v>727</v>
      </c>
    </row>
    <row r="652" spans="1:2">
      <c r="A652" t="s">
        <v>728</v>
      </c>
      <c r="B652" t="s">
        <v>615</v>
      </c>
    </row>
    <row r="653" spans="1:2">
      <c r="A653" t="s">
        <v>112</v>
      </c>
      <c r="B653" t="s">
        <v>729</v>
      </c>
    </row>
    <row r="654" spans="1:2">
      <c r="A654" t="s">
        <v>730</v>
      </c>
      <c r="B654" t="s">
        <v>731</v>
      </c>
    </row>
    <row r="655" spans="1:2">
      <c r="A655" t="s">
        <v>8</v>
      </c>
      <c r="B655" t="s">
        <v>732</v>
      </c>
    </row>
    <row r="656" spans="1:2">
      <c r="A656" t="s">
        <v>4</v>
      </c>
      <c r="B656" t="s">
        <v>733</v>
      </c>
    </row>
    <row r="657" spans="1:2">
      <c r="A657" t="s">
        <v>6</v>
      </c>
      <c r="B657" t="s">
        <v>734</v>
      </c>
    </row>
    <row r="658" spans="1:2">
      <c r="A658" t="s">
        <v>137</v>
      </c>
      <c r="B658" t="s">
        <v>735</v>
      </c>
    </row>
    <row r="659" spans="1:2">
      <c r="A659" t="s">
        <v>56</v>
      </c>
      <c r="B659" t="s">
        <v>736</v>
      </c>
    </row>
    <row r="660" spans="1:2">
      <c r="A660" t="s">
        <v>6</v>
      </c>
      <c r="B660" t="s">
        <v>737</v>
      </c>
    </row>
    <row r="661" spans="1:2">
      <c r="A661" t="s">
        <v>6</v>
      </c>
      <c r="B661" t="s">
        <v>738</v>
      </c>
    </row>
    <row r="662" spans="1:2">
      <c r="A662" t="s">
        <v>14</v>
      </c>
      <c r="B662" t="s">
        <v>65</v>
      </c>
    </row>
    <row r="663" spans="1:2">
      <c r="A663" t="s">
        <v>14</v>
      </c>
      <c r="B663" t="s">
        <v>739</v>
      </c>
    </row>
    <row r="664" spans="1:2">
      <c r="A664" t="s">
        <v>6</v>
      </c>
      <c r="B664" t="s">
        <v>740</v>
      </c>
    </row>
    <row r="665" spans="1:2">
      <c r="A665" t="s">
        <v>48</v>
      </c>
      <c r="B665" t="s">
        <v>741</v>
      </c>
    </row>
    <row r="666" spans="1:2">
      <c r="A666" t="s">
        <v>48</v>
      </c>
      <c r="B666" t="s">
        <v>742</v>
      </c>
    </row>
    <row r="667" spans="1:2">
      <c r="A667" t="s">
        <v>6</v>
      </c>
      <c r="B667" t="s">
        <v>743</v>
      </c>
    </row>
    <row r="668" spans="1:2">
      <c r="A668" t="s">
        <v>77</v>
      </c>
      <c r="B668" t="s">
        <v>744</v>
      </c>
    </row>
    <row r="669" spans="1:2">
      <c r="A669" t="s">
        <v>6</v>
      </c>
      <c r="B669" t="s">
        <v>745</v>
      </c>
    </row>
    <row r="670" spans="1:2">
      <c r="A670" t="s">
        <v>33</v>
      </c>
      <c r="B670" t="s">
        <v>746</v>
      </c>
    </row>
    <row r="671" spans="1:2">
      <c r="A671" t="s">
        <v>8</v>
      </c>
      <c r="B671" t="s">
        <v>747</v>
      </c>
    </row>
    <row r="672" spans="1:2">
      <c r="A672" t="s">
        <v>112</v>
      </c>
      <c r="B672" t="s">
        <v>748</v>
      </c>
    </row>
    <row r="673" spans="1:2">
      <c r="A673" t="s">
        <v>18</v>
      </c>
      <c r="B673" t="s">
        <v>749</v>
      </c>
    </row>
    <row r="674" spans="1:2">
      <c r="A674" t="s">
        <v>56</v>
      </c>
      <c r="B674" t="s">
        <v>621</v>
      </c>
    </row>
    <row r="675" spans="1:2">
      <c r="A675" t="s">
        <v>750</v>
      </c>
      <c r="B675" t="s">
        <v>751</v>
      </c>
    </row>
    <row r="676" spans="1:2">
      <c r="A676" t="s">
        <v>6</v>
      </c>
      <c r="B676" t="s">
        <v>752</v>
      </c>
    </row>
    <row r="677" spans="1:2">
      <c r="A677" t="s">
        <v>6</v>
      </c>
      <c r="B677" t="s">
        <v>753</v>
      </c>
    </row>
    <row r="678" spans="1:2">
      <c r="A678" t="s">
        <v>18</v>
      </c>
      <c r="B678" t="s">
        <v>754</v>
      </c>
    </row>
    <row r="679" spans="1:2">
      <c r="A679" t="s">
        <v>18</v>
      </c>
      <c r="B679" t="s">
        <v>755</v>
      </c>
    </row>
    <row r="680" spans="1:2">
      <c r="A680" t="s">
        <v>39</v>
      </c>
      <c r="B680" t="s">
        <v>756</v>
      </c>
    </row>
    <row r="681" spans="1:2">
      <c r="A681" t="s">
        <v>137</v>
      </c>
      <c r="B681" t="s">
        <v>757</v>
      </c>
    </row>
    <row r="682" spans="1:2">
      <c r="A682" t="s">
        <v>758</v>
      </c>
      <c r="B682" t="s">
        <v>759</v>
      </c>
    </row>
    <row r="683" spans="1:2">
      <c r="A683" t="s">
        <v>18</v>
      </c>
      <c r="B683" t="s">
        <v>760</v>
      </c>
    </row>
    <row r="684" spans="1:2">
      <c r="A684" t="s">
        <v>321</v>
      </c>
      <c r="B684" t="s">
        <v>761</v>
      </c>
    </row>
    <row r="685" spans="1:2">
      <c r="A685" t="s">
        <v>6</v>
      </c>
      <c r="B685" t="s">
        <v>762</v>
      </c>
    </row>
    <row r="686" spans="1:2">
      <c r="A686" t="s">
        <v>56</v>
      </c>
      <c r="B686" t="s">
        <v>39</v>
      </c>
    </row>
    <row r="687" spans="1:2">
      <c r="A687" t="s">
        <v>107</v>
      </c>
      <c r="B687" t="s">
        <v>763</v>
      </c>
    </row>
    <row r="688" spans="1:2">
      <c r="A688" t="s">
        <v>103</v>
      </c>
      <c r="B688" t="s">
        <v>764</v>
      </c>
    </row>
    <row r="689" spans="1:2">
      <c r="A689" t="s">
        <v>18</v>
      </c>
      <c r="B689" t="s">
        <v>765</v>
      </c>
    </row>
    <row r="690" spans="1:2">
      <c r="A690" t="s">
        <v>18</v>
      </c>
      <c r="B690" t="s">
        <v>766</v>
      </c>
    </row>
    <row r="691" spans="1:2">
      <c r="A691" t="s">
        <v>50</v>
      </c>
      <c r="B691" t="s">
        <v>767</v>
      </c>
    </row>
    <row r="692" spans="1:2">
      <c r="A692" t="s">
        <v>29</v>
      </c>
      <c r="B692" t="s">
        <v>768</v>
      </c>
    </row>
    <row r="693" spans="1:2">
      <c r="A693" t="s">
        <v>6</v>
      </c>
      <c r="B693" t="s">
        <v>769</v>
      </c>
    </row>
    <row r="694" spans="1:2">
      <c r="A694" t="s">
        <v>56</v>
      </c>
      <c r="B694" t="s">
        <v>770</v>
      </c>
    </row>
    <row r="695" spans="1:2">
      <c r="A695" t="s">
        <v>6</v>
      </c>
      <c r="B695" t="s">
        <v>771</v>
      </c>
    </row>
    <row r="696" spans="1:2">
      <c r="A696" t="s">
        <v>18</v>
      </c>
      <c r="B696" t="s">
        <v>772</v>
      </c>
    </row>
    <row r="697" spans="1:2">
      <c r="A697" t="s">
        <v>6</v>
      </c>
      <c r="B697" t="s">
        <v>773</v>
      </c>
    </row>
    <row r="698" spans="1:2">
      <c r="A698" t="s">
        <v>6</v>
      </c>
      <c r="B698" t="s">
        <v>774</v>
      </c>
    </row>
    <row r="699" spans="1:2">
      <c r="A699" t="s">
        <v>12</v>
      </c>
      <c r="B699" t="s">
        <v>775</v>
      </c>
    </row>
    <row r="700" spans="1:2">
      <c r="A700" t="s">
        <v>74</v>
      </c>
      <c r="B700" t="s">
        <v>506</v>
      </c>
    </row>
    <row r="701" spans="1:2">
      <c r="A701" t="s">
        <v>29</v>
      </c>
      <c r="B701" t="s">
        <v>776</v>
      </c>
    </row>
    <row r="702" spans="1:2">
      <c r="A702" t="s">
        <v>6</v>
      </c>
      <c r="B702" t="s">
        <v>777</v>
      </c>
    </row>
    <row r="703" spans="1:2">
      <c r="A703" t="s">
        <v>29</v>
      </c>
      <c r="B703" t="s">
        <v>778</v>
      </c>
    </row>
    <row r="704" spans="1:2">
      <c r="A704" t="s">
        <v>6</v>
      </c>
      <c r="B704" t="s">
        <v>779</v>
      </c>
    </row>
    <row r="705" spans="1:2">
      <c r="A705" t="s">
        <v>527</v>
      </c>
      <c r="B705" t="s">
        <v>780</v>
      </c>
    </row>
    <row r="706" spans="1:2">
      <c r="A706" t="s">
        <v>18</v>
      </c>
      <c r="B706" t="s">
        <v>781</v>
      </c>
    </row>
    <row r="707" spans="1:2">
      <c r="A707" t="s">
        <v>56</v>
      </c>
      <c r="B707" t="s">
        <v>469</v>
      </c>
    </row>
    <row r="708" spans="1:2">
      <c r="A708" t="s">
        <v>6</v>
      </c>
      <c r="B708" t="s">
        <v>782</v>
      </c>
    </row>
    <row r="709" spans="1:2">
      <c r="A709" t="s">
        <v>39</v>
      </c>
      <c r="B709" t="s">
        <v>783</v>
      </c>
    </row>
    <row r="710" spans="1:2">
      <c r="A710" t="s">
        <v>18</v>
      </c>
      <c r="B710" t="s">
        <v>784</v>
      </c>
    </row>
    <row r="711" spans="1:2">
      <c r="A711" t="s">
        <v>46</v>
      </c>
      <c r="B711" t="s">
        <v>785</v>
      </c>
    </row>
    <row r="712" spans="1:2">
      <c r="A712" t="s">
        <v>105</v>
      </c>
      <c r="B712" t="s">
        <v>786</v>
      </c>
    </row>
    <row r="713" spans="1:2">
      <c r="A713" t="s">
        <v>6</v>
      </c>
      <c r="B713" t="s">
        <v>787</v>
      </c>
    </row>
    <row r="714" spans="1:2">
      <c r="A714" t="s">
        <v>6</v>
      </c>
      <c r="B714" t="s">
        <v>788</v>
      </c>
    </row>
    <row r="715" spans="1:2">
      <c r="A715" t="s">
        <v>6</v>
      </c>
      <c r="B715" t="s">
        <v>789</v>
      </c>
    </row>
    <row r="716" spans="1:2">
      <c r="A716" t="s">
        <v>4</v>
      </c>
      <c r="B716" t="s">
        <v>790</v>
      </c>
    </row>
    <row r="717" spans="1:2">
      <c r="A717" t="s">
        <v>42</v>
      </c>
      <c r="B717" t="s">
        <v>791</v>
      </c>
    </row>
    <row r="718" spans="1:2">
      <c r="A718" t="s">
        <v>94</v>
      </c>
      <c r="B718" t="s">
        <v>792</v>
      </c>
    </row>
    <row r="719" spans="1:2">
      <c r="A719" t="s">
        <v>18</v>
      </c>
      <c r="B719" t="s">
        <v>793</v>
      </c>
    </row>
    <row r="720" spans="1:2">
      <c r="A720" t="s">
        <v>107</v>
      </c>
      <c r="B720" t="s">
        <v>794</v>
      </c>
    </row>
    <row r="721" spans="1:2">
      <c r="A721" t="s">
        <v>22</v>
      </c>
      <c r="B721" t="s">
        <v>795</v>
      </c>
    </row>
    <row r="722" spans="1:2">
      <c r="A722" t="s">
        <v>42</v>
      </c>
      <c r="B722" t="s">
        <v>796</v>
      </c>
    </row>
    <row r="723" spans="1:2">
      <c r="A723" t="s">
        <v>56</v>
      </c>
      <c r="B723" t="s">
        <v>797</v>
      </c>
    </row>
    <row r="724" spans="1:2">
      <c r="A724" t="s">
        <v>6</v>
      </c>
      <c r="B724" t="s">
        <v>798</v>
      </c>
    </row>
    <row r="725" spans="1:2">
      <c r="A725" t="s">
        <v>323</v>
      </c>
      <c r="B725" t="s">
        <v>799</v>
      </c>
    </row>
    <row r="726" spans="1:2">
      <c r="A726" t="s">
        <v>154</v>
      </c>
      <c r="B726" t="s">
        <v>800</v>
      </c>
    </row>
    <row r="727" spans="1:2">
      <c r="A727" t="s">
        <v>379</v>
      </c>
      <c r="B727" t="s">
        <v>801</v>
      </c>
    </row>
    <row r="728" spans="1:2">
      <c r="A728" t="s">
        <v>160</v>
      </c>
      <c r="B728" t="s">
        <v>802</v>
      </c>
    </row>
    <row r="729" spans="1:2">
      <c r="A729" t="s">
        <v>18</v>
      </c>
      <c r="B729" t="s">
        <v>803</v>
      </c>
    </row>
    <row r="730" spans="1:2">
      <c r="A730" t="s">
        <v>6</v>
      </c>
      <c r="B730" t="s">
        <v>804</v>
      </c>
    </row>
    <row r="731" spans="1:2">
      <c r="A731" s="1">
        <v>41159</v>
      </c>
      <c r="B731" t="s">
        <v>805</v>
      </c>
    </row>
    <row r="732" spans="1:2">
      <c r="A732" t="s">
        <v>20</v>
      </c>
      <c r="B732" t="s">
        <v>806</v>
      </c>
    </row>
    <row r="733" spans="1:2">
      <c r="A733" t="s">
        <v>18</v>
      </c>
      <c r="B733" t="s">
        <v>807</v>
      </c>
    </row>
    <row r="734" spans="1:2">
      <c r="A734" t="s">
        <v>347</v>
      </c>
      <c r="B734" t="s">
        <v>808</v>
      </c>
    </row>
    <row r="735" spans="1:2">
      <c r="A735" t="s">
        <v>20</v>
      </c>
      <c r="B735" t="s">
        <v>809</v>
      </c>
    </row>
    <row r="736" spans="1:2">
      <c r="A736" t="s">
        <v>56</v>
      </c>
      <c r="B736" t="s">
        <v>810</v>
      </c>
    </row>
    <row r="737" spans="1:2">
      <c r="A737" t="s">
        <v>77</v>
      </c>
      <c r="B737" t="s">
        <v>811</v>
      </c>
    </row>
    <row r="738" spans="1:2">
      <c r="A738" t="s">
        <v>18</v>
      </c>
      <c r="B738" t="s">
        <v>812</v>
      </c>
    </row>
    <row r="739" spans="1:2">
      <c r="A739" t="s">
        <v>18</v>
      </c>
      <c r="B739" t="s">
        <v>813</v>
      </c>
    </row>
    <row r="740" spans="1:2">
      <c r="A740" t="s">
        <v>6</v>
      </c>
      <c r="B740" t="s">
        <v>814</v>
      </c>
    </row>
    <row r="741" spans="1:2">
      <c r="A741" t="s">
        <v>103</v>
      </c>
      <c r="B741" t="s">
        <v>815</v>
      </c>
    </row>
    <row r="742" spans="1:2">
      <c r="A742" t="s">
        <v>137</v>
      </c>
      <c r="B742" t="s">
        <v>816</v>
      </c>
    </row>
    <row r="743" spans="1:2">
      <c r="A743" t="s">
        <v>6</v>
      </c>
      <c r="B743" t="s">
        <v>817</v>
      </c>
    </row>
    <row r="744" spans="1:2">
      <c r="A744" t="s">
        <v>645</v>
      </c>
      <c r="B744" t="s">
        <v>818</v>
      </c>
    </row>
    <row r="745" spans="1:2">
      <c r="A745" t="s">
        <v>29</v>
      </c>
      <c r="B745" t="s">
        <v>819</v>
      </c>
    </row>
    <row r="746" spans="1:2">
      <c r="A746" t="s">
        <v>129</v>
      </c>
      <c r="B746" t="s">
        <v>820</v>
      </c>
    </row>
    <row r="747" spans="1:2">
      <c r="A747" t="s">
        <v>33</v>
      </c>
      <c r="B747" t="s">
        <v>821</v>
      </c>
    </row>
    <row r="748" spans="1:2">
      <c r="A748" t="s">
        <v>6</v>
      </c>
      <c r="B748" t="s">
        <v>822</v>
      </c>
    </row>
    <row r="749" spans="1:2">
      <c r="A749" t="s">
        <v>6</v>
      </c>
      <c r="B749" t="s">
        <v>823</v>
      </c>
    </row>
    <row r="750" spans="1:2">
      <c r="A750" t="s">
        <v>20</v>
      </c>
      <c r="B750" t="s">
        <v>824</v>
      </c>
    </row>
    <row r="751" spans="1:2">
      <c r="A751" t="s">
        <v>77</v>
      </c>
      <c r="B751" t="s">
        <v>825</v>
      </c>
    </row>
    <row r="752" spans="1:2">
      <c r="A752" t="s">
        <v>6</v>
      </c>
      <c r="B752" t="s">
        <v>826</v>
      </c>
    </row>
    <row r="753" spans="1:2">
      <c r="A753" t="s">
        <v>14</v>
      </c>
      <c r="B753" t="s">
        <v>24</v>
      </c>
    </row>
    <row r="754" spans="1:2">
      <c r="A754" t="s">
        <v>6</v>
      </c>
      <c r="B754" t="s">
        <v>827</v>
      </c>
    </row>
    <row r="755" spans="1:2">
      <c r="A755" t="s">
        <v>6</v>
      </c>
      <c r="B755" t="s">
        <v>828</v>
      </c>
    </row>
    <row r="756" spans="1:2">
      <c r="A756" t="s">
        <v>6</v>
      </c>
      <c r="B756" t="s">
        <v>829</v>
      </c>
    </row>
    <row r="757" spans="1:2">
      <c r="A757" t="s">
        <v>18</v>
      </c>
      <c r="B757" t="s">
        <v>830</v>
      </c>
    </row>
    <row r="758" spans="1:2">
      <c r="A758" t="s">
        <v>18</v>
      </c>
      <c r="B758" t="s">
        <v>97</v>
      </c>
    </row>
    <row r="759" spans="1:2">
      <c r="A759" t="s">
        <v>29</v>
      </c>
      <c r="B759" t="s">
        <v>831</v>
      </c>
    </row>
    <row r="760" spans="1:2">
      <c r="A760" t="s">
        <v>309</v>
      </c>
      <c r="B760" t="s">
        <v>832</v>
      </c>
    </row>
    <row r="761" spans="1:2">
      <c r="A761" t="s">
        <v>83</v>
      </c>
      <c r="B761" t="s">
        <v>833</v>
      </c>
    </row>
    <row r="762" spans="1:2">
      <c r="A762" t="s">
        <v>6</v>
      </c>
      <c r="B762" t="s">
        <v>834</v>
      </c>
    </row>
    <row r="763" spans="1:2">
      <c r="A763" t="s">
        <v>6</v>
      </c>
      <c r="B763" t="s">
        <v>835</v>
      </c>
    </row>
    <row r="764" spans="1:2">
      <c r="A764" t="s">
        <v>525</v>
      </c>
      <c r="B764" t="s">
        <v>836</v>
      </c>
    </row>
    <row r="765" spans="1:2">
      <c r="A765" t="s">
        <v>6</v>
      </c>
      <c r="B765" t="s">
        <v>837</v>
      </c>
    </row>
    <row r="766" spans="1:2">
      <c r="A766" t="s">
        <v>6</v>
      </c>
      <c r="B766" t="s">
        <v>838</v>
      </c>
    </row>
    <row r="767" spans="1:2">
      <c r="A767" t="s">
        <v>56</v>
      </c>
      <c r="B767" t="s">
        <v>214</v>
      </c>
    </row>
    <row r="768" spans="1:2">
      <c r="A768" t="s">
        <v>42</v>
      </c>
      <c r="B768" t="s">
        <v>839</v>
      </c>
    </row>
    <row r="769" spans="1:2">
      <c r="A769" t="s">
        <v>29</v>
      </c>
      <c r="B769" t="s">
        <v>840</v>
      </c>
    </row>
    <row r="770" spans="1:2">
      <c r="A770" t="s">
        <v>6</v>
      </c>
      <c r="B770" t="s">
        <v>841</v>
      </c>
    </row>
    <row r="771" spans="1:2">
      <c r="A771" t="s">
        <v>379</v>
      </c>
      <c r="B771" t="s">
        <v>842</v>
      </c>
    </row>
    <row r="772" spans="1:2">
      <c r="A772" t="s">
        <v>29</v>
      </c>
      <c r="B772" t="s">
        <v>843</v>
      </c>
    </row>
    <row r="773" spans="1:2">
      <c r="A773" t="s">
        <v>6</v>
      </c>
      <c r="B773" t="s">
        <v>844</v>
      </c>
    </row>
    <row r="774" spans="1:2">
      <c r="A774" t="s">
        <v>6</v>
      </c>
      <c r="B774" t="s">
        <v>845</v>
      </c>
    </row>
    <row r="775" spans="1:2">
      <c r="A775" t="s">
        <v>6</v>
      </c>
      <c r="B775" t="s">
        <v>846</v>
      </c>
    </row>
    <row r="776" spans="1:2">
      <c r="A776" t="s">
        <v>6</v>
      </c>
      <c r="B776" t="s">
        <v>847</v>
      </c>
    </row>
    <row r="777" spans="1:2">
      <c r="A777" t="s">
        <v>50</v>
      </c>
      <c r="B777" t="s">
        <v>848</v>
      </c>
    </row>
    <row r="778" spans="1:2">
      <c r="A778" t="s">
        <v>50</v>
      </c>
      <c r="B778" t="s">
        <v>849</v>
      </c>
    </row>
    <row r="779" spans="1:2">
      <c r="A779" t="s">
        <v>137</v>
      </c>
      <c r="B779" t="s">
        <v>850</v>
      </c>
    </row>
    <row r="780" spans="1:2">
      <c r="A780" t="s">
        <v>42</v>
      </c>
      <c r="B780" t="s">
        <v>851</v>
      </c>
    </row>
    <row r="781" spans="1:2">
      <c r="A781" t="s">
        <v>112</v>
      </c>
      <c r="B781" t="s">
        <v>852</v>
      </c>
    </row>
    <row r="782" spans="1:2">
      <c r="A782" t="s">
        <v>6</v>
      </c>
      <c r="B782" t="s">
        <v>853</v>
      </c>
    </row>
    <row r="783" spans="1:2">
      <c r="A783" t="s">
        <v>83</v>
      </c>
      <c r="B783" t="s">
        <v>8</v>
      </c>
    </row>
    <row r="784" spans="1:2">
      <c r="A784" t="s">
        <v>56</v>
      </c>
      <c r="B784" t="s">
        <v>854</v>
      </c>
    </row>
    <row r="785" spans="1:2">
      <c r="A785" t="s">
        <v>94</v>
      </c>
      <c r="B785" t="s">
        <v>855</v>
      </c>
    </row>
    <row r="786" spans="1:2">
      <c r="A786" t="s">
        <v>107</v>
      </c>
      <c r="B786" t="s">
        <v>856</v>
      </c>
    </row>
    <row r="787" spans="1:2">
      <c r="A787" t="s">
        <v>6</v>
      </c>
      <c r="B787" t="s">
        <v>857</v>
      </c>
    </row>
    <row r="788" spans="1:2">
      <c r="A788" t="s">
        <v>18</v>
      </c>
      <c r="B788" t="s">
        <v>858</v>
      </c>
    </row>
    <row r="789" spans="1:2">
      <c r="A789" t="s">
        <v>56</v>
      </c>
      <c r="B789" t="s">
        <v>859</v>
      </c>
    </row>
    <row r="790" spans="1:2">
      <c r="A790" t="s">
        <v>83</v>
      </c>
      <c r="B790" t="s">
        <v>860</v>
      </c>
    </row>
    <row r="791" spans="1:2">
      <c r="A791" t="s">
        <v>6</v>
      </c>
      <c r="B791" t="s">
        <v>861</v>
      </c>
    </row>
    <row r="792" spans="1:2">
      <c r="A792" t="s">
        <v>6</v>
      </c>
      <c r="B792" t="s">
        <v>862</v>
      </c>
    </row>
    <row r="793" spans="1:2">
      <c r="A793" t="s">
        <v>6</v>
      </c>
      <c r="B793" t="s">
        <v>863</v>
      </c>
    </row>
    <row r="794" spans="1:2">
      <c r="A794" t="s">
        <v>8</v>
      </c>
      <c r="B794" t="s">
        <v>864</v>
      </c>
    </row>
    <row r="795" spans="1:2">
      <c r="A795" t="s">
        <v>8</v>
      </c>
      <c r="B795" t="s">
        <v>865</v>
      </c>
    </row>
    <row r="796" spans="1:2">
      <c r="A796" t="s">
        <v>6</v>
      </c>
      <c r="B796" t="s">
        <v>866</v>
      </c>
    </row>
    <row r="797" spans="1:2">
      <c r="A797" t="s">
        <v>6</v>
      </c>
      <c r="B797" t="s">
        <v>867</v>
      </c>
    </row>
    <row r="798" spans="1:2">
      <c r="A798" t="s">
        <v>6</v>
      </c>
      <c r="B798" t="s">
        <v>868</v>
      </c>
    </row>
    <row r="799" spans="1:2">
      <c r="A799" t="s">
        <v>6</v>
      </c>
      <c r="B799" t="s">
        <v>869</v>
      </c>
    </row>
    <row r="800" spans="1:2">
      <c r="A800" t="s">
        <v>105</v>
      </c>
      <c r="B800" t="s">
        <v>870</v>
      </c>
    </row>
    <row r="801" spans="1:2">
      <c r="A801" t="s">
        <v>105</v>
      </c>
      <c r="B801" t="s">
        <v>871</v>
      </c>
    </row>
    <row r="802" spans="1:2">
      <c r="A802" t="s">
        <v>68</v>
      </c>
      <c r="B802" t="s">
        <v>872</v>
      </c>
    </row>
    <row r="803" spans="1:2">
      <c r="A803" t="s">
        <v>643</v>
      </c>
      <c r="B803" t="s">
        <v>873</v>
      </c>
    </row>
    <row r="804" spans="1:2">
      <c r="A804" t="s">
        <v>456</v>
      </c>
      <c r="B804" t="s">
        <v>874</v>
      </c>
    </row>
    <row r="805" spans="1:2">
      <c r="A805" t="s">
        <v>56</v>
      </c>
      <c r="B805" t="s">
        <v>105</v>
      </c>
    </row>
    <row r="806" spans="1:2">
      <c r="A806" t="s">
        <v>6</v>
      </c>
      <c r="B806" t="s">
        <v>875</v>
      </c>
    </row>
    <row r="807" spans="1:2">
      <c r="A807" t="s">
        <v>6</v>
      </c>
      <c r="B807" t="s">
        <v>876</v>
      </c>
    </row>
    <row r="808" spans="1:2">
      <c r="A808" t="s">
        <v>18</v>
      </c>
      <c r="B808" t="s">
        <v>877</v>
      </c>
    </row>
    <row r="809" spans="1:2">
      <c r="A809" t="s">
        <v>46</v>
      </c>
      <c r="B809" t="s">
        <v>878</v>
      </c>
    </row>
    <row r="810" spans="1:2">
      <c r="A810" t="s">
        <v>344</v>
      </c>
      <c r="B810" t="s">
        <v>879</v>
      </c>
    </row>
    <row r="811" spans="1:2">
      <c r="A811" t="s">
        <v>6</v>
      </c>
      <c r="B811" t="s">
        <v>880</v>
      </c>
    </row>
    <row r="812" spans="1:2">
      <c r="A812" t="s">
        <v>12</v>
      </c>
      <c r="B812" t="s">
        <v>881</v>
      </c>
    </row>
    <row r="813" spans="1:2">
      <c r="A813" t="s">
        <v>22</v>
      </c>
      <c r="B813" t="s">
        <v>882</v>
      </c>
    </row>
    <row r="814" spans="1:2">
      <c r="A814" t="s">
        <v>56</v>
      </c>
      <c r="B814" t="s">
        <v>883</v>
      </c>
    </row>
    <row r="815" spans="1:2">
      <c r="A815" t="s">
        <v>8</v>
      </c>
      <c r="B815" t="s">
        <v>884</v>
      </c>
    </row>
    <row r="816" spans="1:2">
      <c r="A816" t="s">
        <v>6</v>
      </c>
      <c r="B816" t="s">
        <v>885</v>
      </c>
    </row>
    <row r="817" spans="1:2">
      <c r="A817" t="s">
        <v>56</v>
      </c>
      <c r="B817" t="s">
        <v>608</v>
      </c>
    </row>
    <row r="818" spans="1:2">
      <c r="A818" t="s">
        <v>369</v>
      </c>
      <c r="B818" t="s">
        <v>886</v>
      </c>
    </row>
    <row r="819" spans="1:2">
      <c r="A819" t="s">
        <v>6</v>
      </c>
      <c r="B819" t="s">
        <v>887</v>
      </c>
    </row>
    <row r="820" spans="1:2">
      <c r="A820" t="s">
        <v>6</v>
      </c>
      <c r="B820" t="s">
        <v>888</v>
      </c>
    </row>
    <row r="821" spans="1:2">
      <c r="A821" t="s">
        <v>889</v>
      </c>
      <c r="B821" t="s">
        <v>890</v>
      </c>
    </row>
    <row r="822" spans="1:2">
      <c r="A822" t="s">
        <v>48</v>
      </c>
      <c r="B822" t="s">
        <v>891</v>
      </c>
    </row>
    <row r="823" spans="1:2">
      <c r="A823" t="s">
        <v>39</v>
      </c>
      <c r="B823" t="s">
        <v>892</v>
      </c>
    </row>
    <row r="824" spans="1:2">
      <c r="A824" t="s">
        <v>8</v>
      </c>
      <c r="B824" t="s">
        <v>893</v>
      </c>
    </row>
    <row r="825" spans="1:2">
      <c r="A825" t="s">
        <v>29</v>
      </c>
      <c r="B825" t="s">
        <v>894</v>
      </c>
    </row>
    <row r="826" spans="1:2">
      <c r="A826" t="s">
        <v>6</v>
      </c>
      <c r="B826" t="s">
        <v>895</v>
      </c>
    </row>
    <row r="827" spans="1:2">
      <c r="A827" t="s">
        <v>6</v>
      </c>
      <c r="B827" t="s">
        <v>896</v>
      </c>
    </row>
    <row r="828" spans="1:2">
      <c r="A828" t="s">
        <v>46</v>
      </c>
      <c r="B828" t="s">
        <v>897</v>
      </c>
    </row>
    <row r="829" spans="1:2">
      <c r="A829" t="s">
        <v>56</v>
      </c>
      <c r="B829" t="s">
        <v>898</v>
      </c>
    </row>
    <row r="830" spans="1:2">
      <c r="A830" t="s">
        <v>6</v>
      </c>
      <c r="B830" t="s">
        <v>899</v>
      </c>
    </row>
    <row r="831" spans="1:2">
      <c r="A831" t="s">
        <v>172</v>
      </c>
      <c r="B831" t="s">
        <v>900</v>
      </c>
    </row>
    <row r="832" spans="1:2">
      <c r="A832" t="s">
        <v>112</v>
      </c>
      <c r="B832" t="s">
        <v>901</v>
      </c>
    </row>
    <row r="833" spans="1:2">
      <c r="A833" t="s">
        <v>129</v>
      </c>
      <c r="B833" t="s">
        <v>902</v>
      </c>
    </row>
    <row r="834" spans="1:2">
      <c r="A834" t="s">
        <v>223</v>
      </c>
      <c r="B834" t="s">
        <v>903</v>
      </c>
    </row>
    <row r="835" spans="1:2">
      <c r="A835" t="s">
        <v>105</v>
      </c>
      <c r="B835" t="s">
        <v>904</v>
      </c>
    </row>
    <row r="836" spans="1:2">
      <c r="A836" t="s">
        <v>314</v>
      </c>
      <c r="B836" t="s">
        <v>905</v>
      </c>
    </row>
    <row r="837" spans="1:2">
      <c r="A837" t="s">
        <v>6</v>
      </c>
      <c r="B837" t="s">
        <v>906</v>
      </c>
    </row>
    <row r="838" spans="1:2">
      <c r="A838" t="s">
        <v>6</v>
      </c>
      <c r="B838" t="s">
        <v>907</v>
      </c>
    </row>
    <row r="839" spans="1:2">
      <c r="A839" t="s">
        <v>68</v>
      </c>
      <c r="B839" t="s">
        <v>908</v>
      </c>
    </row>
    <row r="840" spans="1:2">
      <c r="A840" t="s">
        <v>6</v>
      </c>
      <c r="B840" t="s">
        <v>909</v>
      </c>
    </row>
    <row r="841" spans="1:2">
      <c r="A841" t="s">
        <v>6</v>
      </c>
      <c r="B841" t="s">
        <v>910</v>
      </c>
    </row>
    <row r="842" spans="1:2">
      <c r="A842" t="s">
        <v>347</v>
      </c>
      <c r="B842" t="s">
        <v>911</v>
      </c>
    </row>
    <row r="843" spans="1:2">
      <c r="A843" t="s">
        <v>83</v>
      </c>
      <c r="B843" t="s">
        <v>912</v>
      </c>
    </row>
    <row r="844" spans="1:2">
      <c r="A844" t="s">
        <v>218</v>
      </c>
      <c r="B844" t="s">
        <v>913</v>
      </c>
    </row>
    <row r="845" spans="1:2">
      <c r="A845" t="s">
        <v>6</v>
      </c>
      <c r="B845" t="s">
        <v>914</v>
      </c>
    </row>
    <row r="846" spans="1:2">
      <c r="A846" t="s">
        <v>18</v>
      </c>
      <c r="B846" t="s">
        <v>915</v>
      </c>
    </row>
    <row r="847" spans="1:2">
      <c r="A847" t="s">
        <v>62</v>
      </c>
      <c r="B847" t="s">
        <v>916</v>
      </c>
    </row>
    <row r="848" spans="1:2">
      <c r="A848" t="s">
        <v>6</v>
      </c>
      <c r="B848" t="s">
        <v>917</v>
      </c>
    </row>
    <row r="849" spans="1:2">
      <c r="A849" t="s">
        <v>12</v>
      </c>
      <c r="B849" t="s">
        <v>918</v>
      </c>
    </row>
    <row r="850" spans="1:2">
      <c r="A850" t="s">
        <v>153</v>
      </c>
      <c r="B850" t="s">
        <v>91</v>
      </c>
    </row>
    <row r="851" spans="1:2">
      <c r="A851" t="s">
        <v>6</v>
      </c>
      <c r="B851" t="s">
        <v>919</v>
      </c>
    </row>
    <row r="852" spans="1:2">
      <c r="A852" t="s">
        <v>29</v>
      </c>
      <c r="B852" t="s">
        <v>920</v>
      </c>
    </row>
    <row r="853" spans="1:2">
      <c r="A853" t="s">
        <v>728</v>
      </c>
      <c r="B853" t="s">
        <v>921</v>
      </c>
    </row>
    <row r="854" spans="1:2">
      <c r="A854" t="s">
        <v>469</v>
      </c>
      <c r="B854" t="s">
        <v>922</v>
      </c>
    </row>
    <row r="855" spans="1:2">
      <c r="A855" t="s">
        <v>6</v>
      </c>
      <c r="B855" t="s">
        <v>923</v>
      </c>
    </row>
    <row r="856" spans="1:2">
      <c r="A856" t="s">
        <v>12</v>
      </c>
      <c r="B856" t="s">
        <v>924</v>
      </c>
    </row>
    <row r="857" spans="1:2">
      <c r="A857" t="s">
        <v>314</v>
      </c>
      <c r="B857" t="s">
        <v>925</v>
      </c>
    </row>
    <row r="858" spans="1:2">
      <c r="A858" t="s">
        <v>18</v>
      </c>
      <c r="B858" t="s">
        <v>926</v>
      </c>
    </row>
    <row r="859" spans="1:2">
      <c r="A859" t="s">
        <v>105</v>
      </c>
      <c r="B859" t="s">
        <v>613</v>
      </c>
    </row>
    <row r="860" spans="1:2">
      <c r="A860" t="s">
        <v>42</v>
      </c>
      <c r="B860" t="s">
        <v>927</v>
      </c>
    </row>
    <row r="861" spans="1:2">
      <c r="A861" t="s">
        <v>46</v>
      </c>
      <c r="B861" t="s">
        <v>928</v>
      </c>
    </row>
    <row r="862" spans="1:2">
      <c r="A862" t="s">
        <v>6</v>
      </c>
      <c r="B862" t="s">
        <v>929</v>
      </c>
    </row>
    <row r="863" spans="1:2">
      <c r="A863" t="s">
        <v>22</v>
      </c>
      <c r="B863" t="s">
        <v>930</v>
      </c>
    </row>
    <row r="864" spans="1:2">
      <c r="A864" t="s">
        <v>160</v>
      </c>
      <c r="B864" t="s">
        <v>931</v>
      </c>
    </row>
    <row r="865" spans="1:2">
      <c r="A865" t="s">
        <v>29</v>
      </c>
      <c r="B865" t="s">
        <v>932</v>
      </c>
    </row>
    <row r="866" spans="1:2">
      <c r="A866" t="s">
        <v>6</v>
      </c>
      <c r="B866" t="s">
        <v>933</v>
      </c>
    </row>
    <row r="867" spans="1:2">
      <c r="A867" t="s">
        <v>934</v>
      </c>
      <c r="B867" t="s">
        <v>935</v>
      </c>
    </row>
    <row r="868" spans="1:2">
      <c r="A868" t="s">
        <v>18</v>
      </c>
      <c r="B868" t="s">
        <v>218</v>
      </c>
    </row>
    <row r="869" spans="1:2">
      <c r="A869" t="s">
        <v>56</v>
      </c>
      <c r="B869" t="s">
        <v>588</v>
      </c>
    </row>
    <row r="870" spans="1:2">
      <c r="A870" t="s">
        <v>160</v>
      </c>
      <c r="B870" t="s">
        <v>936</v>
      </c>
    </row>
    <row r="871" spans="1:2">
      <c r="A871" t="s">
        <v>77</v>
      </c>
      <c r="B871" t="s">
        <v>937</v>
      </c>
    </row>
    <row r="872" spans="1:2">
      <c r="A872" t="s">
        <v>6</v>
      </c>
      <c r="B872" t="s">
        <v>938</v>
      </c>
    </row>
    <row r="873" spans="1:2">
      <c r="A873" t="s">
        <v>539</v>
      </c>
      <c r="B873" t="s">
        <v>939</v>
      </c>
    </row>
    <row r="874" spans="1:2">
      <c r="A874" t="s">
        <v>6</v>
      </c>
      <c r="B874" t="s">
        <v>940</v>
      </c>
    </row>
    <row r="875" spans="1:2">
      <c r="A875" t="s">
        <v>941</v>
      </c>
      <c r="B875" t="s">
        <v>942</v>
      </c>
    </row>
    <row r="876" spans="1:2">
      <c r="A876" t="s">
        <v>14</v>
      </c>
      <c r="B876" t="s">
        <v>176</v>
      </c>
    </row>
    <row r="877" spans="1:2">
      <c r="A877" t="s">
        <v>48</v>
      </c>
      <c r="B877" t="s">
        <v>943</v>
      </c>
    </row>
    <row r="878" spans="1:2">
      <c r="A878" t="s">
        <v>6</v>
      </c>
      <c r="B878" t="s">
        <v>944</v>
      </c>
    </row>
    <row r="879" spans="1:2">
      <c r="A879" t="s">
        <v>42</v>
      </c>
      <c r="B879" t="s">
        <v>945</v>
      </c>
    </row>
    <row r="880" spans="1:2">
      <c r="A880" t="s">
        <v>6</v>
      </c>
      <c r="B880" t="s">
        <v>946</v>
      </c>
    </row>
    <row r="881" spans="1:2">
      <c r="A881" t="s">
        <v>6</v>
      </c>
      <c r="B881" t="s">
        <v>947</v>
      </c>
    </row>
    <row r="882" spans="1:2">
      <c r="A882" t="s">
        <v>6</v>
      </c>
      <c r="B882" t="s">
        <v>948</v>
      </c>
    </row>
    <row r="883" spans="1:2">
      <c r="A883" t="s">
        <v>6</v>
      </c>
      <c r="B883" t="s">
        <v>949</v>
      </c>
    </row>
    <row r="884" spans="1:2">
      <c r="A884" t="s">
        <v>18</v>
      </c>
      <c r="B884" t="s">
        <v>950</v>
      </c>
    </row>
    <row r="885" spans="1:2">
      <c r="A885" t="s">
        <v>48</v>
      </c>
      <c r="B885" t="s">
        <v>951</v>
      </c>
    </row>
    <row r="886" spans="1:2">
      <c r="A886" t="s">
        <v>8</v>
      </c>
      <c r="B886" t="s">
        <v>952</v>
      </c>
    </row>
    <row r="887" spans="1:2">
      <c r="A887" t="s">
        <v>953</v>
      </c>
      <c r="B887" t="s">
        <v>954</v>
      </c>
    </row>
    <row r="888" spans="1:2">
      <c r="A888" t="s">
        <v>56</v>
      </c>
      <c r="B888" t="s">
        <v>955</v>
      </c>
    </row>
    <row r="889" spans="1:2">
      <c r="A889" t="s">
        <v>218</v>
      </c>
      <c r="B889" t="s">
        <v>956</v>
      </c>
    </row>
    <row r="890" spans="1:2">
      <c r="A890" t="s">
        <v>18</v>
      </c>
      <c r="B890" t="s">
        <v>957</v>
      </c>
    </row>
    <row r="891" spans="1:2">
      <c r="A891" t="s">
        <v>129</v>
      </c>
      <c r="B891" t="s">
        <v>958</v>
      </c>
    </row>
    <row r="892" spans="1:2">
      <c r="A892" t="s">
        <v>18</v>
      </c>
      <c r="B892" t="s">
        <v>959</v>
      </c>
    </row>
    <row r="893" spans="1:2">
      <c r="A893" t="s">
        <v>784</v>
      </c>
      <c r="B893" t="s">
        <v>960</v>
      </c>
    </row>
    <row r="894" spans="1:2">
      <c r="A894" t="s">
        <v>46</v>
      </c>
      <c r="B894" t="s">
        <v>961</v>
      </c>
    </row>
    <row r="895" spans="1:2">
      <c r="A895" t="s">
        <v>6</v>
      </c>
      <c r="B895" t="s">
        <v>962</v>
      </c>
    </row>
    <row r="896" spans="1:2">
      <c r="A896" t="s">
        <v>68</v>
      </c>
      <c r="B896" t="s">
        <v>963</v>
      </c>
    </row>
    <row r="897" spans="1:2">
      <c r="A897" t="s">
        <v>68</v>
      </c>
      <c r="B897" t="s">
        <v>964</v>
      </c>
    </row>
    <row r="898" spans="1:2">
      <c r="A898" t="s">
        <v>6</v>
      </c>
      <c r="B898" t="s">
        <v>965</v>
      </c>
    </row>
    <row r="899" spans="1:2">
      <c r="A899" t="s">
        <v>6</v>
      </c>
      <c r="B899" t="s">
        <v>966</v>
      </c>
    </row>
    <row r="900" spans="1:2">
      <c r="A900" t="s">
        <v>68</v>
      </c>
      <c r="B900" t="s">
        <v>967</v>
      </c>
    </row>
    <row r="901" spans="1:2">
      <c r="A901" t="s">
        <v>758</v>
      </c>
      <c r="B901" t="s">
        <v>968</v>
      </c>
    </row>
    <row r="902" spans="1:2">
      <c r="A902" t="s">
        <v>8</v>
      </c>
      <c r="B902" t="s">
        <v>969</v>
      </c>
    </row>
    <row r="903" spans="1:2">
      <c r="A903" t="s">
        <v>154</v>
      </c>
      <c r="B903" t="s">
        <v>970</v>
      </c>
    </row>
    <row r="904" spans="1:2">
      <c r="A904" t="s">
        <v>42</v>
      </c>
      <c r="B904" t="s">
        <v>971</v>
      </c>
    </row>
    <row r="905" spans="1:2">
      <c r="A905" t="s">
        <v>6</v>
      </c>
      <c r="B905" t="s">
        <v>972</v>
      </c>
    </row>
    <row r="906" spans="1:2">
      <c r="A906" t="s">
        <v>14</v>
      </c>
      <c r="B906" t="s">
        <v>973</v>
      </c>
    </row>
    <row r="907" spans="1:2">
      <c r="A907" t="s">
        <v>6</v>
      </c>
      <c r="B907" t="s">
        <v>974</v>
      </c>
    </row>
    <row r="908" spans="1:2">
      <c r="A908" t="s">
        <v>56</v>
      </c>
      <c r="B908" t="s">
        <v>42</v>
      </c>
    </row>
    <row r="909" spans="1:2">
      <c r="A909" t="s">
        <v>56</v>
      </c>
      <c r="B909" t="s">
        <v>975</v>
      </c>
    </row>
    <row r="910" spans="1:2">
      <c r="A910" t="s">
        <v>754</v>
      </c>
      <c r="B910" t="s">
        <v>976</v>
      </c>
    </row>
    <row r="911" spans="1:2">
      <c r="A911" t="s">
        <v>973</v>
      </c>
      <c r="B911" t="s">
        <v>0</v>
      </c>
    </row>
    <row r="912" spans="1:2">
      <c r="A912" t="s">
        <v>97</v>
      </c>
      <c r="B912" t="s">
        <v>977</v>
      </c>
    </row>
    <row r="913" spans="1:2">
      <c r="A913" t="s">
        <v>154</v>
      </c>
      <c r="B913" t="s">
        <v>978</v>
      </c>
    </row>
    <row r="914" spans="1:2">
      <c r="A914" t="s">
        <v>6</v>
      </c>
      <c r="B914" t="s">
        <v>979</v>
      </c>
    </row>
    <row r="915" spans="1:2">
      <c r="A915" t="s">
        <v>14</v>
      </c>
      <c r="B915" t="s">
        <v>117</v>
      </c>
    </row>
    <row r="916" spans="1:2">
      <c r="A916" t="s">
        <v>46</v>
      </c>
      <c r="B916" t="s">
        <v>980</v>
      </c>
    </row>
    <row r="917" spans="1:2">
      <c r="A917" t="s">
        <v>48</v>
      </c>
      <c r="B917" t="s">
        <v>981</v>
      </c>
    </row>
    <row r="918" spans="1:2">
      <c r="A918" t="s">
        <v>39</v>
      </c>
      <c r="B918" t="s">
        <v>982</v>
      </c>
    </row>
    <row r="919" spans="1:2">
      <c r="A919" t="s">
        <v>18</v>
      </c>
      <c r="B919" t="s">
        <v>983</v>
      </c>
    </row>
    <row r="920" spans="1:2">
      <c r="A920" t="s">
        <v>6</v>
      </c>
      <c r="B920" t="s">
        <v>984</v>
      </c>
    </row>
    <row r="921" spans="1:2">
      <c r="A921" t="s">
        <v>18</v>
      </c>
      <c r="B921" t="s">
        <v>985</v>
      </c>
    </row>
    <row r="922" spans="1:2">
      <c r="A922" t="s">
        <v>83</v>
      </c>
      <c r="B922" t="s">
        <v>46</v>
      </c>
    </row>
    <row r="923" spans="1:2">
      <c r="A923" t="s">
        <v>6</v>
      </c>
      <c r="B923" t="s">
        <v>986</v>
      </c>
    </row>
    <row r="924" spans="1:2">
      <c r="A924" t="s">
        <v>20</v>
      </c>
      <c r="B924" t="s">
        <v>987</v>
      </c>
    </row>
    <row r="925" spans="1:2">
      <c r="A925" t="s">
        <v>39</v>
      </c>
      <c r="B925" t="s">
        <v>988</v>
      </c>
    </row>
    <row r="926" spans="1:2">
      <c r="A926" t="s">
        <v>33</v>
      </c>
      <c r="B926" t="s">
        <v>989</v>
      </c>
    </row>
    <row r="927" spans="1:2">
      <c r="A927" t="s">
        <v>6</v>
      </c>
      <c r="B927" t="s">
        <v>990</v>
      </c>
    </row>
    <row r="928" spans="1:2">
      <c r="A928" t="s">
        <v>68</v>
      </c>
      <c r="B928" t="s">
        <v>991</v>
      </c>
    </row>
    <row r="929" spans="1:2">
      <c r="A929" t="s">
        <v>479</v>
      </c>
      <c r="B929" t="s">
        <v>992</v>
      </c>
    </row>
    <row r="930" spans="1:2">
      <c r="A930" t="s">
        <v>39</v>
      </c>
      <c r="B930" t="s">
        <v>993</v>
      </c>
    </row>
    <row r="931" spans="1:2">
      <c r="A931" t="s">
        <v>18</v>
      </c>
      <c r="B931" t="s">
        <v>994</v>
      </c>
    </row>
    <row r="932" spans="1:2">
      <c r="A932" t="s">
        <v>12</v>
      </c>
      <c r="B932" t="s">
        <v>995</v>
      </c>
    </row>
    <row r="933" spans="1:2">
      <c r="A933" t="s">
        <v>18</v>
      </c>
      <c r="B933" t="s">
        <v>996</v>
      </c>
    </row>
    <row r="934" spans="1:2">
      <c r="A934" t="s">
        <v>15</v>
      </c>
      <c r="B934" t="s">
        <v>997</v>
      </c>
    </row>
    <row r="935" spans="1:2">
      <c r="A935" t="s">
        <v>33</v>
      </c>
      <c r="B935" t="s">
        <v>998</v>
      </c>
    </row>
    <row r="936" spans="1:2">
      <c r="A936" t="s">
        <v>77</v>
      </c>
      <c r="B936" t="s">
        <v>999</v>
      </c>
    </row>
    <row r="937" spans="1:2">
      <c r="A937" t="s">
        <v>105</v>
      </c>
      <c r="B937" t="s">
        <v>1000</v>
      </c>
    </row>
    <row r="938" spans="1:2">
      <c r="A938" t="s">
        <v>941</v>
      </c>
      <c r="B938" t="s">
        <v>1001</v>
      </c>
    </row>
    <row r="939" spans="1:2">
      <c r="A939" t="s">
        <v>399</v>
      </c>
      <c r="B939" t="s">
        <v>1002</v>
      </c>
    </row>
    <row r="940" spans="1:2">
      <c r="A940" t="s">
        <v>42</v>
      </c>
      <c r="B940" t="s">
        <v>1003</v>
      </c>
    </row>
    <row r="941" spans="1:2">
      <c r="A941" t="s">
        <v>8</v>
      </c>
      <c r="B941" t="s">
        <v>1004</v>
      </c>
    </row>
    <row r="942" spans="1:2">
      <c r="A942" t="s">
        <v>6</v>
      </c>
      <c r="B942" t="s">
        <v>1005</v>
      </c>
    </row>
    <row r="943" spans="1:2">
      <c r="A943" t="s">
        <v>6</v>
      </c>
      <c r="B943" t="s">
        <v>1006</v>
      </c>
    </row>
    <row r="944" spans="1:2">
      <c r="A944" t="s">
        <v>6</v>
      </c>
      <c r="B944" t="s">
        <v>1007</v>
      </c>
    </row>
    <row r="945" spans="1:2">
      <c r="A945" t="s">
        <v>42</v>
      </c>
      <c r="B945" t="s">
        <v>1008</v>
      </c>
    </row>
    <row r="946" spans="1:2">
      <c r="A946" t="s">
        <v>39</v>
      </c>
      <c r="B946" t="s">
        <v>1009</v>
      </c>
    </row>
    <row r="947" spans="1:2">
      <c r="A947" t="s">
        <v>6</v>
      </c>
      <c r="B947" t="s">
        <v>1010</v>
      </c>
    </row>
    <row r="948" spans="1:2">
      <c r="A948" t="s">
        <v>48</v>
      </c>
      <c r="B948" t="s">
        <v>1011</v>
      </c>
    </row>
    <row r="949" spans="1:2">
      <c r="A949" t="s">
        <v>105</v>
      </c>
      <c r="B949" t="s">
        <v>1012</v>
      </c>
    </row>
    <row r="950" spans="1:2">
      <c r="A950" t="s">
        <v>152</v>
      </c>
      <c r="B950" t="s">
        <v>1013</v>
      </c>
    </row>
    <row r="951" spans="1:2">
      <c r="A951" t="s">
        <v>6</v>
      </c>
      <c r="B951" t="s">
        <v>1014</v>
      </c>
    </row>
    <row r="952" spans="1:2">
      <c r="A952" t="s">
        <v>6</v>
      </c>
      <c r="B952" t="s">
        <v>1015</v>
      </c>
    </row>
    <row r="953" spans="1:2">
      <c r="A953" t="s">
        <v>6</v>
      </c>
      <c r="B953" t="s">
        <v>1016</v>
      </c>
    </row>
    <row r="954" spans="1:2">
      <c r="A954" t="s">
        <v>97</v>
      </c>
      <c r="B954" t="s">
        <v>1017</v>
      </c>
    </row>
    <row r="955" spans="1:2">
      <c r="A955" t="s">
        <v>6</v>
      </c>
      <c r="B955" t="s">
        <v>1018</v>
      </c>
    </row>
    <row r="956" spans="1:2">
      <c r="A956" t="s">
        <v>6</v>
      </c>
      <c r="B956" t="s">
        <v>1019</v>
      </c>
    </row>
    <row r="957" spans="1:2">
      <c r="A957" t="s">
        <v>6</v>
      </c>
      <c r="B957" t="s">
        <v>1020</v>
      </c>
    </row>
    <row r="958" spans="1:2">
      <c r="A958" t="s">
        <v>6</v>
      </c>
      <c r="B958" t="s">
        <v>1021</v>
      </c>
    </row>
    <row r="959" spans="1:2">
      <c r="A959" t="s">
        <v>152</v>
      </c>
      <c r="B959" t="s">
        <v>1022</v>
      </c>
    </row>
    <row r="960" spans="1:2">
      <c r="A960" t="s">
        <v>18</v>
      </c>
      <c r="B960" t="s">
        <v>1023</v>
      </c>
    </row>
    <row r="961" spans="1:2">
      <c r="A961" t="s">
        <v>6</v>
      </c>
      <c r="B961" t="s">
        <v>1024</v>
      </c>
    </row>
    <row r="962" spans="1:2">
      <c r="A962" t="s">
        <v>6</v>
      </c>
      <c r="B962" t="s">
        <v>1025</v>
      </c>
    </row>
    <row r="963" spans="1:2">
      <c r="A963" t="s">
        <v>18</v>
      </c>
      <c r="B963" t="s">
        <v>1026</v>
      </c>
    </row>
    <row r="964" spans="1:2">
      <c r="A964" t="s">
        <v>6</v>
      </c>
      <c r="B964" t="s">
        <v>1027</v>
      </c>
    </row>
    <row r="965" spans="1:2">
      <c r="A965" t="s">
        <v>130</v>
      </c>
      <c r="B965" t="s">
        <v>1028</v>
      </c>
    </row>
    <row r="966" spans="1:2">
      <c r="A966" t="s">
        <v>6</v>
      </c>
      <c r="B966" t="s">
        <v>1029</v>
      </c>
    </row>
    <row r="967" spans="1:2">
      <c r="A967" t="s">
        <v>107</v>
      </c>
      <c r="B967" t="s">
        <v>1030</v>
      </c>
    </row>
    <row r="968" spans="1:2">
      <c r="A968" t="s">
        <v>22</v>
      </c>
      <c r="B968" t="s">
        <v>1031</v>
      </c>
    </row>
    <row r="969" spans="1:2">
      <c r="A969" t="s">
        <v>56</v>
      </c>
      <c r="B969" t="s">
        <v>623</v>
      </c>
    </row>
    <row r="970" spans="1:2">
      <c r="A970" t="s">
        <v>46</v>
      </c>
      <c r="B970" t="s">
        <v>1032</v>
      </c>
    </row>
    <row r="971" spans="1:2">
      <c r="A971" t="s">
        <v>50</v>
      </c>
      <c r="B971" t="s">
        <v>1033</v>
      </c>
    </row>
    <row r="972" spans="1:2">
      <c r="A972" t="s">
        <v>684</v>
      </c>
      <c r="B972" t="s">
        <v>1034</v>
      </c>
    </row>
    <row r="973" spans="1:2">
      <c r="A973" t="s">
        <v>48</v>
      </c>
      <c r="B973" t="s">
        <v>1035</v>
      </c>
    </row>
    <row r="974" spans="1:2">
      <c r="A974" t="s">
        <v>68</v>
      </c>
      <c r="B974" t="s">
        <v>1036</v>
      </c>
    </row>
    <row r="975" spans="1:2">
      <c r="A975" t="s">
        <v>941</v>
      </c>
      <c r="B975" t="s">
        <v>1037</v>
      </c>
    </row>
    <row r="976" spans="1:2">
      <c r="A976" t="s">
        <v>107</v>
      </c>
      <c r="B976" t="s">
        <v>1038</v>
      </c>
    </row>
    <row r="977" spans="1:2">
      <c r="A977" t="s">
        <v>784</v>
      </c>
      <c r="B977" t="s">
        <v>1039</v>
      </c>
    </row>
    <row r="978" spans="1:2">
      <c r="A978" t="s">
        <v>14</v>
      </c>
      <c r="B978" t="s">
        <v>1040</v>
      </c>
    </row>
    <row r="979" spans="1:2">
      <c r="A979" t="s">
        <v>18</v>
      </c>
      <c r="B979" t="s">
        <v>1041</v>
      </c>
    </row>
    <row r="980" spans="1:2">
      <c r="A980" t="s">
        <v>112</v>
      </c>
      <c r="B980" t="s">
        <v>1042</v>
      </c>
    </row>
    <row r="981" spans="1:2">
      <c r="A981" t="s">
        <v>6</v>
      </c>
      <c r="B981" t="s">
        <v>1043</v>
      </c>
    </row>
    <row r="982" spans="1:2">
      <c r="A982" t="s">
        <v>56</v>
      </c>
      <c r="B982" t="s">
        <v>1044</v>
      </c>
    </row>
    <row r="983" spans="1:2">
      <c r="A983" t="s">
        <v>6</v>
      </c>
      <c r="B983" t="s">
        <v>1045</v>
      </c>
    </row>
    <row r="984" spans="1:2">
      <c r="A984" t="s">
        <v>56</v>
      </c>
      <c r="B984" t="s">
        <v>1046</v>
      </c>
    </row>
    <row r="985" spans="1:2">
      <c r="A985" t="s">
        <v>309</v>
      </c>
      <c r="B985" t="s">
        <v>1047</v>
      </c>
    </row>
    <row r="986" spans="1:2">
      <c r="A986" t="s">
        <v>1048</v>
      </c>
      <c r="B986" t="s">
        <v>1049</v>
      </c>
    </row>
    <row r="987" spans="1:2">
      <c r="A987" t="s">
        <v>6</v>
      </c>
      <c r="B987" t="s">
        <v>1050</v>
      </c>
    </row>
    <row r="988" spans="1:2">
      <c r="A988" t="s">
        <v>608</v>
      </c>
      <c r="B988" t="s">
        <v>1051</v>
      </c>
    </row>
    <row r="989" spans="1:2">
      <c r="A989" t="s">
        <v>18</v>
      </c>
      <c r="B989" t="s">
        <v>1052</v>
      </c>
    </row>
    <row r="990" spans="1:2">
      <c r="A990" t="s">
        <v>245</v>
      </c>
      <c r="B990" t="s">
        <v>1053</v>
      </c>
    </row>
    <row r="991" spans="1:2">
      <c r="A991" t="s">
        <v>18</v>
      </c>
      <c r="B991" t="s">
        <v>1054</v>
      </c>
    </row>
    <row r="992" spans="1:2">
      <c r="A992" t="s">
        <v>56</v>
      </c>
      <c r="B992" t="s">
        <v>1055</v>
      </c>
    </row>
    <row r="993" spans="1:2">
      <c r="A993" t="s">
        <v>754</v>
      </c>
      <c r="B993" t="s">
        <v>1056</v>
      </c>
    </row>
    <row r="994" spans="1:2">
      <c r="A994" t="s">
        <v>6</v>
      </c>
      <c r="B994" t="s">
        <v>1057</v>
      </c>
    </row>
    <row r="995" spans="1:2">
      <c r="A995" t="s">
        <v>12</v>
      </c>
      <c r="B995" t="s">
        <v>1058</v>
      </c>
    </row>
    <row r="996" spans="1:2">
      <c r="A996" t="s">
        <v>68</v>
      </c>
      <c r="B996" t="s">
        <v>1059</v>
      </c>
    </row>
    <row r="997" spans="1:2">
      <c r="A997" t="s">
        <v>323</v>
      </c>
      <c r="B997" t="s">
        <v>1060</v>
      </c>
    </row>
    <row r="998" spans="1:2">
      <c r="A998" t="s">
        <v>8</v>
      </c>
      <c r="B998" t="s">
        <v>1061</v>
      </c>
    </row>
    <row r="999" spans="1:2">
      <c r="A999" t="s">
        <v>77</v>
      </c>
      <c r="B999" t="s">
        <v>1062</v>
      </c>
    </row>
    <row r="1000" spans="1:2">
      <c r="A1000" t="s">
        <v>6</v>
      </c>
      <c r="B1000" t="s">
        <v>1063</v>
      </c>
    </row>
    <row r="1001" spans="1:2">
      <c r="A1001" t="s">
        <v>356</v>
      </c>
      <c r="B1001" t="s">
        <v>1064</v>
      </c>
    </row>
    <row r="1002" spans="1:2">
      <c r="A1002" t="s">
        <v>6</v>
      </c>
      <c r="B1002" t="s">
        <v>1065</v>
      </c>
    </row>
    <row r="1003" spans="1:2">
      <c r="A1003" t="s">
        <v>579</v>
      </c>
      <c r="B1003" t="s">
        <v>1066</v>
      </c>
    </row>
    <row r="1004" spans="1:2">
      <c r="A1004" t="s">
        <v>6</v>
      </c>
      <c r="B1004" t="s">
        <v>1067</v>
      </c>
    </row>
    <row r="1005" spans="1:2">
      <c r="A1005" t="s">
        <v>12</v>
      </c>
      <c r="B1005" t="s">
        <v>1068</v>
      </c>
    </row>
    <row r="1006" spans="1:2">
      <c r="A1006" t="s">
        <v>6</v>
      </c>
      <c r="B1006" t="s">
        <v>1069</v>
      </c>
    </row>
    <row r="1007" spans="1:2">
      <c r="A1007" t="s">
        <v>758</v>
      </c>
      <c r="B1007" t="s">
        <v>1070</v>
      </c>
    </row>
    <row r="1008" spans="1:2">
      <c r="A1008" t="s">
        <v>6</v>
      </c>
      <c r="B1008" t="s">
        <v>1071</v>
      </c>
    </row>
    <row r="1009" spans="1:2">
      <c r="A1009" t="s">
        <v>12</v>
      </c>
      <c r="B1009" t="s">
        <v>1072</v>
      </c>
    </row>
    <row r="1010" spans="1:2">
      <c r="A1010" t="s">
        <v>85</v>
      </c>
      <c r="B1010" t="s">
        <v>1073</v>
      </c>
    </row>
    <row r="1011" spans="1:2">
      <c r="A1011" t="s">
        <v>48</v>
      </c>
      <c r="B1011" t="s">
        <v>1074</v>
      </c>
    </row>
    <row r="1012" spans="1:2">
      <c r="A1012" t="s">
        <v>62</v>
      </c>
      <c r="B1012" t="s">
        <v>1075</v>
      </c>
    </row>
    <row r="1013" spans="1:2">
      <c r="A1013" t="s">
        <v>18</v>
      </c>
      <c r="B1013" t="s">
        <v>1076</v>
      </c>
    </row>
    <row r="1014" spans="1:2">
      <c r="A1014" t="s">
        <v>83</v>
      </c>
      <c r="B1014" t="s">
        <v>1077</v>
      </c>
    </row>
    <row r="1015" spans="1:2">
      <c r="A1015" t="s">
        <v>105</v>
      </c>
      <c r="B1015" t="s">
        <v>1078</v>
      </c>
    </row>
    <row r="1016" spans="1:2">
      <c r="A1016" t="s">
        <v>6</v>
      </c>
      <c r="B1016" t="s">
        <v>1079</v>
      </c>
    </row>
    <row r="1017" spans="1:2">
      <c r="A1017" t="s">
        <v>56</v>
      </c>
      <c r="B1017" t="s">
        <v>1080</v>
      </c>
    </row>
    <row r="1018" spans="1:2">
      <c r="A1018" t="s">
        <v>6</v>
      </c>
      <c r="B1018" t="s">
        <v>1081</v>
      </c>
    </row>
    <row r="1019" spans="1:2">
      <c r="A1019" t="s">
        <v>6</v>
      </c>
      <c r="B1019" t="s">
        <v>1082</v>
      </c>
    </row>
    <row r="1020" spans="1:2">
      <c r="A1020" t="s">
        <v>6</v>
      </c>
      <c r="B1020" t="s">
        <v>1083</v>
      </c>
    </row>
    <row r="1021" spans="1:2">
      <c r="A1021" t="s">
        <v>46</v>
      </c>
      <c r="B1021" t="s">
        <v>1084</v>
      </c>
    </row>
    <row r="1022" spans="1:2">
      <c r="A1022" t="s">
        <v>39</v>
      </c>
      <c r="B1022" t="s">
        <v>1085</v>
      </c>
    </row>
    <row r="1023" spans="1:2">
      <c r="A1023" t="s">
        <v>6</v>
      </c>
      <c r="B1023" t="s">
        <v>1086</v>
      </c>
    </row>
    <row r="1024" spans="1:2">
      <c r="A1024" t="s">
        <v>112</v>
      </c>
      <c r="B1024" t="s">
        <v>1087</v>
      </c>
    </row>
    <row r="1025" spans="1:2">
      <c r="A1025" t="s">
        <v>105</v>
      </c>
      <c r="B1025" t="s">
        <v>1088</v>
      </c>
    </row>
    <row r="1026" spans="1:2">
      <c r="A1026" t="s">
        <v>6</v>
      </c>
      <c r="B1026" t="s">
        <v>1089</v>
      </c>
    </row>
    <row r="1027" spans="1:2">
      <c r="A1027" t="s">
        <v>251</v>
      </c>
      <c r="B1027" t="s">
        <v>1090</v>
      </c>
    </row>
    <row r="1028" spans="1:2">
      <c r="A1028" t="s">
        <v>112</v>
      </c>
      <c r="B1028" t="s">
        <v>1091</v>
      </c>
    </row>
    <row r="1029" spans="1:2">
      <c r="A1029" t="s">
        <v>8</v>
      </c>
      <c r="B1029" t="s">
        <v>1092</v>
      </c>
    </row>
    <row r="1030" spans="1:2">
      <c r="A1030" t="s">
        <v>6</v>
      </c>
      <c r="B1030" t="s">
        <v>1093</v>
      </c>
    </row>
    <row r="1031" spans="1:2">
      <c r="A1031" t="s">
        <v>48</v>
      </c>
      <c r="B1031" t="s">
        <v>1094</v>
      </c>
    </row>
    <row r="1032" spans="1:2">
      <c r="A1032" t="s">
        <v>6</v>
      </c>
      <c r="B1032" t="s">
        <v>1095</v>
      </c>
    </row>
    <row r="1033" spans="1:2">
      <c r="A1033" t="s">
        <v>18</v>
      </c>
      <c r="B1033" t="s">
        <v>1096</v>
      </c>
    </row>
    <row r="1034" spans="1:2">
      <c r="A1034" t="s">
        <v>8</v>
      </c>
      <c r="B1034" t="s">
        <v>1097</v>
      </c>
    </row>
    <row r="1035" spans="1:2">
      <c r="A1035" t="s">
        <v>6</v>
      </c>
      <c r="B1035" t="s">
        <v>1098</v>
      </c>
    </row>
    <row r="1036" spans="1:2">
      <c r="A1036" t="s">
        <v>18</v>
      </c>
      <c r="B1036" t="s">
        <v>1099</v>
      </c>
    </row>
    <row r="1037" spans="1:2">
      <c r="A1037" t="s">
        <v>39</v>
      </c>
      <c r="B1037" t="s">
        <v>1100</v>
      </c>
    </row>
    <row r="1038" spans="1:2">
      <c r="A1038" t="s">
        <v>48</v>
      </c>
      <c r="B1038" t="s">
        <v>1101</v>
      </c>
    </row>
    <row r="1039" spans="1:2">
      <c r="A1039" t="s">
        <v>18</v>
      </c>
      <c r="B1039" t="s">
        <v>1102</v>
      </c>
    </row>
    <row r="1040" spans="1:2">
      <c r="A1040" t="s">
        <v>107</v>
      </c>
      <c r="B1040" t="s">
        <v>1103</v>
      </c>
    </row>
    <row r="1041" spans="1:2">
      <c r="A1041" t="s">
        <v>6</v>
      </c>
      <c r="B1041" t="s">
        <v>1104</v>
      </c>
    </row>
    <row r="1042" spans="1:2">
      <c r="A1042" t="s">
        <v>584</v>
      </c>
      <c r="B1042" t="s">
        <v>1105</v>
      </c>
    </row>
    <row r="1043" spans="1:2">
      <c r="A1043" t="s">
        <v>389</v>
      </c>
      <c r="B1043" t="s">
        <v>1106</v>
      </c>
    </row>
    <row r="1044" spans="1:2">
      <c r="A1044" t="s">
        <v>6</v>
      </c>
      <c r="B1044" t="s">
        <v>1107</v>
      </c>
    </row>
    <row r="1045" spans="1:2">
      <c r="A1045" t="s">
        <v>42</v>
      </c>
      <c r="B1045" t="s">
        <v>1108</v>
      </c>
    </row>
    <row r="1046" spans="1:2">
      <c r="A1046" t="s">
        <v>6</v>
      </c>
      <c r="B1046" t="s">
        <v>1109</v>
      </c>
    </row>
    <row r="1047" spans="1:2">
      <c r="A1047" t="s">
        <v>6</v>
      </c>
      <c r="B1047" t="s">
        <v>1110</v>
      </c>
    </row>
    <row r="1048" spans="1:2">
      <c r="A1048" t="s">
        <v>18</v>
      </c>
      <c r="B1048" t="s">
        <v>596</v>
      </c>
    </row>
    <row r="1049" spans="1:2">
      <c r="A1049" t="s">
        <v>8</v>
      </c>
      <c r="B1049" t="s">
        <v>1111</v>
      </c>
    </row>
    <row r="1050" spans="1:2">
      <c r="A1050" t="s">
        <v>6</v>
      </c>
      <c r="B1050" t="s">
        <v>1112</v>
      </c>
    </row>
    <row r="1051" spans="1:2">
      <c r="A1051" t="s">
        <v>6</v>
      </c>
      <c r="B1051" t="s">
        <v>1113</v>
      </c>
    </row>
    <row r="1052" spans="1:2">
      <c r="A1052" t="s">
        <v>12</v>
      </c>
      <c r="B1052" t="s">
        <v>1114</v>
      </c>
    </row>
    <row r="1053" spans="1:2">
      <c r="A1053" t="s">
        <v>6</v>
      </c>
      <c r="B1053" t="s">
        <v>1115</v>
      </c>
    </row>
    <row r="1054" spans="1:2">
      <c r="A1054" t="s">
        <v>6</v>
      </c>
      <c r="B1054" t="s">
        <v>1116</v>
      </c>
    </row>
    <row r="1055" spans="1:2">
      <c r="A1055" t="s">
        <v>33</v>
      </c>
      <c r="B1055" t="s">
        <v>1117</v>
      </c>
    </row>
    <row r="1056" spans="1:2">
      <c r="A1056" t="s">
        <v>12</v>
      </c>
      <c r="B1056" t="s">
        <v>1118</v>
      </c>
    </row>
    <row r="1057" spans="1:2">
      <c r="A1057" t="s">
        <v>112</v>
      </c>
      <c r="B1057" t="s">
        <v>1119</v>
      </c>
    </row>
    <row r="1058" spans="1:2">
      <c r="A1058" t="s">
        <v>6</v>
      </c>
      <c r="B1058" t="s">
        <v>1120</v>
      </c>
    </row>
    <row r="1059" spans="1:2">
      <c r="A1059" t="s">
        <v>1121</v>
      </c>
      <c r="B1059" t="s">
        <v>1122</v>
      </c>
    </row>
    <row r="1060" spans="1:2">
      <c r="A1060" t="s">
        <v>56</v>
      </c>
      <c r="B1060" t="s">
        <v>643</v>
      </c>
    </row>
    <row r="1061" spans="1:2">
      <c r="A1061" t="s">
        <v>112</v>
      </c>
      <c r="B1061" t="s">
        <v>1123</v>
      </c>
    </row>
    <row r="1062" spans="1:2">
      <c r="A1062" t="s">
        <v>1053</v>
      </c>
      <c r="B1062" t="s">
        <v>1124</v>
      </c>
    </row>
    <row r="1063" spans="1:2">
      <c r="A1063" t="s">
        <v>350</v>
      </c>
      <c r="B1063" t="s">
        <v>679</v>
      </c>
    </row>
    <row r="1064" spans="1:2">
      <c r="A1064" t="s">
        <v>46</v>
      </c>
      <c r="B1064" t="s">
        <v>1125</v>
      </c>
    </row>
    <row r="1065" spans="1:2">
      <c r="A1065" s="1">
        <v>41159</v>
      </c>
      <c r="B1065" t="s">
        <v>1126</v>
      </c>
    </row>
    <row r="1066" spans="1:2">
      <c r="A1066" t="s">
        <v>6</v>
      </c>
      <c r="B1066" t="s">
        <v>1127</v>
      </c>
    </row>
    <row r="1067" spans="1:2">
      <c r="A1067" t="s">
        <v>83</v>
      </c>
      <c r="B1067" t="s">
        <v>1128</v>
      </c>
    </row>
    <row r="1068" spans="1:2">
      <c r="A1068" t="s">
        <v>18</v>
      </c>
      <c r="B1068" t="s">
        <v>1129</v>
      </c>
    </row>
    <row r="1069" spans="1:2">
      <c r="A1069" t="s">
        <v>344</v>
      </c>
      <c r="B1069" t="s">
        <v>1130</v>
      </c>
    </row>
    <row r="1070" spans="1:2">
      <c r="A1070" t="s">
        <v>6</v>
      </c>
      <c r="B1070" t="s">
        <v>1131</v>
      </c>
    </row>
    <row r="1071" spans="1:2">
      <c r="A1071" t="s">
        <v>1132</v>
      </c>
      <c r="B1071" t="s">
        <v>1133</v>
      </c>
    </row>
    <row r="1072" spans="1:2">
      <c r="A1072" t="s">
        <v>6</v>
      </c>
      <c r="B1072" t="s">
        <v>1134</v>
      </c>
    </row>
    <row r="1073" spans="1:2">
      <c r="A1073" t="s">
        <v>973</v>
      </c>
      <c r="B1073" t="s">
        <v>1135</v>
      </c>
    </row>
    <row r="1074" spans="1:2">
      <c r="A1074" t="s">
        <v>6</v>
      </c>
      <c r="B1074" t="s">
        <v>1136</v>
      </c>
    </row>
    <row r="1075" spans="1:2">
      <c r="A1075" t="s">
        <v>6</v>
      </c>
      <c r="B1075" t="s">
        <v>1137</v>
      </c>
    </row>
    <row r="1076" spans="1:2">
      <c r="A1076" t="s">
        <v>56</v>
      </c>
      <c r="B1076" t="s">
        <v>1138</v>
      </c>
    </row>
    <row r="1077" spans="1:2">
      <c r="A1077" t="s">
        <v>107</v>
      </c>
      <c r="B1077" t="s">
        <v>1139</v>
      </c>
    </row>
    <row r="1078" spans="1:2">
      <c r="A1078" t="s">
        <v>223</v>
      </c>
      <c r="B1078" t="s">
        <v>1140</v>
      </c>
    </row>
    <row r="1079" spans="1:2">
      <c r="A1079" t="s">
        <v>679</v>
      </c>
      <c r="B1079" t="s">
        <v>1141</v>
      </c>
    </row>
    <row r="1080" spans="1:2">
      <c r="A1080" t="s">
        <v>6</v>
      </c>
      <c r="B1080" t="s">
        <v>1142</v>
      </c>
    </row>
    <row r="1081" spans="1:2">
      <c r="A1081" t="s">
        <v>754</v>
      </c>
      <c r="B1081" t="s">
        <v>1143</v>
      </c>
    </row>
    <row r="1082" spans="1:2">
      <c r="A1082" t="s">
        <v>20</v>
      </c>
      <c r="B1082" t="s">
        <v>1144</v>
      </c>
    </row>
    <row r="1083" spans="1:2">
      <c r="A1083" t="s">
        <v>6</v>
      </c>
      <c r="B1083" t="s">
        <v>1145</v>
      </c>
    </row>
    <row r="1084" spans="1:2">
      <c r="A1084" t="s">
        <v>288</v>
      </c>
      <c r="B1084" t="s">
        <v>1146</v>
      </c>
    </row>
    <row r="1085" spans="1:2">
      <c r="A1085" t="s">
        <v>77</v>
      </c>
      <c r="B1085" t="s">
        <v>1147</v>
      </c>
    </row>
    <row r="1086" spans="1:2">
      <c r="A1086" t="s">
        <v>566</v>
      </c>
      <c r="B1086" t="s">
        <v>1148</v>
      </c>
    </row>
    <row r="1087" spans="1:2">
      <c r="A1087" t="s">
        <v>56</v>
      </c>
      <c r="B1087" t="s">
        <v>1149</v>
      </c>
    </row>
    <row r="1088" spans="1:2">
      <c r="A1088" t="s">
        <v>1150</v>
      </c>
      <c r="B1088" t="s">
        <v>1151</v>
      </c>
    </row>
    <row r="1089" spans="1:2">
      <c r="A1089" t="s">
        <v>6</v>
      </c>
      <c r="B1089" t="s">
        <v>1152</v>
      </c>
    </row>
    <row r="1090" spans="1:2">
      <c r="A1090" t="s">
        <v>579</v>
      </c>
      <c r="B1090" t="s">
        <v>1153</v>
      </c>
    </row>
    <row r="1091" spans="1:2">
      <c r="A1091" t="s">
        <v>241</v>
      </c>
      <c r="B1091" t="s">
        <v>1154</v>
      </c>
    </row>
    <row r="1092" spans="1:2">
      <c r="A1092" t="s">
        <v>18</v>
      </c>
      <c r="B1092" t="s">
        <v>428</v>
      </c>
    </row>
    <row r="1093" spans="1:2">
      <c r="A1093" t="s">
        <v>29</v>
      </c>
      <c r="B1093" t="s">
        <v>1155</v>
      </c>
    </row>
    <row r="1094" spans="1:2">
      <c r="A1094" t="s">
        <v>6</v>
      </c>
      <c r="B1094" t="s">
        <v>1156</v>
      </c>
    </row>
    <row r="1095" spans="1:2">
      <c r="A1095" t="s">
        <v>56</v>
      </c>
      <c r="B1095" t="s">
        <v>1157</v>
      </c>
    </row>
    <row r="1096" spans="1:2">
      <c r="A1096" t="s">
        <v>29</v>
      </c>
      <c r="B1096" t="s">
        <v>1158</v>
      </c>
    </row>
    <row r="1097" spans="1:2">
      <c r="A1097" t="s">
        <v>18</v>
      </c>
      <c r="B1097" t="s">
        <v>1159</v>
      </c>
    </row>
    <row r="1098" spans="1:2">
      <c r="A1098" t="s">
        <v>77</v>
      </c>
      <c r="B1098" t="s">
        <v>1160</v>
      </c>
    </row>
    <row r="1099" spans="1:2">
      <c r="A1099" t="s">
        <v>303</v>
      </c>
      <c r="B1099" t="s">
        <v>1161</v>
      </c>
    </row>
    <row r="1100" spans="1:2">
      <c r="A1100" t="s">
        <v>48</v>
      </c>
      <c r="B1100" t="s">
        <v>1162</v>
      </c>
    </row>
    <row r="1101" spans="1:2">
      <c r="A1101" t="s">
        <v>137</v>
      </c>
      <c r="B1101" t="s">
        <v>1163</v>
      </c>
    </row>
    <row r="1102" spans="1:2">
      <c r="A1102" t="s">
        <v>6</v>
      </c>
      <c r="B1102" t="s">
        <v>1164</v>
      </c>
    </row>
    <row r="1103" spans="1:2">
      <c r="A1103" t="s">
        <v>6</v>
      </c>
      <c r="B1103" t="s">
        <v>1165</v>
      </c>
    </row>
    <row r="1104" spans="1:2">
      <c r="A1104" t="s">
        <v>18</v>
      </c>
      <c r="B1104" t="s">
        <v>1166</v>
      </c>
    </row>
    <row r="1105" spans="1:2">
      <c r="A1105" t="s">
        <v>29</v>
      </c>
      <c r="B1105" t="s">
        <v>1167</v>
      </c>
    </row>
    <row r="1106" spans="1:2">
      <c r="A1106" t="s">
        <v>56</v>
      </c>
      <c r="B1106" t="s">
        <v>29</v>
      </c>
    </row>
    <row r="1107" spans="1:2">
      <c r="A1107" t="s">
        <v>6</v>
      </c>
      <c r="B1107" t="s">
        <v>1168</v>
      </c>
    </row>
    <row r="1108" spans="1:2">
      <c r="A1108" t="s">
        <v>6</v>
      </c>
      <c r="B1108" t="s">
        <v>1169</v>
      </c>
    </row>
    <row r="1109" spans="1:2">
      <c r="A1109" t="s">
        <v>6</v>
      </c>
      <c r="B1109" t="s">
        <v>1170</v>
      </c>
    </row>
    <row r="1110" spans="1:2">
      <c r="A1110" t="s">
        <v>56</v>
      </c>
      <c r="B1110" t="s">
        <v>1171</v>
      </c>
    </row>
    <row r="1111" spans="1:2">
      <c r="A1111" t="s">
        <v>6</v>
      </c>
      <c r="B1111" t="s">
        <v>1172</v>
      </c>
    </row>
    <row r="1112" spans="1:2">
      <c r="A1112" t="s">
        <v>728</v>
      </c>
      <c r="B1112" t="s">
        <v>1173</v>
      </c>
    </row>
    <row r="1113" spans="1:2">
      <c r="A1113" t="s">
        <v>154</v>
      </c>
      <c r="B1113" t="s">
        <v>1174</v>
      </c>
    </row>
    <row r="1114" spans="1:2">
      <c r="A1114" t="s">
        <v>18</v>
      </c>
      <c r="B1114" t="s">
        <v>35</v>
      </c>
    </row>
    <row r="1115" spans="1:2">
      <c r="A1115" t="s">
        <v>18</v>
      </c>
      <c r="B1115" t="s">
        <v>1175</v>
      </c>
    </row>
    <row r="1116" spans="1:2">
      <c r="A1116" t="s">
        <v>29</v>
      </c>
      <c r="B1116" t="s">
        <v>1176</v>
      </c>
    </row>
    <row r="1117" spans="1:2">
      <c r="A1117" t="s">
        <v>1177</v>
      </c>
      <c r="B1117" t="s">
        <v>14</v>
      </c>
    </row>
    <row r="1118" spans="1:2">
      <c r="A1118" t="s">
        <v>77</v>
      </c>
      <c r="B1118" t="s">
        <v>1178</v>
      </c>
    </row>
    <row r="1119" spans="1:2">
      <c r="A1119" t="s">
        <v>191</v>
      </c>
      <c r="B1119" t="s">
        <v>167</v>
      </c>
    </row>
    <row r="1120" spans="1:2">
      <c r="A1120" t="s">
        <v>39</v>
      </c>
      <c r="B1120" t="s">
        <v>1179</v>
      </c>
    </row>
    <row r="1121" spans="1:2">
      <c r="A1121" t="s">
        <v>37</v>
      </c>
      <c r="B1121" t="s">
        <v>1180</v>
      </c>
    </row>
    <row r="1122" spans="1:2">
      <c r="A1122" t="s">
        <v>42</v>
      </c>
      <c r="B1122" t="s">
        <v>1181</v>
      </c>
    </row>
    <row r="1123" spans="1:2">
      <c r="A1123" t="s">
        <v>12</v>
      </c>
      <c r="B1123" t="s">
        <v>1182</v>
      </c>
    </row>
    <row r="1124" spans="1:2">
      <c r="A1124" t="s">
        <v>369</v>
      </c>
      <c r="B1124" t="s">
        <v>1183</v>
      </c>
    </row>
    <row r="1125" spans="1:2">
      <c r="A1125" t="s">
        <v>6</v>
      </c>
      <c r="B1125" t="s">
        <v>1184</v>
      </c>
    </row>
    <row r="1126" spans="1:2">
      <c r="A1126" t="s">
        <v>6</v>
      </c>
      <c r="B1126" t="s">
        <v>1185</v>
      </c>
    </row>
    <row r="1127" spans="1:2">
      <c r="A1127" t="s">
        <v>758</v>
      </c>
      <c r="B1127" t="s">
        <v>1186</v>
      </c>
    </row>
    <row r="1128" spans="1:2">
      <c r="A1128" t="s">
        <v>56</v>
      </c>
      <c r="B1128" t="s">
        <v>1187</v>
      </c>
    </row>
    <row r="1129" spans="1:2">
      <c r="A1129" t="s">
        <v>1188</v>
      </c>
      <c r="B1129" t="s">
        <v>1189</v>
      </c>
    </row>
    <row r="1130" spans="1:2">
      <c r="A1130" t="s">
        <v>18</v>
      </c>
      <c r="B1130" t="s">
        <v>1190</v>
      </c>
    </row>
    <row r="1131" spans="1:2">
      <c r="A1131" t="s">
        <v>6</v>
      </c>
      <c r="B1131" t="s">
        <v>1191</v>
      </c>
    </row>
    <row r="1132" spans="1:2">
      <c r="A1132" t="s">
        <v>251</v>
      </c>
      <c r="B1132" t="s">
        <v>1192</v>
      </c>
    </row>
    <row r="1133" spans="1:2">
      <c r="A1133" t="s">
        <v>18</v>
      </c>
      <c r="B1133" t="s">
        <v>1193</v>
      </c>
    </row>
    <row r="1134" spans="1:2">
      <c r="A1134" t="s">
        <v>6</v>
      </c>
      <c r="B1134" t="s">
        <v>1194</v>
      </c>
    </row>
    <row r="1135" spans="1:2">
      <c r="A1135" t="s">
        <v>6</v>
      </c>
      <c r="B1135" t="s">
        <v>1195</v>
      </c>
    </row>
    <row r="1136" spans="1:2">
      <c r="A1136" t="s">
        <v>107</v>
      </c>
      <c r="B1136" t="s">
        <v>584</v>
      </c>
    </row>
    <row r="1137" spans="1:2">
      <c r="A1137" t="s">
        <v>29</v>
      </c>
      <c r="B1137" t="s">
        <v>1196</v>
      </c>
    </row>
    <row r="1138" spans="1:2">
      <c r="A1138" t="s">
        <v>154</v>
      </c>
      <c r="B1138" t="s">
        <v>453</v>
      </c>
    </row>
    <row r="1139" spans="1:2">
      <c r="A1139" t="s">
        <v>14</v>
      </c>
      <c r="B1139" t="s">
        <v>1197</v>
      </c>
    </row>
    <row r="1140" spans="1:2">
      <c r="A1140" t="s">
        <v>8</v>
      </c>
      <c r="B1140" t="s">
        <v>1198</v>
      </c>
    </row>
    <row r="1141" spans="1:2">
      <c r="A1141" t="s">
        <v>18</v>
      </c>
      <c r="B1141" t="s">
        <v>1199</v>
      </c>
    </row>
    <row r="1142" spans="1:2">
      <c r="A1142" t="s">
        <v>39</v>
      </c>
      <c r="B1142" t="s">
        <v>1200</v>
      </c>
    </row>
    <row r="1143" spans="1:2">
      <c r="A1143" t="s">
        <v>6</v>
      </c>
      <c r="B1143" t="s">
        <v>1201</v>
      </c>
    </row>
    <row r="1144" spans="1:2">
      <c r="A1144" t="s">
        <v>6</v>
      </c>
      <c r="B1144" t="s">
        <v>1202</v>
      </c>
    </row>
    <row r="1145" spans="1:2">
      <c r="A1145" t="s">
        <v>6</v>
      </c>
      <c r="B1145" t="s">
        <v>1203</v>
      </c>
    </row>
    <row r="1146" spans="1:2">
      <c r="A1146" t="s">
        <v>6</v>
      </c>
      <c r="B1146" t="s">
        <v>1204</v>
      </c>
    </row>
    <row r="1147" spans="1:2">
      <c r="A1147" t="s">
        <v>48</v>
      </c>
      <c r="B1147" t="s">
        <v>1205</v>
      </c>
    </row>
    <row r="1148" spans="1:2">
      <c r="A1148" t="s">
        <v>12</v>
      </c>
      <c r="B1148" t="s">
        <v>1206</v>
      </c>
    </row>
    <row r="1149" spans="1:2">
      <c r="A1149" t="s">
        <v>83</v>
      </c>
      <c r="B1149" t="s">
        <v>1207</v>
      </c>
    </row>
    <row r="1150" spans="1:2">
      <c r="A1150" t="s">
        <v>105</v>
      </c>
      <c r="B1150" t="s">
        <v>1208</v>
      </c>
    </row>
    <row r="1151" spans="1:2">
      <c r="A1151" t="s">
        <v>56</v>
      </c>
      <c r="B1151" t="s">
        <v>1209</v>
      </c>
    </row>
    <row r="1152" spans="1:2">
      <c r="A1152" t="s">
        <v>6</v>
      </c>
      <c r="B1152" t="s">
        <v>1210</v>
      </c>
    </row>
    <row r="1153" spans="1:2">
      <c r="A1153" t="s">
        <v>56</v>
      </c>
      <c r="B1153" t="s">
        <v>1211</v>
      </c>
    </row>
    <row r="1154" spans="1:2">
      <c r="A1154" t="s">
        <v>33</v>
      </c>
      <c r="B1154" t="s">
        <v>525</v>
      </c>
    </row>
    <row r="1155" spans="1:2">
      <c r="A1155" t="s">
        <v>8</v>
      </c>
      <c r="B1155" t="s">
        <v>1212</v>
      </c>
    </row>
    <row r="1156" spans="1:2">
      <c r="A1156" t="s">
        <v>91</v>
      </c>
      <c r="B1156" t="s">
        <v>1213</v>
      </c>
    </row>
    <row r="1157" spans="1:2">
      <c r="A1157" t="s">
        <v>6</v>
      </c>
      <c r="B1157" t="s">
        <v>1214</v>
      </c>
    </row>
    <row r="1158" spans="1:2">
      <c r="A1158" t="s">
        <v>56</v>
      </c>
      <c r="B1158" t="s">
        <v>1215</v>
      </c>
    </row>
    <row r="1159" spans="1:2">
      <c r="A1159" t="s">
        <v>6</v>
      </c>
      <c r="B1159" t="s">
        <v>1216</v>
      </c>
    </row>
    <row r="1160" spans="1:2">
      <c r="A1160" t="s">
        <v>114</v>
      </c>
      <c r="B1160" t="s">
        <v>1217</v>
      </c>
    </row>
    <row r="1161" spans="1:2">
      <c r="A1161" t="s">
        <v>103</v>
      </c>
      <c r="B1161" t="s">
        <v>1218</v>
      </c>
    </row>
    <row r="1162" spans="1:2">
      <c r="A1162" t="s">
        <v>6</v>
      </c>
      <c r="B1162" t="s">
        <v>1219</v>
      </c>
    </row>
    <row r="1163" spans="1:2">
      <c r="A1163" t="s">
        <v>48</v>
      </c>
      <c r="B1163" t="s">
        <v>1220</v>
      </c>
    </row>
    <row r="1164" spans="1:2">
      <c r="A1164" t="s">
        <v>6</v>
      </c>
      <c r="B1164" t="s">
        <v>1221</v>
      </c>
    </row>
    <row r="1165" spans="1:2">
      <c r="A1165" t="s">
        <v>18</v>
      </c>
      <c r="B1165" t="s">
        <v>142</v>
      </c>
    </row>
    <row r="1166" spans="1:2">
      <c r="A1166" t="s">
        <v>105</v>
      </c>
      <c r="B1166" t="s">
        <v>1222</v>
      </c>
    </row>
    <row r="1167" spans="1:2">
      <c r="A1167" t="s">
        <v>1223</v>
      </c>
      <c r="B1167" t="s">
        <v>1224</v>
      </c>
    </row>
    <row r="1168" spans="1:2">
      <c r="A1168" t="s">
        <v>112</v>
      </c>
      <c r="B1168" t="s">
        <v>1225</v>
      </c>
    </row>
    <row r="1169" spans="1:2">
      <c r="A1169" t="s">
        <v>18</v>
      </c>
      <c r="B1169" t="s">
        <v>1226</v>
      </c>
    </row>
    <row r="1170" spans="1:2">
      <c r="A1170" t="s">
        <v>6</v>
      </c>
      <c r="B1170" t="s">
        <v>1227</v>
      </c>
    </row>
    <row r="1171" spans="1:2">
      <c r="A1171" t="s">
        <v>56</v>
      </c>
      <c r="B1171" t="s">
        <v>1228</v>
      </c>
    </row>
    <row r="1172" spans="1:2">
      <c r="A1172" t="s">
        <v>4</v>
      </c>
      <c r="B1172" t="s">
        <v>1229</v>
      </c>
    </row>
    <row r="1173" spans="1:2">
      <c r="A1173" t="s">
        <v>6</v>
      </c>
      <c r="B1173" t="s">
        <v>1230</v>
      </c>
    </row>
    <row r="1174" spans="1:2">
      <c r="A1174" t="s">
        <v>223</v>
      </c>
      <c r="B1174" t="s">
        <v>1231</v>
      </c>
    </row>
    <row r="1175" spans="1:2">
      <c r="A1175" t="s">
        <v>56</v>
      </c>
      <c r="B1175" t="s">
        <v>48</v>
      </c>
    </row>
    <row r="1176" spans="1:2">
      <c r="A1176" t="s">
        <v>212</v>
      </c>
      <c r="B1176" t="s">
        <v>1232</v>
      </c>
    </row>
    <row r="1177" spans="1:2">
      <c r="A1177" t="s">
        <v>6</v>
      </c>
      <c r="B1177" t="s">
        <v>1233</v>
      </c>
    </row>
    <row r="1178" spans="1:2">
      <c r="A1178" t="s">
        <v>6</v>
      </c>
      <c r="B1178" t="s">
        <v>1234</v>
      </c>
    </row>
    <row r="1179" spans="1:2">
      <c r="A1179" t="s">
        <v>29</v>
      </c>
      <c r="B1179" t="s">
        <v>1235</v>
      </c>
    </row>
    <row r="1180" spans="1:2">
      <c r="A1180" t="s">
        <v>42</v>
      </c>
      <c r="B1180" t="s">
        <v>1236</v>
      </c>
    </row>
    <row r="1181" spans="1:2">
      <c r="A1181" t="s">
        <v>684</v>
      </c>
      <c r="B1181" t="s">
        <v>1237</v>
      </c>
    </row>
    <row r="1182" spans="1:2">
      <c r="A1182" t="s">
        <v>18</v>
      </c>
      <c r="B1182" t="s">
        <v>1238</v>
      </c>
    </row>
    <row r="1183" spans="1:2">
      <c r="A1183" t="s">
        <v>56</v>
      </c>
      <c r="B1183" t="s">
        <v>758</v>
      </c>
    </row>
    <row r="1184" spans="1:2">
      <c r="A1184" t="s">
        <v>56</v>
      </c>
      <c r="B1184" t="s">
        <v>1239</v>
      </c>
    </row>
    <row r="1185" spans="1:2">
      <c r="A1185" t="s">
        <v>309</v>
      </c>
      <c r="B1185" t="s">
        <v>1240</v>
      </c>
    </row>
    <row r="1186" spans="1:2">
      <c r="A1186" t="s">
        <v>6</v>
      </c>
      <c r="B1186" t="s">
        <v>1241</v>
      </c>
    </row>
    <row r="1187" spans="1:2">
      <c r="A1187" t="s">
        <v>50</v>
      </c>
      <c r="B1187" t="s">
        <v>1242</v>
      </c>
    </row>
    <row r="1188" spans="1:2">
      <c r="A1188" t="s">
        <v>6</v>
      </c>
      <c r="B1188" t="s">
        <v>1243</v>
      </c>
    </row>
    <row r="1189" spans="1:2">
      <c r="A1189" t="s">
        <v>20</v>
      </c>
      <c r="B1189" t="s">
        <v>1244</v>
      </c>
    </row>
    <row r="1190" spans="1:2">
      <c r="A1190" t="s">
        <v>57</v>
      </c>
      <c r="B1190" t="s">
        <v>1245</v>
      </c>
    </row>
    <row r="1191" spans="1:2">
      <c r="A1191" t="s">
        <v>1246</v>
      </c>
      <c r="B1191" t="s">
        <v>1247</v>
      </c>
    </row>
    <row r="1192" spans="1:2">
      <c r="A1192" t="s">
        <v>8</v>
      </c>
      <c r="B1192" t="s">
        <v>1248</v>
      </c>
    </row>
    <row r="1193" spans="1:2">
      <c r="A1193" t="s">
        <v>18</v>
      </c>
      <c r="B1193" t="s">
        <v>1249</v>
      </c>
    </row>
    <row r="1194" spans="1:2">
      <c r="A1194" t="s">
        <v>137</v>
      </c>
      <c r="B1194" t="s">
        <v>1250</v>
      </c>
    </row>
    <row r="1195" spans="1:2">
      <c r="A1195" t="s">
        <v>6</v>
      </c>
      <c r="B1195" t="s">
        <v>1251</v>
      </c>
    </row>
    <row r="1196" spans="1:2">
      <c r="A1196" t="s">
        <v>18</v>
      </c>
      <c r="B1196" t="s">
        <v>1252</v>
      </c>
    </row>
    <row r="1197" spans="1:2">
      <c r="A1197" t="s">
        <v>77</v>
      </c>
      <c r="B1197" t="s">
        <v>1253</v>
      </c>
    </row>
    <row r="1198" spans="1:2">
      <c r="A1198" t="s">
        <v>57</v>
      </c>
      <c r="B1198" t="s">
        <v>1254</v>
      </c>
    </row>
    <row r="1199" spans="1:2">
      <c r="A1199" t="s">
        <v>6</v>
      </c>
      <c r="B1199" t="s">
        <v>1255</v>
      </c>
    </row>
    <row r="1200" spans="1:2">
      <c r="A1200" t="s">
        <v>22</v>
      </c>
      <c r="B1200" t="s">
        <v>1256</v>
      </c>
    </row>
    <row r="1201" spans="1:2">
      <c r="A1201" t="s">
        <v>6</v>
      </c>
      <c r="B1201" t="s">
        <v>1257</v>
      </c>
    </row>
    <row r="1202" spans="1:2">
      <c r="A1202" t="s">
        <v>6</v>
      </c>
      <c r="B1202" t="s">
        <v>1258</v>
      </c>
    </row>
    <row r="1203" spans="1:2">
      <c r="A1203" t="s">
        <v>6</v>
      </c>
      <c r="B1203" t="s">
        <v>1259</v>
      </c>
    </row>
    <row r="1204" spans="1:2">
      <c r="A1204" t="s">
        <v>6</v>
      </c>
      <c r="B1204" t="s">
        <v>1260</v>
      </c>
    </row>
    <row r="1205" spans="1:2">
      <c r="A1205" t="s">
        <v>6</v>
      </c>
      <c r="B1205" t="s">
        <v>1261</v>
      </c>
    </row>
    <row r="1206" spans="1:2">
      <c r="A1206" t="s">
        <v>77</v>
      </c>
      <c r="B1206" t="s">
        <v>1262</v>
      </c>
    </row>
    <row r="1207" spans="1:2">
      <c r="A1207" t="s">
        <v>6</v>
      </c>
      <c r="B1207" t="s">
        <v>1263</v>
      </c>
    </row>
    <row r="1208" spans="1:2">
      <c r="A1208" t="s">
        <v>6</v>
      </c>
      <c r="B1208" t="s">
        <v>1264</v>
      </c>
    </row>
    <row r="1209" spans="1:2">
      <c r="A1209" t="s">
        <v>50</v>
      </c>
      <c r="B1209" t="s">
        <v>1265</v>
      </c>
    </row>
    <row r="1210" spans="1:2">
      <c r="A1210" t="s">
        <v>134</v>
      </c>
      <c r="B1210" t="s">
        <v>1266</v>
      </c>
    </row>
    <row r="1211" spans="1:2">
      <c r="A1211" t="s">
        <v>27</v>
      </c>
      <c r="B1211" t="s">
        <v>1267</v>
      </c>
    </row>
    <row r="1212" spans="1:2">
      <c r="A1212" t="s">
        <v>6</v>
      </c>
      <c r="B1212" t="s">
        <v>1268</v>
      </c>
    </row>
    <row r="1213" spans="1:2">
      <c r="A1213" t="s">
        <v>1269</v>
      </c>
      <c r="B1213" t="s">
        <v>1270</v>
      </c>
    </row>
    <row r="1214" spans="1:2">
      <c r="A1214" t="s">
        <v>223</v>
      </c>
      <c r="B1214" t="s">
        <v>1271</v>
      </c>
    </row>
    <row r="1215" spans="1:2">
      <c r="A1215" t="s">
        <v>39</v>
      </c>
      <c r="B1215" t="s">
        <v>1272</v>
      </c>
    </row>
    <row r="1216" spans="1:2">
      <c r="A1216" t="s">
        <v>97</v>
      </c>
      <c r="B1216" t="s">
        <v>1273</v>
      </c>
    </row>
    <row r="1217" spans="1:2">
      <c r="A1217" t="s">
        <v>6</v>
      </c>
      <c r="B1217" t="s">
        <v>1274</v>
      </c>
    </row>
    <row r="1218" spans="1:2">
      <c r="A1218" t="s">
        <v>250</v>
      </c>
      <c r="B1218" t="s">
        <v>1275</v>
      </c>
    </row>
    <row r="1219" spans="1:2">
      <c r="A1219" t="s">
        <v>6</v>
      </c>
      <c r="B1219" t="s">
        <v>1276</v>
      </c>
    </row>
    <row r="1220" spans="1:2">
      <c r="A1220" t="s">
        <v>6</v>
      </c>
      <c r="B1220" t="s">
        <v>1277</v>
      </c>
    </row>
    <row r="1221" spans="1:2">
      <c r="A1221" t="s">
        <v>6</v>
      </c>
      <c r="B1221" t="s">
        <v>1278</v>
      </c>
    </row>
    <row r="1222" spans="1:2">
      <c r="A1222" t="s">
        <v>18</v>
      </c>
      <c r="B1222" t="s">
        <v>1279</v>
      </c>
    </row>
    <row r="1223" spans="1:2">
      <c r="A1223" t="s">
        <v>18</v>
      </c>
      <c r="B1223" t="s">
        <v>1280</v>
      </c>
    </row>
    <row r="1224" spans="1:2">
      <c r="A1224" t="s">
        <v>39</v>
      </c>
      <c r="B1224" t="s">
        <v>1281</v>
      </c>
    </row>
    <row r="1225" spans="1:2">
      <c r="A1225" t="s">
        <v>18</v>
      </c>
      <c r="B1225" t="s">
        <v>1282</v>
      </c>
    </row>
    <row r="1226" spans="1:2">
      <c r="A1226" t="s">
        <v>889</v>
      </c>
      <c r="B1226" t="s">
        <v>1283</v>
      </c>
    </row>
    <row r="1227" spans="1:2">
      <c r="A1227" t="s">
        <v>8</v>
      </c>
      <c r="B1227" t="s">
        <v>1284</v>
      </c>
    </row>
    <row r="1228" spans="1:2">
      <c r="A1228" t="s">
        <v>758</v>
      </c>
      <c r="B1228" t="s">
        <v>1285</v>
      </c>
    </row>
    <row r="1229" spans="1:2">
      <c r="A1229" t="s">
        <v>18</v>
      </c>
      <c r="B1229" t="s">
        <v>1286</v>
      </c>
    </row>
    <row r="1230" spans="1:2">
      <c r="A1230" t="s">
        <v>323</v>
      </c>
      <c r="B1230" t="s">
        <v>1287</v>
      </c>
    </row>
    <row r="1231" spans="1:2">
      <c r="A1231" t="s">
        <v>18</v>
      </c>
      <c r="B1231" t="s">
        <v>1288</v>
      </c>
    </row>
    <row r="1232" spans="1:2">
      <c r="A1232" t="s">
        <v>18</v>
      </c>
      <c r="B1232" t="s">
        <v>1289</v>
      </c>
    </row>
    <row r="1233" spans="1:2">
      <c r="A1233" t="s">
        <v>6</v>
      </c>
      <c r="B1233" t="s">
        <v>1290</v>
      </c>
    </row>
    <row r="1234" spans="1:2">
      <c r="A1234" t="s">
        <v>6</v>
      </c>
      <c r="B1234" t="s">
        <v>1291</v>
      </c>
    </row>
    <row r="1235" spans="1:2">
      <c r="A1235" t="s">
        <v>6</v>
      </c>
      <c r="B1235" t="s">
        <v>1292</v>
      </c>
    </row>
    <row r="1236" spans="1:2">
      <c r="A1236" t="s">
        <v>29</v>
      </c>
      <c r="B1236" t="s">
        <v>1293</v>
      </c>
    </row>
    <row r="1237" spans="1:2">
      <c r="A1237" t="s">
        <v>154</v>
      </c>
      <c r="B1237" t="s">
        <v>1294</v>
      </c>
    </row>
    <row r="1238" spans="1:2">
      <c r="A1238" t="s">
        <v>6</v>
      </c>
      <c r="B1238" t="s">
        <v>1295</v>
      </c>
    </row>
    <row r="1239" spans="1:2">
      <c r="A1239" t="s">
        <v>6</v>
      </c>
      <c r="B1239" t="s">
        <v>1296</v>
      </c>
    </row>
    <row r="1240" spans="1:2">
      <c r="A1240" t="s">
        <v>6</v>
      </c>
      <c r="B1240" t="s">
        <v>1297</v>
      </c>
    </row>
    <row r="1241" spans="1:2">
      <c r="A1241" t="s">
        <v>29</v>
      </c>
      <c r="B1241" t="s">
        <v>1298</v>
      </c>
    </row>
    <row r="1242" spans="1:2">
      <c r="A1242" t="s">
        <v>137</v>
      </c>
      <c r="B1242" t="s">
        <v>1299</v>
      </c>
    </row>
    <row r="1243" spans="1:2">
      <c r="A1243" t="s">
        <v>6</v>
      </c>
      <c r="B1243" t="s">
        <v>1300</v>
      </c>
    </row>
    <row r="1244" spans="1:2">
      <c r="A1244" t="s">
        <v>6</v>
      </c>
      <c r="B1244" t="s">
        <v>1301</v>
      </c>
    </row>
    <row r="1245" spans="1:2">
      <c r="A1245" t="s">
        <v>588</v>
      </c>
      <c r="B1245" t="s">
        <v>1302</v>
      </c>
    </row>
    <row r="1246" spans="1:2">
      <c r="A1246" t="s">
        <v>6</v>
      </c>
      <c r="B1246" t="s">
        <v>1303</v>
      </c>
    </row>
    <row r="1247" spans="1:2">
      <c r="A1247" t="s">
        <v>6</v>
      </c>
      <c r="B1247" t="s">
        <v>1304</v>
      </c>
    </row>
    <row r="1248" spans="1:2">
      <c r="A1248" t="s">
        <v>684</v>
      </c>
      <c r="B1248" t="s">
        <v>1305</v>
      </c>
    </row>
    <row r="1249" spans="1:2">
      <c r="A1249" t="s">
        <v>56</v>
      </c>
      <c r="B1249" t="s">
        <v>1306</v>
      </c>
    </row>
    <row r="1250" spans="1:2">
      <c r="A1250" t="s">
        <v>18</v>
      </c>
      <c r="B1250" t="s">
        <v>1307</v>
      </c>
    </row>
    <row r="1251" spans="1:2">
      <c r="A1251" t="s">
        <v>68</v>
      </c>
      <c r="B1251" t="s">
        <v>1308</v>
      </c>
    </row>
    <row r="1252" spans="1:2">
      <c r="A1252" t="s">
        <v>323</v>
      </c>
      <c r="B1252" t="s">
        <v>1309</v>
      </c>
    </row>
    <row r="1253" spans="1:2">
      <c r="A1253" t="s">
        <v>18</v>
      </c>
      <c r="B1253" t="s">
        <v>1310</v>
      </c>
    </row>
    <row r="1254" spans="1:2">
      <c r="A1254" t="s">
        <v>4</v>
      </c>
      <c r="B1254" t="s">
        <v>1311</v>
      </c>
    </row>
    <row r="1255" spans="1:2">
      <c r="A1255" t="s">
        <v>6</v>
      </c>
      <c r="B1255" t="s">
        <v>1312</v>
      </c>
    </row>
    <row r="1256" spans="1:2">
      <c r="A1256" t="s">
        <v>1313</v>
      </c>
      <c r="B1256" t="s">
        <v>1314</v>
      </c>
    </row>
    <row r="1257" spans="1:2">
      <c r="A1257" t="s">
        <v>105</v>
      </c>
      <c r="B1257" t="s">
        <v>1315</v>
      </c>
    </row>
    <row r="1258" spans="1:2">
      <c r="A1258" t="s">
        <v>6</v>
      </c>
      <c r="B1258" t="s">
        <v>1316</v>
      </c>
    </row>
    <row r="1259" spans="1:2">
      <c r="A1259" t="s">
        <v>39</v>
      </c>
      <c r="B1259" t="s">
        <v>1317</v>
      </c>
    </row>
    <row r="1260" spans="1:2">
      <c r="A1260" t="s">
        <v>103</v>
      </c>
      <c r="B1260" t="s">
        <v>1318</v>
      </c>
    </row>
    <row r="1261" spans="1:2">
      <c r="A1261" t="s">
        <v>156</v>
      </c>
      <c r="B1261" t="s">
        <v>1319</v>
      </c>
    </row>
    <row r="1262" spans="1:2">
      <c r="A1262" t="s">
        <v>56</v>
      </c>
      <c r="B1262" t="s">
        <v>1320</v>
      </c>
    </row>
    <row r="1263" spans="1:2">
      <c r="A1263" t="s">
        <v>388</v>
      </c>
      <c r="B1263" t="s">
        <v>37</v>
      </c>
    </row>
    <row r="1264" spans="1:2">
      <c r="A1264" t="s">
        <v>12</v>
      </c>
      <c r="B1264" t="s">
        <v>1321</v>
      </c>
    </row>
    <row r="1265" spans="1:2">
      <c r="A1265" t="s">
        <v>112</v>
      </c>
      <c r="B1265" t="s">
        <v>1322</v>
      </c>
    </row>
    <row r="1266" spans="1:2">
      <c r="A1266" t="s">
        <v>56</v>
      </c>
      <c r="B1266" t="s">
        <v>103</v>
      </c>
    </row>
    <row r="1267" spans="1:2">
      <c r="A1267" t="s">
        <v>8</v>
      </c>
      <c r="B1267" t="s">
        <v>1323</v>
      </c>
    </row>
    <row r="1268" spans="1:2">
      <c r="A1268" t="s">
        <v>112</v>
      </c>
      <c r="B1268" t="s">
        <v>1324</v>
      </c>
    </row>
    <row r="1269" spans="1:2">
      <c r="A1269" t="s">
        <v>48</v>
      </c>
      <c r="B1269" t="s">
        <v>1325</v>
      </c>
    </row>
    <row r="1270" spans="1:2">
      <c r="A1270" t="s">
        <v>50</v>
      </c>
      <c r="B1270" t="s">
        <v>1326</v>
      </c>
    </row>
    <row r="1271" spans="1:2">
      <c r="A1271" t="s">
        <v>56</v>
      </c>
      <c r="B1271" t="s">
        <v>1327</v>
      </c>
    </row>
    <row r="1272" spans="1:2">
      <c r="A1272" t="s">
        <v>6</v>
      </c>
      <c r="B1272" t="s">
        <v>1328</v>
      </c>
    </row>
    <row r="1273" spans="1:2">
      <c r="A1273" t="s">
        <v>77</v>
      </c>
      <c r="B1273" t="s">
        <v>1329</v>
      </c>
    </row>
    <row r="1274" spans="1:2">
      <c r="A1274" t="s">
        <v>18</v>
      </c>
      <c r="B1274" t="s">
        <v>1330</v>
      </c>
    </row>
    <row r="1275" spans="1:2">
      <c r="A1275" t="s">
        <v>8</v>
      </c>
      <c r="B1275" t="s">
        <v>1331</v>
      </c>
    </row>
    <row r="1276" spans="1:2">
      <c r="A1276" t="s">
        <v>56</v>
      </c>
      <c r="B1276" t="s">
        <v>1223</v>
      </c>
    </row>
    <row r="1277" spans="1:2">
      <c r="A1277" t="s">
        <v>56</v>
      </c>
      <c r="B1277" t="s">
        <v>1332</v>
      </c>
    </row>
    <row r="1278" spans="1:2">
      <c r="A1278" t="s">
        <v>97</v>
      </c>
      <c r="B1278" t="s">
        <v>1333</v>
      </c>
    </row>
    <row r="1279" spans="1:2">
      <c r="A1279" t="s">
        <v>18</v>
      </c>
      <c r="B1279" t="s">
        <v>1334</v>
      </c>
    </row>
    <row r="1280" spans="1:2">
      <c r="A1280" t="s">
        <v>18</v>
      </c>
      <c r="B1280" t="s">
        <v>1335</v>
      </c>
    </row>
    <row r="1281" spans="1:2">
      <c r="A1281" t="s">
        <v>68</v>
      </c>
      <c r="B1281" t="s">
        <v>1336</v>
      </c>
    </row>
    <row r="1282" spans="1:2">
      <c r="A1282" t="s">
        <v>6</v>
      </c>
      <c r="B1282" t="s">
        <v>1337</v>
      </c>
    </row>
    <row r="1283" spans="1:2">
      <c r="A1283" t="s">
        <v>20</v>
      </c>
      <c r="B1283" t="s">
        <v>1338</v>
      </c>
    </row>
    <row r="1284" spans="1:2">
      <c r="A1284" t="s">
        <v>154</v>
      </c>
      <c r="B1284" t="s">
        <v>1339</v>
      </c>
    </row>
    <row r="1285" spans="1:2">
      <c r="A1285" t="s">
        <v>20</v>
      </c>
      <c r="B1285" t="s">
        <v>1340</v>
      </c>
    </row>
    <row r="1286" spans="1:2">
      <c r="A1286" t="s">
        <v>6</v>
      </c>
      <c r="B1286" t="s">
        <v>159</v>
      </c>
    </row>
    <row r="1287" spans="1:2">
      <c r="A1287" t="s">
        <v>154</v>
      </c>
      <c r="B1287" t="s">
        <v>1341</v>
      </c>
    </row>
    <row r="1288" spans="1:2">
      <c r="A1288" t="s">
        <v>56</v>
      </c>
      <c r="B1288" t="s">
        <v>156</v>
      </c>
    </row>
    <row r="1289" spans="1:2">
      <c r="A1289" t="s">
        <v>6</v>
      </c>
      <c r="B1289" t="s">
        <v>1342</v>
      </c>
    </row>
    <row r="1290" spans="1:2">
      <c r="A1290" t="s">
        <v>1343</v>
      </c>
      <c r="B1290" t="s">
        <v>1344</v>
      </c>
    </row>
    <row r="1291" spans="1:2">
      <c r="A1291" t="s">
        <v>12</v>
      </c>
      <c r="B1291" t="s">
        <v>1345</v>
      </c>
    </row>
    <row r="1292" spans="1:2">
      <c r="A1292" t="s">
        <v>18</v>
      </c>
      <c r="B1292" t="s">
        <v>1346</v>
      </c>
    </row>
    <row r="1293" spans="1:2">
      <c r="A1293" t="s">
        <v>0</v>
      </c>
      <c r="B1293" t="s">
        <v>456</v>
      </c>
    </row>
    <row r="1294" spans="1:2">
      <c r="A1294" t="s">
        <v>191</v>
      </c>
      <c r="B1294" t="s">
        <v>750</v>
      </c>
    </row>
    <row r="1295" spans="1:2">
      <c r="A1295" t="s">
        <v>46</v>
      </c>
      <c r="B1295" t="s">
        <v>1347</v>
      </c>
    </row>
    <row r="1296" spans="1:2">
      <c r="A1296" t="s">
        <v>6</v>
      </c>
      <c r="B1296" t="s">
        <v>1348</v>
      </c>
    </row>
    <row r="1297" spans="1:2">
      <c r="A1297" t="s">
        <v>6</v>
      </c>
      <c r="B1297" t="s">
        <v>1349</v>
      </c>
    </row>
    <row r="1298" spans="1:2">
      <c r="A1298" t="s">
        <v>18</v>
      </c>
      <c r="B1298" t="s">
        <v>1350</v>
      </c>
    </row>
    <row r="1299" spans="1:2">
      <c r="A1299" t="s">
        <v>33</v>
      </c>
      <c r="B1299" t="s">
        <v>1351</v>
      </c>
    </row>
    <row r="1300" spans="1:2">
      <c r="A1300" t="s">
        <v>48</v>
      </c>
      <c r="B1300" t="s">
        <v>1352</v>
      </c>
    </row>
    <row r="1301" spans="1:2">
      <c r="A1301" t="s">
        <v>29</v>
      </c>
      <c r="B1301" t="s">
        <v>1353</v>
      </c>
    </row>
    <row r="1302" spans="1:2">
      <c r="A1302" t="s">
        <v>14</v>
      </c>
      <c r="B1302" t="s">
        <v>491</v>
      </c>
    </row>
    <row r="1303" spans="1:2">
      <c r="A1303" t="s">
        <v>621</v>
      </c>
      <c r="B1303" t="s">
        <v>1354</v>
      </c>
    </row>
    <row r="1304" spans="1:2">
      <c r="A1304" t="s">
        <v>309</v>
      </c>
      <c r="B1304" t="s">
        <v>1355</v>
      </c>
    </row>
    <row r="1305" spans="1:2">
      <c r="A1305" t="s">
        <v>2</v>
      </c>
      <c r="B1305" t="s">
        <v>1356</v>
      </c>
    </row>
    <row r="1306" spans="1:2">
      <c r="A1306" t="s">
        <v>6</v>
      </c>
      <c r="B1306" t="s">
        <v>1357</v>
      </c>
    </row>
    <row r="1307" spans="1:2">
      <c r="A1307" t="s">
        <v>18</v>
      </c>
      <c r="B1307" t="s">
        <v>1358</v>
      </c>
    </row>
    <row r="1308" spans="1:2">
      <c r="A1308" t="s">
        <v>53</v>
      </c>
      <c r="B1308" t="s">
        <v>1359</v>
      </c>
    </row>
    <row r="1309" spans="1:2">
      <c r="A1309" t="s">
        <v>6</v>
      </c>
      <c r="B1309" t="s">
        <v>1360</v>
      </c>
    </row>
    <row r="1310" spans="1:2">
      <c r="A1310" t="s">
        <v>8</v>
      </c>
      <c r="B1310" t="s">
        <v>1361</v>
      </c>
    </row>
    <row r="1311" spans="1:2">
      <c r="A1311" t="s">
        <v>77</v>
      </c>
      <c r="B1311" t="s">
        <v>1362</v>
      </c>
    </row>
    <row r="1312" spans="1:2">
      <c r="A1312" t="s">
        <v>129</v>
      </c>
      <c r="B1312" t="s">
        <v>1363</v>
      </c>
    </row>
    <row r="1313" spans="1:2">
      <c r="A1313" t="s">
        <v>6</v>
      </c>
      <c r="B1313" t="s">
        <v>1364</v>
      </c>
    </row>
    <row r="1314" spans="1:2">
      <c r="A1314" t="s">
        <v>6</v>
      </c>
      <c r="B1314" t="s">
        <v>1365</v>
      </c>
    </row>
    <row r="1315" spans="1:2">
      <c r="A1315" t="s">
        <v>6</v>
      </c>
      <c r="B1315" t="s">
        <v>1366</v>
      </c>
    </row>
    <row r="1316" spans="1:2">
      <c r="A1316" t="s">
        <v>18</v>
      </c>
      <c r="B1316" t="s">
        <v>1367</v>
      </c>
    </row>
    <row r="1317" spans="1:2">
      <c r="A1317" t="s">
        <v>103</v>
      </c>
      <c r="B1317" t="s">
        <v>1368</v>
      </c>
    </row>
    <row r="1318" spans="1:2">
      <c r="A1318" t="s">
        <v>20</v>
      </c>
      <c r="B1318" t="s">
        <v>1369</v>
      </c>
    </row>
    <row r="1319" spans="1:2">
      <c r="A1319" t="s">
        <v>6</v>
      </c>
      <c r="B1319" t="s">
        <v>1370</v>
      </c>
    </row>
    <row r="1320" spans="1:2">
      <c r="A1320" t="s">
        <v>137</v>
      </c>
      <c r="B1320" t="s">
        <v>1371</v>
      </c>
    </row>
    <row r="1321" spans="1:2">
      <c r="A1321" t="s">
        <v>6</v>
      </c>
      <c r="B1321" t="s">
        <v>1372</v>
      </c>
    </row>
    <row r="1322" spans="1:2">
      <c r="A1322" t="s">
        <v>68</v>
      </c>
      <c r="B1322" t="s">
        <v>1373</v>
      </c>
    </row>
    <row r="1323" spans="1:2">
      <c r="A1323" t="s">
        <v>29</v>
      </c>
      <c r="B1323" t="s">
        <v>1374</v>
      </c>
    </row>
    <row r="1324" spans="1:2">
      <c r="A1324" t="s">
        <v>50</v>
      </c>
      <c r="B1324" t="s">
        <v>1375</v>
      </c>
    </row>
    <row r="1325" spans="1:2">
      <c r="A1325" t="s">
        <v>39</v>
      </c>
      <c r="B1325" t="s">
        <v>1376</v>
      </c>
    </row>
    <row r="1326" spans="1:2">
      <c r="A1326" t="s">
        <v>77</v>
      </c>
      <c r="B1326" t="s">
        <v>1377</v>
      </c>
    </row>
    <row r="1327" spans="1:2">
      <c r="A1327" t="s">
        <v>728</v>
      </c>
      <c r="B1327" t="s">
        <v>1378</v>
      </c>
    </row>
    <row r="1328" spans="1:2">
      <c r="A1328" t="s">
        <v>6</v>
      </c>
      <c r="B1328" t="s">
        <v>1379</v>
      </c>
    </row>
    <row r="1329" spans="1:2">
      <c r="A1329" t="s">
        <v>35</v>
      </c>
      <c r="B1329" t="s">
        <v>1380</v>
      </c>
    </row>
    <row r="1330" spans="1:2">
      <c r="A1330" t="s">
        <v>1381</v>
      </c>
      <c r="B1330" t="s">
        <v>1382</v>
      </c>
    </row>
    <row r="1331" spans="1:2">
      <c r="A1331" t="s">
        <v>794</v>
      </c>
      <c r="B1331" t="s">
        <v>1383</v>
      </c>
    </row>
    <row r="1332" spans="1:2">
      <c r="A1332" t="s">
        <v>68</v>
      </c>
      <c r="B1332" t="s">
        <v>1384</v>
      </c>
    </row>
    <row r="1333" spans="1:2">
      <c r="A1333" t="s">
        <v>1246</v>
      </c>
      <c r="B1333" t="s">
        <v>1385</v>
      </c>
    </row>
    <row r="1334" spans="1:2">
      <c r="A1334" t="s">
        <v>77</v>
      </c>
      <c r="B1334" t="s">
        <v>1343</v>
      </c>
    </row>
    <row r="1335" spans="1:2">
      <c r="A1335" t="s">
        <v>18</v>
      </c>
      <c r="B1335" t="s">
        <v>1386</v>
      </c>
    </row>
    <row r="1336" spans="1:2">
      <c r="A1336" t="s">
        <v>134</v>
      </c>
      <c r="B1336" t="s">
        <v>1387</v>
      </c>
    </row>
    <row r="1337" spans="1:2">
      <c r="A1337" t="s">
        <v>18</v>
      </c>
      <c r="B1337" t="s">
        <v>1388</v>
      </c>
    </row>
    <row r="1338" spans="1:2">
      <c r="A1338" t="s">
        <v>68</v>
      </c>
      <c r="B1338" t="s">
        <v>1389</v>
      </c>
    </row>
    <row r="1339" spans="1:2">
      <c r="A1339" t="s">
        <v>112</v>
      </c>
      <c r="B1339" t="s">
        <v>1390</v>
      </c>
    </row>
    <row r="1340" spans="1:2">
      <c r="A1340" t="s">
        <v>6</v>
      </c>
      <c r="B1340" t="s">
        <v>1391</v>
      </c>
    </row>
    <row r="1341" spans="1:2">
      <c r="A1341" t="s">
        <v>388</v>
      </c>
      <c r="B1341" t="s">
        <v>1392</v>
      </c>
    </row>
    <row r="1342" spans="1:2">
      <c r="A1342" t="s">
        <v>56</v>
      </c>
      <c r="B1342" t="s">
        <v>1393</v>
      </c>
    </row>
    <row r="1343" spans="1:2">
      <c r="A1343" t="s">
        <v>6</v>
      </c>
      <c r="B1343" t="s">
        <v>1394</v>
      </c>
    </row>
    <row r="1344" spans="1:2">
      <c r="A1344" t="s">
        <v>48</v>
      </c>
      <c r="B1344" t="s">
        <v>1395</v>
      </c>
    </row>
    <row r="1345" spans="1:2">
      <c r="A1345" t="s">
        <v>29</v>
      </c>
      <c r="B1345" t="s">
        <v>1396</v>
      </c>
    </row>
    <row r="1346" spans="1:2">
      <c r="A1346" t="s">
        <v>347</v>
      </c>
      <c r="B1346" t="s">
        <v>1397</v>
      </c>
    </row>
    <row r="1347" spans="1:2">
      <c r="A1347" t="s">
        <v>112</v>
      </c>
      <c r="B1347" t="s">
        <v>1398</v>
      </c>
    </row>
    <row r="1348" spans="1:2">
      <c r="A1348" t="s">
        <v>46</v>
      </c>
      <c r="B1348" t="s">
        <v>1399</v>
      </c>
    </row>
    <row r="1349" spans="1:2">
      <c r="A1349" t="s">
        <v>6</v>
      </c>
      <c r="B1349" t="s">
        <v>1400</v>
      </c>
    </row>
    <row r="1350" spans="1:2">
      <c r="A1350" t="s">
        <v>56</v>
      </c>
      <c r="B1350" t="s">
        <v>1401</v>
      </c>
    </row>
    <row r="1351" spans="1:2">
      <c r="A1351" t="s">
        <v>428</v>
      </c>
      <c r="B1351" t="s">
        <v>1402</v>
      </c>
    </row>
    <row r="1352" spans="1:2">
      <c r="A1352" t="s">
        <v>18</v>
      </c>
      <c r="B1352" t="s">
        <v>1403</v>
      </c>
    </row>
    <row r="1353" spans="1:2">
      <c r="A1353" t="s">
        <v>6</v>
      </c>
      <c r="B1353" t="s">
        <v>1404</v>
      </c>
    </row>
    <row r="1354" spans="1:2">
      <c r="A1354" t="s">
        <v>22</v>
      </c>
      <c r="B1354" t="s">
        <v>1405</v>
      </c>
    </row>
    <row r="1355" spans="1:2">
      <c r="A1355" t="s">
        <v>323</v>
      </c>
      <c r="B1355" t="s">
        <v>1406</v>
      </c>
    </row>
    <row r="1356" spans="1:2">
      <c r="A1356" t="s">
        <v>6</v>
      </c>
      <c r="B1356" t="s">
        <v>1407</v>
      </c>
    </row>
    <row r="1357" spans="1:2">
      <c r="A1357" t="s">
        <v>6</v>
      </c>
      <c r="B1357" t="s">
        <v>1408</v>
      </c>
    </row>
    <row r="1358" spans="1:2">
      <c r="A1358" t="s">
        <v>1409</v>
      </c>
      <c r="B1358" t="s">
        <v>1410</v>
      </c>
    </row>
    <row r="1359" spans="1:2">
      <c r="A1359" t="s">
        <v>46</v>
      </c>
      <c r="B1359" t="s">
        <v>1411</v>
      </c>
    </row>
    <row r="1360" spans="1:2">
      <c r="A1360" t="s">
        <v>6</v>
      </c>
      <c r="B1360" t="s">
        <v>1412</v>
      </c>
    </row>
    <row r="1361" spans="1:2">
      <c r="A1361" t="s">
        <v>105</v>
      </c>
      <c r="B1361" t="s">
        <v>1413</v>
      </c>
    </row>
    <row r="1362" spans="1:2">
      <c r="A1362" t="s">
        <v>6</v>
      </c>
      <c r="B1362" t="s">
        <v>1414</v>
      </c>
    </row>
    <row r="1363" spans="1:2">
      <c r="A1363" t="s">
        <v>68</v>
      </c>
      <c r="B1363" t="s">
        <v>1415</v>
      </c>
    </row>
    <row r="1364" spans="1:2">
      <c r="A1364" t="s">
        <v>288</v>
      </c>
      <c r="B1364" t="s">
        <v>1416</v>
      </c>
    </row>
    <row r="1365" spans="1:2">
      <c r="A1365" t="s">
        <v>29</v>
      </c>
      <c r="B1365" t="s">
        <v>1417</v>
      </c>
    </row>
    <row r="1366" spans="1:2">
      <c r="A1366" t="s">
        <v>6</v>
      </c>
      <c r="B1366" t="s">
        <v>1418</v>
      </c>
    </row>
    <row r="1367" spans="1:2">
      <c r="A1367" t="s">
        <v>608</v>
      </c>
      <c r="B1367" t="s">
        <v>1419</v>
      </c>
    </row>
    <row r="1368" spans="1:2">
      <c r="A1368" t="s">
        <v>35</v>
      </c>
      <c r="B1368" t="s">
        <v>1420</v>
      </c>
    </row>
    <row r="1369" spans="1:2">
      <c r="A1369" t="s">
        <v>6</v>
      </c>
      <c r="B1369" t="s">
        <v>1421</v>
      </c>
    </row>
    <row r="1370" spans="1:2">
      <c r="A1370" t="s">
        <v>77</v>
      </c>
      <c r="B1370" t="s">
        <v>1422</v>
      </c>
    </row>
    <row r="1371" spans="1:2">
      <c r="A1371" t="s">
        <v>56</v>
      </c>
      <c r="B1371" t="s">
        <v>1423</v>
      </c>
    </row>
    <row r="1372" spans="1:2">
      <c r="A1372" t="s">
        <v>112</v>
      </c>
      <c r="B1372" t="s">
        <v>1424</v>
      </c>
    </row>
    <row r="1373" spans="1:2">
      <c r="A1373" t="s">
        <v>6</v>
      </c>
      <c r="B1373" t="s">
        <v>1425</v>
      </c>
    </row>
    <row r="1374" spans="1:2">
      <c r="A1374" t="s">
        <v>68</v>
      </c>
      <c r="B1374" t="s">
        <v>1426</v>
      </c>
    </row>
    <row r="1375" spans="1:2">
      <c r="A1375" t="s">
        <v>6</v>
      </c>
      <c r="B1375" t="s">
        <v>1427</v>
      </c>
    </row>
    <row r="1376" spans="1:2">
      <c r="A1376" t="s">
        <v>14</v>
      </c>
      <c r="B1376" t="s">
        <v>1428</v>
      </c>
    </row>
    <row r="1377" spans="1:2">
      <c r="A1377" t="s">
        <v>1429</v>
      </c>
      <c r="B1377" t="s">
        <v>1430</v>
      </c>
    </row>
    <row r="1378" spans="1:2">
      <c r="A1378" t="s">
        <v>6</v>
      </c>
      <c r="B1378" t="s">
        <v>1431</v>
      </c>
    </row>
    <row r="1379" spans="1:2">
      <c r="A1379" t="s">
        <v>107</v>
      </c>
      <c r="B1379" t="s">
        <v>1432</v>
      </c>
    </row>
    <row r="1380" spans="1:2">
      <c r="A1380" t="s">
        <v>18</v>
      </c>
      <c r="B1380" t="s">
        <v>1433</v>
      </c>
    </row>
    <row r="1381" spans="1:2">
      <c r="A1381" t="s">
        <v>6</v>
      </c>
      <c r="B1381" t="s">
        <v>1434</v>
      </c>
    </row>
    <row r="1382" spans="1:2">
      <c r="A1382" t="s">
        <v>6</v>
      </c>
      <c r="B1382" t="s">
        <v>1435</v>
      </c>
    </row>
    <row r="1383" spans="1:2">
      <c r="A1383" t="s">
        <v>18</v>
      </c>
      <c r="B1383" t="s">
        <v>1436</v>
      </c>
    </row>
    <row r="1384" spans="1:2">
      <c r="A1384" t="s">
        <v>18</v>
      </c>
      <c r="B1384" t="s">
        <v>1437</v>
      </c>
    </row>
    <row r="1385" spans="1:2">
      <c r="A1385" t="s">
        <v>6</v>
      </c>
      <c r="B1385" t="s">
        <v>1438</v>
      </c>
    </row>
    <row r="1386" spans="1:2">
      <c r="A1386" t="s">
        <v>18</v>
      </c>
      <c r="B1386" t="s">
        <v>1439</v>
      </c>
    </row>
    <row r="1387" spans="1:2">
      <c r="A1387" t="s">
        <v>42</v>
      </c>
      <c r="B1387" t="s">
        <v>1440</v>
      </c>
    </row>
    <row r="1388" spans="1:2">
      <c r="A1388" t="s">
        <v>8</v>
      </c>
      <c r="B1388" t="s">
        <v>1441</v>
      </c>
    </row>
    <row r="1389" spans="1:2">
      <c r="A1389" t="s">
        <v>6</v>
      </c>
      <c r="B1389" t="s">
        <v>1442</v>
      </c>
    </row>
    <row r="1390" spans="1:2">
      <c r="A1390" t="s">
        <v>6</v>
      </c>
      <c r="B1390" t="s">
        <v>1443</v>
      </c>
    </row>
    <row r="1391" spans="1:2">
      <c r="A1391" t="s">
        <v>154</v>
      </c>
      <c r="B1391" t="s">
        <v>1444</v>
      </c>
    </row>
    <row r="1392" spans="1:2">
      <c r="A1392" t="s">
        <v>83</v>
      </c>
      <c r="B1392" t="s">
        <v>1445</v>
      </c>
    </row>
    <row r="1393" spans="1:2">
      <c r="A1393" t="s">
        <v>6</v>
      </c>
      <c r="B1393" t="s">
        <v>1446</v>
      </c>
    </row>
    <row r="1394" spans="1:2">
      <c r="A1394" t="s">
        <v>6</v>
      </c>
      <c r="B1394" t="s">
        <v>1447</v>
      </c>
    </row>
    <row r="1395" spans="1:2">
      <c r="A1395" t="s">
        <v>685</v>
      </c>
      <c r="B1395" t="s">
        <v>369</v>
      </c>
    </row>
    <row r="1396" spans="1:2">
      <c r="A1396" t="s">
        <v>399</v>
      </c>
      <c r="B1396" t="s">
        <v>1448</v>
      </c>
    </row>
    <row r="1397" spans="1:2">
      <c r="A1397" t="s">
        <v>137</v>
      </c>
      <c r="B1397" t="s">
        <v>1449</v>
      </c>
    </row>
    <row r="1398" spans="1:2">
      <c r="A1398" s="1">
        <v>41159</v>
      </c>
      <c r="B1398" t="s">
        <v>1450</v>
      </c>
    </row>
    <row r="1399" spans="1:2">
      <c r="A1399" t="s">
        <v>6</v>
      </c>
      <c r="B1399" t="s">
        <v>1451</v>
      </c>
    </row>
    <row r="1400" spans="1:2">
      <c r="A1400" t="s">
        <v>6</v>
      </c>
      <c r="B1400" t="s">
        <v>1452</v>
      </c>
    </row>
    <row r="1401" spans="1:2">
      <c r="A1401" t="s">
        <v>103</v>
      </c>
      <c r="B1401" t="s">
        <v>1453</v>
      </c>
    </row>
    <row r="1402" spans="1:2">
      <c r="A1402" t="s">
        <v>8</v>
      </c>
      <c r="B1402" t="s">
        <v>1454</v>
      </c>
    </row>
    <row r="1403" spans="1:2">
      <c r="A1403" t="s">
        <v>134</v>
      </c>
      <c r="B1403" t="s">
        <v>1455</v>
      </c>
    </row>
    <row r="1404" spans="1:2">
      <c r="A1404" t="s">
        <v>6</v>
      </c>
      <c r="B1404" t="s">
        <v>1456</v>
      </c>
    </row>
    <row r="1405" spans="1:2">
      <c r="A1405" t="s">
        <v>6</v>
      </c>
      <c r="B1405" t="s">
        <v>1457</v>
      </c>
    </row>
    <row r="1406" spans="1:2">
      <c r="A1406" t="s">
        <v>6</v>
      </c>
      <c r="B1406" t="s">
        <v>1458</v>
      </c>
    </row>
    <row r="1407" spans="1:2">
      <c r="A1407" t="s">
        <v>6</v>
      </c>
      <c r="B1407" t="s">
        <v>1459</v>
      </c>
    </row>
    <row r="1408" spans="1:2">
      <c r="A1408" t="s">
        <v>42</v>
      </c>
      <c r="B1408" t="s">
        <v>1460</v>
      </c>
    </row>
    <row r="1409" spans="1:2">
      <c r="A1409" t="s">
        <v>6</v>
      </c>
      <c r="B1409" t="s">
        <v>1461</v>
      </c>
    </row>
    <row r="1410" spans="1:2">
      <c r="A1410" t="s">
        <v>39</v>
      </c>
      <c r="B1410" t="s">
        <v>1462</v>
      </c>
    </row>
    <row r="1411" spans="1:2">
      <c r="A1411" t="s">
        <v>6</v>
      </c>
      <c r="B1411" t="s">
        <v>1463</v>
      </c>
    </row>
    <row r="1412" spans="1:2">
      <c r="A1412" t="s">
        <v>6</v>
      </c>
      <c r="B1412" t="s">
        <v>1464</v>
      </c>
    </row>
    <row r="1413" spans="1:2">
      <c r="A1413" t="s">
        <v>46</v>
      </c>
      <c r="B1413" t="s">
        <v>1465</v>
      </c>
    </row>
    <row r="1414" spans="1:2">
      <c r="A1414" t="s">
        <v>137</v>
      </c>
      <c r="B1414" t="s">
        <v>1466</v>
      </c>
    </row>
    <row r="1415" spans="1:2">
      <c r="A1415" t="s">
        <v>6</v>
      </c>
      <c r="B1415" t="s">
        <v>1467</v>
      </c>
    </row>
    <row r="1416" spans="1:2">
      <c r="A1416" t="s">
        <v>6</v>
      </c>
      <c r="B1416" t="s">
        <v>1468</v>
      </c>
    </row>
    <row r="1417" spans="1:2">
      <c r="A1417" t="s">
        <v>105</v>
      </c>
      <c r="B1417" t="s">
        <v>1469</v>
      </c>
    </row>
    <row r="1418" spans="1:2">
      <c r="A1418" t="s">
        <v>114</v>
      </c>
      <c r="B1418" t="s">
        <v>1470</v>
      </c>
    </row>
    <row r="1419" spans="1:2">
      <c r="A1419" t="s">
        <v>495</v>
      </c>
      <c r="B1419" t="s">
        <v>1471</v>
      </c>
    </row>
    <row r="1420" spans="1:2">
      <c r="A1420" t="s">
        <v>608</v>
      </c>
      <c r="B1420" t="s">
        <v>1472</v>
      </c>
    </row>
    <row r="1421" spans="1:2">
      <c r="A1421" t="s">
        <v>29</v>
      </c>
      <c r="B1421" t="s">
        <v>1473</v>
      </c>
    </row>
    <row r="1422" spans="1:2">
      <c r="A1422" t="s">
        <v>127</v>
      </c>
      <c r="B1422" t="s">
        <v>1474</v>
      </c>
    </row>
    <row r="1423" spans="1:2">
      <c r="A1423" t="s">
        <v>46</v>
      </c>
      <c r="B1423" t="s">
        <v>1475</v>
      </c>
    </row>
    <row r="1424" spans="1:2">
      <c r="A1424" t="s">
        <v>428</v>
      </c>
      <c r="B1424" t="s">
        <v>1476</v>
      </c>
    </row>
    <row r="1425" spans="1:2">
      <c r="A1425" t="s">
        <v>105</v>
      </c>
      <c r="B1425" t="s">
        <v>1477</v>
      </c>
    </row>
    <row r="1426" spans="1:2">
      <c r="A1426" t="s">
        <v>6</v>
      </c>
      <c r="B1426" t="s">
        <v>1478</v>
      </c>
    </row>
    <row r="1427" spans="1:2">
      <c r="A1427" t="s">
        <v>77</v>
      </c>
      <c r="B1427" t="s">
        <v>1479</v>
      </c>
    </row>
    <row r="1428" spans="1:2">
      <c r="A1428" t="s">
        <v>50</v>
      </c>
      <c r="B1428" t="s">
        <v>1480</v>
      </c>
    </row>
    <row r="1429" spans="1:2">
      <c r="A1429" t="s">
        <v>6</v>
      </c>
      <c r="B1429" t="s">
        <v>1481</v>
      </c>
    </row>
    <row r="1430" spans="1:2">
      <c r="A1430" t="s">
        <v>68</v>
      </c>
      <c r="B1430" t="s">
        <v>1482</v>
      </c>
    </row>
    <row r="1431" spans="1:2">
      <c r="A1431" t="s">
        <v>154</v>
      </c>
      <c r="B1431" t="s">
        <v>1483</v>
      </c>
    </row>
    <row r="1432" spans="1:2">
      <c r="A1432" t="s">
        <v>6</v>
      </c>
      <c r="B1432" t="s">
        <v>1484</v>
      </c>
    </row>
    <row r="1433" spans="1:2">
      <c r="A1433" t="s">
        <v>23</v>
      </c>
      <c r="B1433" t="s">
        <v>1485</v>
      </c>
    </row>
    <row r="1434" spans="1:2">
      <c r="A1434" t="s">
        <v>6</v>
      </c>
      <c r="B1434" t="s">
        <v>1486</v>
      </c>
    </row>
    <row r="1435" spans="1:2">
      <c r="A1435" t="s">
        <v>152</v>
      </c>
      <c r="B1435" t="s">
        <v>1487</v>
      </c>
    </row>
    <row r="1436" spans="1:2">
      <c r="A1436" t="s">
        <v>323</v>
      </c>
      <c r="B1436" t="s">
        <v>1488</v>
      </c>
    </row>
    <row r="1437" spans="1:2">
      <c r="A1437" t="s">
        <v>6</v>
      </c>
      <c r="B1437" t="s">
        <v>1489</v>
      </c>
    </row>
    <row r="1438" spans="1:2">
      <c r="A1438" t="s">
        <v>941</v>
      </c>
      <c r="B1438" t="s">
        <v>1490</v>
      </c>
    </row>
    <row r="1439" spans="1:2">
      <c r="A1439" t="s">
        <v>18</v>
      </c>
      <c r="B1439" t="s">
        <v>1491</v>
      </c>
    </row>
    <row r="1440" spans="1:2">
      <c r="A1440" t="s">
        <v>20</v>
      </c>
      <c r="B1440" t="s">
        <v>1492</v>
      </c>
    </row>
    <row r="1441" spans="1:2">
      <c r="A1441" t="s">
        <v>103</v>
      </c>
      <c r="B1441" t="s">
        <v>1493</v>
      </c>
    </row>
    <row r="1442" spans="1:2">
      <c r="A1442" t="s">
        <v>12</v>
      </c>
      <c r="B1442" t="s">
        <v>1494</v>
      </c>
    </row>
    <row r="1443" spans="1:2">
      <c r="A1443" t="s">
        <v>48</v>
      </c>
      <c r="B1443" t="s">
        <v>1495</v>
      </c>
    </row>
    <row r="1444" spans="1:2">
      <c r="A1444" t="s">
        <v>18</v>
      </c>
      <c r="B1444" t="s">
        <v>495</v>
      </c>
    </row>
    <row r="1445" spans="1:2">
      <c r="A1445" t="s">
        <v>68</v>
      </c>
      <c r="B1445" s="1">
        <v>41161</v>
      </c>
    </row>
    <row r="1446" spans="1:2">
      <c r="A1446" t="s">
        <v>12</v>
      </c>
      <c r="B1446" t="s">
        <v>1496</v>
      </c>
    </row>
    <row r="1447" spans="1:2">
      <c r="A1447" t="s">
        <v>56</v>
      </c>
      <c r="B1447" s="1">
        <v>41159</v>
      </c>
    </row>
    <row r="1448" spans="1:2">
      <c r="A1448" t="s">
        <v>218</v>
      </c>
      <c r="B1448" t="s">
        <v>1497</v>
      </c>
    </row>
    <row r="1449" spans="1:2">
      <c r="A1449" t="s">
        <v>6</v>
      </c>
      <c r="B1449" t="s">
        <v>1498</v>
      </c>
    </row>
    <row r="1450" spans="1:2">
      <c r="A1450" t="s">
        <v>18</v>
      </c>
      <c r="B1450" s="1">
        <v>41154</v>
      </c>
    </row>
    <row r="1451" spans="1:2">
      <c r="A1451" t="s">
        <v>18</v>
      </c>
      <c r="B1451" t="s">
        <v>1499</v>
      </c>
    </row>
    <row r="1452" spans="1:2">
      <c r="A1452" t="s">
        <v>20</v>
      </c>
      <c r="B1452" t="s">
        <v>1500</v>
      </c>
    </row>
    <row r="1453" spans="1:2">
      <c r="A1453" t="s">
        <v>6</v>
      </c>
      <c r="B1453" t="s">
        <v>1501</v>
      </c>
    </row>
    <row r="1454" spans="1:2">
      <c r="A1454" t="s">
        <v>18</v>
      </c>
      <c r="B1454" t="s">
        <v>1502</v>
      </c>
    </row>
    <row r="1455" spans="1:2">
      <c r="A1455" t="s">
        <v>1503</v>
      </c>
      <c r="B1455" t="s">
        <v>1504</v>
      </c>
    </row>
    <row r="1456" spans="1:2">
      <c r="A1456" t="s">
        <v>6</v>
      </c>
      <c r="B1456" t="s">
        <v>1505</v>
      </c>
    </row>
    <row r="1457" spans="1:2">
      <c r="A1457" t="s">
        <v>112</v>
      </c>
      <c r="B1457" t="s">
        <v>1506</v>
      </c>
    </row>
    <row r="1458" spans="1:2">
      <c r="A1458" t="s">
        <v>6</v>
      </c>
      <c r="B1458" t="s">
        <v>1507</v>
      </c>
    </row>
    <row r="1459" spans="1:2">
      <c r="A1459" t="s">
        <v>1105</v>
      </c>
      <c r="B1459" t="s">
        <v>1508</v>
      </c>
    </row>
    <row r="1460" spans="1:2">
      <c r="A1460" t="s">
        <v>39</v>
      </c>
      <c r="B1460" t="s">
        <v>1509</v>
      </c>
    </row>
    <row r="1461" spans="1:2">
      <c r="A1461" t="s">
        <v>6</v>
      </c>
      <c r="B1461" t="s">
        <v>1510</v>
      </c>
    </row>
    <row r="1462" spans="1:2">
      <c r="A1462" t="s">
        <v>6</v>
      </c>
      <c r="B1462" t="s">
        <v>1511</v>
      </c>
    </row>
    <row r="1463" spans="1:2">
      <c r="A1463" t="s">
        <v>6</v>
      </c>
      <c r="B1463" t="s">
        <v>1512</v>
      </c>
    </row>
    <row r="1464" spans="1:2">
      <c r="A1464" t="s">
        <v>137</v>
      </c>
      <c r="B1464" t="s">
        <v>1513</v>
      </c>
    </row>
    <row r="1465" spans="1:2">
      <c r="A1465" t="s">
        <v>6</v>
      </c>
      <c r="B1465" t="s">
        <v>1514</v>
      </c>
    </row>
    <row r="1466" spans="1:2">
      <c r="A1466" t="s">
        <v>18</v>
      </c>
      <c r="B1466" t="s">
        <v>1515</v>
      </c>
    </row>
    <row r="1467" spans="1:2">
      <c r="A1467" t="s">
        <v>68</v>
      </c>
      <c r="B1467" t="s">
        <v>1516</v>
      </c>
    </row>
    <row r="1468" spans="1:2">
      <c r="A1468" t="s">
        <v>42</v>
      </c>
      <c r="B1468" t="s">
        <v>1517</v>
      </c>
    </row>
    <row r="1469" spans="1:2">
      <c r="A1469" t="s">
        <v>56</v>
      </c>
      <c r="B1469" t="s">
        <v>539</v>
      </c>
    </row>
    <row r="1470" spans="1:2">
      <c r="A1470" t="s">
        <v>6</v>
      </c>
      <c r="B1470" t="s">
        <v>1518</v>
      </c>
    </row>
    <row r="1471" spans="1:2">
      <c r="A1471" t="s">
        <v>48</v>
      </c>
      <c r="B1471" t="s">
        <v>1519</v>
      </c>
    </row>
    <row r="1472" spans="1:2">
      <c r="A1472" t="s">
        <v>6</v>
      </c>
      <c r="B1472" t="s">
        <v>1520</v>
      </c>
    </row>
    <row r="1473" spans="1:2">
      <c r="A1473" t="s">
        <v>42</v>
      </c>
      <c r="B1473" t="s">
        <v>1521</v>
      </c>
    </row>
    <row r="1474" spans="1:2">
      <c r="A1474" t="s">
        <v>4</v>
      </c>
      <c r="B1474" t="s">
        <v>1522</v>
      </c>
    </row>
    <row r="1475" spans="1:2">
      <c r="A1475" t="s">
        <v>56</v>
      </c>
      <c r="B1475" t="s">
        <v>1523</v>
      </c>
    </row>
    <row r="1476" spans="1:2">
      <c r="A1476" t="s">
        <v>6</v>
      </c>
      <c r="B1476" t="s">
        <v>1524</v>
      </c>
    </row>
    <row r="1477" spans="1:2">
      <c r="A1477" t="s">
        <v>18</v>
      </c>
      <c r="B1477" t="s">
        <v>1525</v>
      </c>
    </row>
    <row r="1478" spans="1:2">
      <c r="A1478" t="s">
        <v>754</v>
      </c>
      <c r="B1478" t="s">
        <v>1526</v>
      </c>
    </row>
    <row r="1479" spans="1:2">
      <c r="A1479" t="s">
        <v>6</v>
      </c>
      <c r="B1479" t="s">
        <v>1527</v>
      </c>
    </row>
    <row r="1480" spans="1:2">
      <c r="A1480" t="s">
        <v>456</v>
      </c>
      <c r="B1480" t="s">
        <v>1528</v>
      </c>
    </row>
    <row r="1481" spans="1:2">
      <c r="A1481" t="s">
        <v>83</v>
      </c>
      <c r="B1481" t="s">
        <v>1529</v>
      </c>
    </row>
    <row r="1482" spans="1:2">
      <c r="A1482" t="s">
        <v>18</v>
      </c>
      <c r="B1482" t="s">
        <v>1530</v>
      </c>
    </row>
    <row r="1483" spans="1:2">
      <c r="A1483" t="s">
        <v>6</v>
      </c>
      <c r="B1483" t="s">
        <v>1048</v>
      </c>
    </row>
    <row r="1484" spans="1:2">
      <c r="A1484" t="s">
        <v>6</v>
      </c>
      <c r="B1484" t="s">
        <v>1531</v>
      </c>
    </row>
    <row r="1485" spans="1:2">
      <c r="A1485" t="s">
        <v>77</v>
      </c>
      <c r="B1485" t="s">
        <v>1532</v>
      </c>
    </row>
    <row r="1486" spans="1:2">
      <c r="A1486" t="s">
        <v>18</v>
      </c>
      <c r="B1486" t="s">
        <v>347</v>
      </c>
    </row>
    <row r="1487" spans="1:2">
      <c r="A1487" t="s">
        <v>6</v>
      </c>
      <c r="B1487" t="s">
        <v>1533</v>
      </c>
    </row>
    <row r="1488" spans="1:2">
      <c r="A1488" t="s">
        <v>6</v>
      </c>
      <c r="B1488" t="s">
        <v>1534</v>
      </c>
    </row>
    <row r="1489" spans="1:2">
      <c r="A1489" t="s">
        <v>6</v>
      </c>
      <c r="B1489" t="s">
        <v>1535</v>
      </c>
    </row>
    <row r="1490" spans="1:2">
      <c r="A1490" t="s">
        <v>137</v>
      </c>
      <c r="B1490" t="s">
        <v>1536</v>
      </c>
    </row>
    <row r="1491" spans="1:2">
      <c r="A1491" t="s">
        <v>46</v>
      </c>
      <c r="B1491" t="s">
        <v>1537</v>
      </c>
    </row>
    <row r="1492" spans="1:2">
      <c r="A1492" t="s">
        <v>18</v>
      </c>
      <c r="B1492" t="s">
        <v>1538</v>
      </c>
    </row>
    <row r="1493" spans="1:2">
      <c r="A1493" t="s">
        <v>6</v>
      </c>
      <c r="B1493" t="s">
        <v>1539</v>
      </c>
    </row>
    <row r="1494" spans="1:2">
      <c r="A1494" t="s">
        <v>214</v>
      </c>
      <c r="B1494" t="s">
        <v>1540</v>
      </c>
    </row>
    <row r="1495" spans="1:2">
      <c r="A1495" t="s">
        <v>323</v>
      </c>
      <c r="B1495" t="s">
        <v>1541</v>
      </c>
    </row>
    <row r="1496" spans="1:2">
      <c r="A1496" t="s">
        <v>6</v>
      </c>
      <c r="B1496" t="s">
        <v>1542</v>
      </c>
    </row>
    <row r="1497" spans="1:2">
      <c r="A1497" t="s">
        <v>6</v>
      </c>
      <c r="B1497" t="s">
        <v>1543</v>
      </c>
    </row>
    <row r="1498" spans="1:2">
      <c r="A1498" t="s">
        <v>6</v>
      </c>
      <c r="B1498" t="s">
        <v>1544</v>
      </c>
    </row>
    <row r="1499" spans="1:2">
      <c r="A1499" t="s">
        <v>22</v>
      </c>
      <c r="B1499" t="s">
        <v>1429</v>
      </c>
    </row>
    <row r="1500" spans="1:2">
      <c r="A1500" t="s">
        <v>48</v>
      </c>
      <c r="B1500" t="s">
        <v>1545</v>
      </c>
    </row>
    <row r="1501" spans="1:2">
      <c r="A1501" t="s">
        <v>6</v>
      </c>
      <c r="B1501" t="s">
        <v>1546</v>
      </c>
    </row>
    <row r="1502" spans="1:2">
      <c r="A1502" t="s">
        <v>18</v>
      </c>
      <c r="B1502" t="s">
        <v>1547</v>
      </c>
    </row>
    <row r="1503" spans="1:2">
      <c r="A1503" t="s">
        <v>103</v>
      </c>
      <c r="B1503" t="s">
        <v>1548</v>
      </c>
    </row>
    <row r="1504" spans="1:2">
      <c r="A1504" t="s">
        <v>6</v>
      </c>
      <c r="B1504" t="s">
        <v>1549</v>
      </c>
    </row>
    <row r="1505" spans="1:2">
      <c r="A1505" t="s">
        <v>133</v>
      </c>
      <c r="B1505" t="s">
        <v>1550</v>
      </c>
    </row>
    <row r="1506" spans="1:2">
      <c r="A1506" t="s">
        <v>14</v>
      </c>
      <c r="B1506" t="s">
        <v>1551</v>
      </c>
    </row>
    <row r="1507" spans="1:2">
      <c r="A1507" t="s">
        <v>29</v>
      </c>
      <c r="B1507" t="s">
        <v>1552</v>
      </c>
    </row>
    <row r="1508" spans="1:2">
      <c r="A1508" t="s">
        <v>8</v>
      </c>
      <c r="B1508" t="s">
        <v>1553</v>
      </c>
    </row>
    <row r="1509" spans="1:2">
      <c r="A1509" t="s">
        <v>191</v>
      </c>
      <c r="B1509" t="s">
        <v>1554</v>
      </c>
    </row>
    <row r="1510" spans="1:2">
      <c r="A1510" t="s">
        <v>6</v>
      </c>
      <c r="B1510" t="s">
        <v>1555</v>
      </c>
    </row>
    <row r="1511" spans="1:2">
      <c r="A1511" t="s">
        <v>107</v>
      </c>
      <c r="B1511" t="s">
        <v>1556</v>
      </c>
    </row>
    <row r="1512" spans="1:2">
      <c r="A1512" t="s">
        <v>22</v>
      </c>
      <c r="B1512" t="s">
        <v>1557</v>
      </c>
    </row>
    <row r="1513" spans="1:2">
      <c r="A1513" t="s">
        <v>18</v>
      </c>
      <c r="B1513" t="s">
        <v>1558</v>
      </c>
    </row>
    <row r="1514" spans="1:2">
      <c r="A1514" t="s">
        <v>83</v>
      </c>
      <c r="B1514" t="s">
        <v>1559</v>
      </c>
    </row>
    <row r="1515" spans="1:2">
      <c r="A1515" t="s">
        <v>6</v>
      </c>
      <c r="B1515" t="s">
        <v>1560</v>
      </c>
    </row>
    <row r="1516" spans="1:2">
      <c r="A1516" t="s">
        <v>1561</v>
      </c>
      <c r="B1516" t="s">
        <v>1562</v>
      </c>
    </row>
    <row r="1517" spans="1:2">
      <c r="A1517" t="s">
        <v>6</v>
      </c>
      <c r="B1517" t="s">
        <v>1563</v>
      </c>
    </row>
    <row r="1518" spans="1:2">
      <c r="A1518" t="s">
        <v>6</v>
      </c>
      <c r="B1518" t="s">
        <v>1564</v>
      </c>
    </row>
    <row r="1519" spans="1:2">
      <c r="A1519" t="s">
        <v>107</v>
      </c>
      <c r="B1519" t="s">
        <v>1565</v>
      </c>
    </row>
    <row r="1520" spans="1:2">
      <c r="A1520" t="s">
        <v>18</v>
      </c>
      <c r="B1520" t="s">
        <v>251</v>
      </c>
    </row>
    <row r="1521" spans="1:2">
      <c r="A1521" t="s">
        <v>56</v>
      </c>
      <c r="B1521" t="s">
        <v>1566</v>
      </c>
    </row>
    <row r="1522" spans="1:2">
      <c r="A1522" t="s">
        <v>56</v>
      </c>
      <c r="B1522" t="s">
        <v>1567</v>
      </c>
    </row>
    <row r="1523" spans="1:2">
      <c r="A1523" t="s">
        <v>6</v>
      </c>
      <c r="B1523" t="s">
        <v>1568</v>
      </c>
    </row>
    <row r="1524" spans="1:2">
      <c r="A1524" t="s">
        <v>39</v>
      </c>
      <c r="B1524" t="s">
        <v>1569</v>
      </c>
    </row>
    <row r="1525" spans="1:2">
      <c r="A1525" t="s">
        <v>20</v>
      </c>
      <c r="B1525" t="s">
        <v>1570</v>
      </c>
    </row>
    <row r="1526" spans="1:2">
      <c r="A1526" t="s">
        <v>103</v>
      </c>
      <c r="B1526" t="s">
        <v>1571</v>
      </c>
    </row>
    <row r="1527" spans="1:2">
      <c r="A1527" t="s">
        <v>347</v>
      </c>
      <c r="B1527" t="s">
        <v>1572</v>
      </c>
    </row>
    <row r="1528" spans="1:2">
      <c r="A1528" t="s">
        <v>6</v>
      </c>
      <c r="B1528" t="s">
        <v>1573</v>
      </c>
    </row>
    <row r="1529" spans="1:2">
      <c r="A1529" t="s">
        <v>56</v>
      </c>
      <c r="B1529" t="s">
        <v>1574</v>
      </c>
    </row>
    <row r="1530" spans="1:2">
      <c r="A1530" t="s">
        <v>6</v>
      </c>
      <c r="B1530" t="s">
        <v>1575</v>
      </c>
    </row>
    <row r="1531" spans="1:2">
      <c r="A1531" t="s">
        <v>456</v>
      </c>
      <c r="B1531" t="s">
        <v>1576</v>
      </c>
    </row>
    <row r="1532" spans="1:2">
      <c r="A1532" t="s">
        <v>48</v>
      </c>
      <c r="B1532" t="s">
        <v>1577</v>
      </c>
    </row>
    <row r="1533" spans="1:2">
      <c r="A1533" t="s">
        <v>6</v>
      </c>
      <c r="B1533" t="s">
        <v>1578</v>
      </c>
    </row>
    <row r="1534" spans="1:2">
      <c r="A1534" t="s">
        <v>42</v>
      </c>
      <c r="B1534" t="s">
        <v>1579</v>
      </c>
    </row>
    <row r="1535" spans="1:2">
      <c r="A1535" t="s">
        <v>6</v>
      </c>
      <c r="B1535" t="s">
        <v>1580</v>
      </c>
    </row>
    <row r="1536" spans="1:2">
      <c r="A1536" t="s">
        <v>8</v>
      </c>
      <c r="B1536" t="s">
        <v>1581</v>
      </c>
    </row>
    <row r="1537" spans="1:2">
      <c r="A1537" t="s">
        <v>68</v>
      </c>
      <c r="B1537" t="s">
        <v>1582</v>
      </c>
    </row>
    <row r="1538" spans="1:2">
      <c r="A1538" t="s">
        <v>77</v>
      </c>
      <c r="B1538" t="s">
        <v>1583</v>
      </c>
    </row>
    <row r="1539" spans="1:2">
      <c r="A1539" t="s">
        <v>137</v>
      </c>
      <c r="B1539" t="s">
        <v>1584</v>
      </c>
    </row>
    <row r="1540" spans="1:2">
      <c r="A1540" t="s">
        <v>35</v>
      </c>
      <c r="B1540" t="s">
        <v>1585</v>
      </c>
    </row>
    <row r="1541" spans="1:2">
      <c r="A1541" t="s">
        <v>608</v>
      </c>
      <c r="B1541" t="s">
        <v>1586</v>
      </c>
    </row>
    <row r="1542" spans="1:2">
      <c r="A1542" t="s">
        <v>39</v>
      </c>
      <c r="B1542" t="s">
        <v>1587</v>
      </c>
    </row>
    <row r="1543" spans="1:2">
      <c r="A1543" t="s">
        <v>608</v>
      </c>
      <c r="B1543" t="s">
        <v>1588</v>
      </c>
    </row>
    <row r="1544" spans="1:2">
      <c r="A1544" t="s">
        <v>105</v>
      </c>
      <c r="B1544" t="s">
        <v>1589</v>
      </c>
    </row>
    <row r="1545" spans="1:2">
      <c r="A1545" t="s">
        <v>18</v>
      </c>
      <c r="B1545" t="s">
        <v>1590</v>
      </c>
    </row>
    <row r="1546" spans="1:2">
      <c r="A1546" t="s">
        <v>20</v>
      </c>
      <c r="B1546" t="s">
        <v>1591</v>
      </c>
    </row>
    <row r="1547" spans="1:2">
      <c r="A1547" t="s">
        <v>750</v>
      </c>
      <c r="B1547" t="s">
        <v>1592</v>
      </c>
    </row>
    <row r="1548" spans="1:2">
      <c r="A1548" t="s">
        <v>6</v>
      </c>
      <c r="B1548" t="s">
        <v>1593</v>
      </c>
    </row>
    <row r="1549" spans="1:2">
      <c r="A1549" t="s">
        <v>154</v>
      </c>
      <c r="B1549" t="s">
        <v>1594</v>
      </c>
    </row>
    <row r="1550" spans="1:2">
      <c r="A1550" t="s">
        <v>68</v>
      </c>
      <c r="B1550" t="s">
        <v>1595</v>
      </c>
    </row>
    <row r="1551" spans="1:2">
      <c r="A1551" t="s">
        <v>77</v>
      </c>
      <c r="B1551" t="s">
        <v>1596</v>
      </c>
    </row>
    <row r="1552" spans="1:2">
      <c r="A1552" t="s">
        <v>506</v>
      </c>
      <c r="B1552" t="s">
        <v>1597</v>
      </c>
    </row>
    <row r="1553" spans="1:2">
      <c r="A1553" t="s">
        <v>6</v>
      </c>
      <c r="B1553" t="s">
        <v>1598</v>
      </c>
    </row>
    <row r="1554" spans="1:2">
      <c r="A1554" t="s">
        <v>29</v>
      </c>
      <c r="B1554" t="s">
        <v>1599</v>
      </c>
    </row>
    <row r="1555" spans="1:2">
      <c r="A1555" t="s">
        <v>105</v>
      </c>
      <c r="B1555" t="s">
        <v>1600</v>
      </c>
    </row>
    <row r="1556" spans="1:2">
      <c r="A1556" t="s">
        <v>18</v>
      </c>
      <c r="B1556" t="s">
        <v>1601</v>
      </c>
    </row>
    <row r="1557" spans="1:2">
      <c r="A1557" t="s">
        <v>6</v>
      </c>
      <c r="B1557" t="s">
        <v>1602</v>
      </c>
    </row>
    <row r="1558" spans="1:2">
      <c r="A1558" t="s">
        <v>1313</v>
      </c>
      <c r="B1558" s="1">
        <v>41164</v>
      </c>
    </row>
    <row r="1559" spans="1:2">
      <c r="A1559" t="s">
        <v>12</v>
      </c>
      <c r="B1559" t="s">
        <v>1603</v>
      </c>
    </row>
    <row r="1560" spans="1:2">
      <c r="A1560" t="s">
        <v>6</v>
      </c>
      <c r="B1560" t="s">
        <v>1604</v>
      </c>
    </row>
    <row r="1561" spans="1:2">
      <c r="A1561" t="s">
        <v>50</v>
      </c>
      <c r="B1561" t="s">
        <v>1605</v>
      </c>
    </row>
    <row r="1562" spans="1:2">
      <c r="A1562" t="s">
        <v>56</v>
      </c>
      <c r="B1562" t="s">
        <v>1606</v>
      </c>
    </row>
    <row r="1563" spans="1:2">
      <c r="A1563" t="s">
        <v>33</v>
      </c>
      <c r="B1563" t="s">
        <v>1607</v>
      </c>
    </row>
    <row r="1564" spans="1:2">
      <c r="A1564" t="s">
        <v>6</v>
      </c>
      <c r="B1564" t="s">
        <v>1608</v>
      </c>
    </row>
    <row r="1565" spans="1:2">
      <c r="A1565" t="s">
        <v>218</v>
      </c>
      <c r="B1565" t="s">
        <v>1609</v>
      </c>
    </row>
    <row r="1566" spans="1:2">
      <c r="A1566" t="s">
        <v>103</v>
      </c>
      <c r="B1566" t="s">
        <v>1610</v>
      </c>
    </row>
    <row r="1567" spans="1:2">
      <c r="A1567" t="s">
        <v>68</v>
      </c>
      <c r="B1567" t="s">
        <v>1611</v>
      </c>
    </row>
    <row r="1568" spans="1:2">
      <c r="A1568" t="s">
        <v>20</v>
      </c>
      <c r="B1568" t="s">
        <v>1612</v>
      </c>
    </row>
    <row r="1569" spans="1:2">
      <c r="A1569" t="s">
        <v>6</v>
      </c>
      <c r="B1569" t="s">
        <v>1613</v>
      </c>
    </row>
    <row r="1570" spans="1:2">
      <c r="A1570" t="s">
        <v>6</v>
      </c>
      <c r="B1570" t="s">
        <v>1614</v>
      </c>
    </row>
    <row r="1571" spans="1:2">
      <c r="A1571" t="s">
        <v>105</v>
      </c>
      <c r="B1571" t="s">
        <v>1615</v>
      </c>
    </row>
    <row r="1572" spans="1:2">
      <c r="A1572" t="s">
        <v>56</v>
      </c>
      <c r="B1572" t="s">
        <v>1616</v>
      </c>
    </row>
    <row r="1573" spans="1:2">
      <c r="A1573" t="s">
        <v>48</v>
      </c>
      <c r="B1573" t="s">
        <v>1617</v>
      </c>
    </row>
    <row r="1574" spans="1:2">
      <c r="A1574" t="s">
        <v>105</v>
      </c>
      <c r="B1574" t="s">
        <v>1618</v>
      </c>
    </row>
    <row r="1575" spans="1:2">
      <c r="A1575" t="s">
        <v>6</v>
      </c>
      <c r="B1575" t="s">
        <v>52</v>
      </c>
    </row>
    <row r="1576" spans="1:2">
      <c r="A1576" t="s">
        <v>129</v>
      </c>
      <c r="B1576" t="s">
        <v>1619</v>
      </c>
    </row>
    <row r="1577" spans="1:2">
      <c r="A1577" t="s">
        <v>33</v>
      </c>
      <c r="B1577" t="s">
        <v>531</v>
      </c>
    </row>
    <row r="1578" spans="1:2">
      <c r="A1578" t="s">
        <v>6</v>
      </c>
      <c r="B1578" t="s">
        <v>1620</v>
      </c>
    </row>
    <row r="1579" spans="1:2">
      <c r="A1579" t="s">
        <v>6</v>
      </c>
      <c r="B1579" t="s">
        <v>1621</v>
      </c>
    </row>
    <row r="1580" spans="1:2">
      <c r="A1580" t="s">
        <v>6</v>
      </c>
      <c r="B1580" t="s">
        <v>1622</v>
      </c>
    </row>
    <row r="1581" spans="1:2">
      <c r="A1581" t="s">
        <v>18</v>
      </c>
      <c r="B1581" t="s">
        <v>1623</v>
      </c>
    </row>
    <row r="1582" spans="1:2">
      <c r="A1582" t="s">
        <v>20</v>
      </c>
      <c r="B1582" t="s">
        <v>1624</v>
      </c>
    </row>
    <row r="1583" spans="1:2">
      <c r="A1583" t="s">
        <v>50</v>
      </c>
      <c r="B1583" t="s">
        <v>1625</v>
      </c>
    </row>
    <row r="1584" spans="1:2">
      <c r="A1584" t="s">
        <v>6</v>
      </c>
      <c r="B1584" t="s">
        <v>1626</v>
      </c>
    </row>
    <row r="1585" spans="1:2">
      <c r="A1585" t="s">
        <v>83</v>
      </c>
      <c r="B1585" t="s">
        <v>1627</v>
      </c>
    </row>
    <row r="1586" spans="1:2">
      <c r="A1586" t="s">
        <v>1223</v>
      </c>
      <c r="B1586" t="s">
        <v>1628</v>
      </c>
    </row>
    <row r="1587" spans="1:2">
      <c r="A1587" t="s">
        <v>57</v>
      </c>
      <c r="B1587" t="s">
        <v>1629</v>
      </c>
    </row>
    <row r="1588" spans="1:2">
      <c r="A1588" t="s">
        <v>29</v>
      </c>
      <c r="B1588" t="s">
        <v>1630</v>
      </c>
    </row>
    <row r="1589" spans="1:2">
      <c r="A1589" t="s">
        <v>6</v>
      </c>
      <c r="B1589" t="s">
        <v>1631</v>
      </c>
    </row>
    <row r="1590" spans="1:2">
      <c r="A1590" t="s">
        <v>29</v>
      </c>
      <c r="B1590" t="s">
        <v>1632</v>
      </c>
    </row>
    <row r="1591" spans="1:2">
      <c r="A1591" t="s">
        <v>6</v>
      </c>
      <c r="B1591" t="s">
        <v>1633</v>
      </c>
    </row>
    <row r="1592" spans="1:2">
      <c r="A1592" t="s">
        <v>105</v>
      </c>
      <c r="B1592" t="s">
        <v>1634</v>
      </c>
    </row>
    <row r="1593" spans="1:2">
      <c r="A1593" t="s">
        <v>112</v>
      </c>
      <c r="B1593" t="s">
        <v>1635</v>
      </c>
    </row>
    <row r="1594" spans="1:2">
      <c r="A1594" t="s">
        <v>107</v>
      </c>
      <c r="B1594" t="s">
        <v>1636</v>
      </c>
    </row>
    <row r="1595" spans="1:2">
      <c r="A1595" t="s">
        <v>684</v>
      </c>
      <c r="B1595" t="s">
        <v>1637</v>
      </c>
    </row>
    <row r="1596" spans="1:2">
      <c r="A1596" t="s">
        <v>18</v>
      </c>
      <c r="B1596" t="s">
        <v>1638</v>
      </c>
    </row>
    <row r="1597" spans="1:2">
      <c r="A1597" t="s">
        <v>42</v>
      </c>
      <c r="B1597" t="s">
        <v>1639</v>
      </c>
    </row>
    <row r="1598" spans="1:2">
      <c r="A1598" t="s">
        <v>137</v>
      </c>
      <c r="B1598" t="s">
        <v>1640</v>
      </c>
    </row>
    <row r="1599" spans="1:2">
      <c r="A1599" t="s">
        <v>68</v>
      </c>
      <c r="B1599" t="s">
        <v>1641</v>
      </c>
    </row>
    <row r="1600" spans="1:2">
      <c r="A1600" t="s">
        <v>39</v>
      </c>
      <c r="B1600" t="s">
        <v>1642</v>
      </c>
    </row>
    <row r="1601" spans="1:2">
      <c r="A1601" t="s">
        <v>56</v>
      </c>
      <c r="B1601" t="s">
        <v>1643</v>
      </c>
    </row>
    <row r="1602" spans="1:2">
      <c r="A1602" t="s">
        <v>18</v>
      </c>
      <c r="B1602" t="s">
        <v>1644</v>
      </c>
    </row>
    <row r="1603" spans="1:2">
      <c r="A1603" t="s">
        <v>22</v>
      </c>
      <c r="B1603" t="s">
        <v>1645</v>
      </c>
    </row>
    <row r="1604" spans="1:2">
      <c r="A1604" t="s">
        <v>33</v>
      </c>
      <c r="B1604" t="s">
        <v>1646</v>
      </c>
    </row>
    <row r="1605" spans="1:2">
      <c r="A1605" t="s">
        <v>48</v>
      </c>
      <c r="B1605" t="s">
        <v>1647</v>
      </c>
    </row>
    <row r="1606" spans="1:2">
      <c r="A1606" t="s">
        <v>529</v>
      </c>
      <c r="B1606" t="s">
        <v>1648</v>
      </c>
    </row>
    <row r="1607" spans="1:2">
      <c r="A1607" t="s">
        <v>50</v>
      </c>
      <c r="B1607" t="s">
        <v>1649</v>
      </c>
    </row>
    <row r="1608" spans="1:2">
      <c r="A1608" t="s">
        <v>77</v>
      </c>
      <c r="B1608" t="s">
        <v>1650</v>
      </c>
    </row>
    <row r="1609" spans="1:2">
      <c r="A1609" t="s">
        <v>1105</v>
      </c>
      <c r="B1609" t="s">
        <v>1651</v>
      </c>
    </row>
    <row r="1610" spans="1:2">
      <c r="A1610" t="s">
        <v>48</v>
      </c>
      <c r="B1610" t="s">
        <v>1652</v>
      </c>
    </row>
    <row r="1611" spans="1:2">
      <c r="A1611" t="s">
        <v>6</v>
      </c>
      <c r="B1611" t="s">
        <v>1653</v>
      </c>
    </row>
    <row r="1612" spans="1:2">
      <c r="A1612" t="s">
        <v>18</v>
      </c>
      <c r="B1612" t="s">
        <v>1654</v>
      </c>
    </row>
    <row r="1613" spans="1:2">
      <c r="A1613" t="s">
        <v>728</v>
      </c>
      <c r="B1613" t="s">
        <v>1655</v>
      </c>
    </row>
    <row r="1614" spans="1:2">
      <c r="A1614" t="s">
        <v>4</v>
      </c>
      <c r="B1614" t="s">
        <v>1656</v>
      </c>
    </row>
    <row r="1615" spans="1:2">
      <c r="A1615" t="s">
        <v>18</v>
      </c>
      <c r="B1615" t="s">
        <v>1657</v>
      </c>
    </row>
    <row r="1616" spans="1:2">
      <c r="A1616" t="s">
        <v>46</v>
      </c>
      <c r="B1616" t="s">
        <v>1658</v>
      </c>
    </row>
    <row r="1617" spans="1:2">
      <c r="A1617" t="s">
        <v>105</v>
      </c>
      <c r="B1617" t="s">
        <v>1659</v>
      </c>
    </row>
    <row r="1618" spans="1:2">
      <c r="A1618" t="s">
        <v>889</v>
      </c>
      <c r="B1618" t="s">
        <v>1660</v>
      </c>
    </row>
    <row r="1619" spans="1:2">
      <c r="A1619" t="s">
        <v>6</v>
      </c>
      <c r="B1619" t="s">
        <v>1661</v>
      </c>
    </row>
    <row r="1620" spans="1:2">
      <c r="A1620" t="s">
        <v>6</v>
      </c>
      <c r="B1620" t="s">
        <v>1662</v>
      </c>
    </row>
    <row r="1621" spans="1:2">
      <c r="A1621" t="s">
        <v>12</v>
      </c>
      <c r="B1621" t="s">
        <v>1663</v>
      </c>
    </row>
    <row r="1622" spans="1:2">
      <c r="A1622" t="s">
        <v>6</v>
      </c>
      <c r="B1622" t="s">
        <v>1664</v>
      </c>
    </row>
    <row r="1623" spans="1:2">
      <c r="A1623" t="s">
        <v>12</v>
      </c>
      <c r="B1623" t="s">
        <v>1665</v>
      </c>
    </row>
    <row r="1624" spans="1:2">
      <c r="A1624" t="s">
        <v>77</v>
      </c>
      <c r="B1624" t="s">
        <v>1666</v>
      </c>
    </row>
    <row r="1625" spans="1:2">
      <c r="A1625" t="s">
        <v>18</v>
      </c>
      <c r="B1625" t="s">
        <v>1667</v>
      </c>
    </row>
    <row r="1626" spans="1:2">
      <c r="A1626" t="s">
        <v>48</v>
      </c>
      <c r="B1626" t="s">
        <v>1668</v>
      </c>
    </row>
    <row r="1627" spans="1:2">
      <c r="A1627" t="s">
        <v>20</v>
      </c>
      <c r="B1627" t="s">
        <v>1669</v>
      </c>
    </row>
    <row r="1628" spans="1:2">
      <c r="A1628" t="s">
        <v>20</v>
      </c>
      <c r="B1628" t="s">
        <v>1670</v>
      </c>
    </row>
    <row r="1629" spans="1:2">
      <c r="A1629" t="s">
        <v>6</v>
      </c>
      <c r="B1629" t="s">
        <v>1671</v>
      </c>
    </row>
    <row r="1630" spans="1:2">
      <c r="A1630" t="s">
        <v>14</v>
      </c>
      <c r="B1630" t="s">
        <v>1672</v>
      </c>
    </row>
    <row r="1631" spans="1:2">
      <c r="A1631" t="s">
        <v>42</v>
      </c>
      <c r="B1631" t="s">
        <v>1673</v>
      </c>
    </row>
    <row r="1632" spans="1:2">
      <c r="A1632" t="s">
        <v>6</v>
      </c>
      <c r="B1632" t="s">
        <v>1674</v>
      </c>
    </row>
    <row r="1633" spans="1:2">
      <c r="A1633" t="s">
        <v>758</v>
      </c>
      <c r="B1633" t="s">
        <v>1675</v>
      </c>
    </row>
    <row r="1634" spans="1:2">
      <c r="A1634" t="s">
        <v>6</v>
      </c>
      <c r="B1634" t="s">
        <v>1676</v>
      </c>
    </row>
    <row r="1635" spans="1:2">
      <c r="A1635" t="s">
        <v>615</v>
      </c>
      <c r="B1635" t="s">
        <v>1677</v>
      </c>
    </row>
    <row r="1636" spans="1:2">
      <c r="A1636" t="s">
        <v>14</v>
      </c>
      <c r="B1636" t="s">
        <v>1269</v>
      </c>
    </row>
    <row r="1637" spans="1:2">
      <c r="A1637" t="s">
        <v>1246</v>
      </c>
      <c r="B1637" t="s">
        <v>1678</v>
      </c>
    </row>
    <row r="1638" spans="1:2">
      <c r="A1638" t="s">
        <v>1679</v>
      </c>
      <c r="B1638" t="s">
        <v>1680</v>
      </c>
    </row>
    <row r="1639" spans="1:2">
      <c r="A1639" t="s">
        <v>6</v>
      </c>
      <c r="B1639" t="s">
        <v>1681</v>
      </c>
    </row>
    <row r="1640" spans="1:2">
      <c r="A1640" t="s">
        <v>33</v>
      </c>
      <c r="B1640" t="s">
        <v>1682</v>
      </c>
    </row>
    <row r="1641" spans="1:2">
      <c r="A1641" t="s">
        <v>56</v>
      </c>
      <c r="B1641" t="s">
        <v>399</v>
      </c>
    </row>
    <row r="1642" spans="1:2">
      <c r="A1642" t="s">
        <v>56</v>
      </c>
      <c r="B1642" t="s">
        <v>154</v>
      </c>
    </row>
    <row r="1643" spans="1:2">
      <c r="A1643" t="s">
        <v>6</v>
      </c>
      <c r="B1643" t="s">
        <v>1683</v>
      </c>
    </row>
    <row r="1644" spans="1:2">
      <c r="A1644" t="s">
        <v>1223</v>
      </c>
      <c r="B1644" t="s">
        <v>1684</v>
      </c>
    </row>
    <row r="1645" spans="1:2">
      <c r="A1645" t="s">
        <v>1685</v>
      </c>
      <c r="B1645" t="s">
        <v>1686</v>
      </c>
    </row>
    <row r="1646" spans="1:2">
      <c r="A1646" t="s">
        <v>187</v>
      </c>
      <c r="B1646" t="s">
        <v>728</v>
      </c>
    </row>
    <row r="1647" spans="1:2">
      <c r="A1647" t="s">
        <v>6</v>
      </c>
      <c r="B1647" t="s">
        <v>1687</v>
      </c>
    </row>
    <row r="1648" spans="1:2">
      <c r="A1648" t="s">
        <v>129</v>
      </c>
      <c r="B1648" t="s">
        <v>1688</v>
      </c>
    </row>
    <row r="1649" spans="1:2">
      <c r="A1649" t="s">
        <v>6</v>
      </c>
      <c r="B1649" t="s">
        <v>1689</v>
      </c>
    </row>
    <row r="1650" spans="1:2">
      <c r="A1650" t="s">
        <v>18</v>
      </c>
      <c r="B1650" t="s">
        <v>1690</v>
      </c>
    </row>
    <row r="1651" spans="1:2">
      <c r="A1651" t="s">
        <v>6</v>
      </c>
      <c r="B1651" t="s">
        <v>1691</v>
      </c>
    </row>
    <row r="1652" spans="1:2">
      <c r="A1652" t="s">
        <v>46</v>
      </c>
      <c r="B1652" t="s">
        <v>1692</v>
      </c>
    </row>
    <row r="1653" spans="1:2">
      <c r="A1653" t="s">
        <v>6</v>
      </c>
      <c r="B1653" t="s">
        <v>1693</v>
      </c>
    </row>
    <row r="1654" spans="1:2">
      <c r="A1654" t="s">
        <v>39</v>
      </c>
      <c r="B1654" t="s">
        <v>1694</v>
      </c>
    </row>
    <row r="1655" spans="1:2">
      <c r="A1655" t="s">
        <v>68</v>
      </c>
      <c r="B1655" t="s">
        <v>1695</v>
      </c>
    </row>
    <row r="1656" spans="1:2">
      <c r="A1656" t="s">
        <v>6</v>
      </c>
      <c r="B1656" t="s">
        <v>1696</v>
      </c>
    </row>
    <row r="1657" spans="1:2">
      <c r="A1657" t="s">
        <v>6</v>
      </c>
      <c r="B1657" t="s">
        <v>1697</v>
      </c>
    </row>
    <row r="1658" spans="1:2">
      <c r="A1658" t="s">
        <v>18</v>
      </c>
      <c r="B1658" t="s">
        <v>941</v>
      </c>
    </row>
    <row r="1659" spans="1:2">
      <c r="A1659" t="s">
        <v>39</v>
      </c>
      <c r="B1659" t="s">
        <v>1698</v>
      </c>
    </row>
    <row r="1660" spans="1:2">
      <c r="A1660" t="s">
        <v>1699</v>
      </c>
      <c r="B1660" t="s">
        <v>1700</v>
      </c>
    </row>
    <row r="1661" spans="1:2">
      <c r="A1661" t="s">
        <v>18</v>
      </c>
      <c r="B1661" t="s">
        <v>1701</v>
      </c>
    </row>
    <row r="1662" spans="1:2">
      <c r="A1662" t="s">
        <v>39</v>
      </c>
      <c r="B1662" t="s">
        <v>1702</v>
      </c>
    </row>
    <row r="1663" spans="1:2">
      <c r="A1663" t="s">
        <v>46</v>
      </c>
      <c r="B1663" t="s">
        <v>1703</v>
      </c>
    </row>
    <row r="1664" spans="1:2">
      <c r="A1664" t="s">
        <v>68</v>
      </c>
      <c r="B1664" t="s">
        <v>1704</v>
      </c>
    </row>
    <row r="1665" spans="1:2">
      <c r="A1665" t="s">
        <v>6</v>
      </c>
      <c r="B1665" t="s">
        <v>1705</v>
      </c>
    </row>
    <row r="1666" spans="1:2">
      <c r="A1666" t="s">
        <v>6</v>
      </c>
      <c r="B1666" t="s">
        <v>1706</v>
      </c>
    </row>
    <row r="1667" spans="1:2">
      <c r="A1667" t="s">
        <v>42</v>
      </c>
      <c r="B1667" t="s">
        <v>1707</v>
      </c>
    </row>
    <row r="1668" spans="1:2">
      <c r="A1668" t="s">
        <v>103</v>
      </c>
      <c r="B1668" t="s">
        <v>1708</v>
      </c>
    </row>
    <row r="1669" spans="1:2">
      <c r="A1669" t="s">
        <v>12</v>
      </c>
      <c r="B1669" t="s">
        <v>1709</v>
      </c>
    </row>
    <row r="1670" spans="1:2">
      <c r="A1670" t="s">
        <v>6</v>
      </c>
      <c r="B1670" t="s">
        <v>1710</v>
      </c>
    </row>
    <row r="1671" spans="1:2">
      <c r="A1671" t="s">
        <v>97</v>
      </c>
      <c r="B1671" t="s">
        <v>1711</v>
      </c>
    </row>
    <row r="1672" spans="1:2">
      <c r="A1672" t="s">
        <v>18</v>
      </c>
      <c r="B1672" t="s">
        <v>1712</v>
      </c>
    </row>
    <row r="1673" spans="1:2">
      <c r="A1673" t="s">
        <v>1121</v>
      </c>
      <c r="B1673" t="s">
        <v>1713</v>
      </c>
    </row>
    <row r="1674" spans="1:2">
      <c r="A1674" t="s">
        <v>42</v>
      </c>
      <c r="B1674" t="s">
        <v>1714</v>
      </c>
    </row>
    <row r="1675" spans="1:2">
      <c r="A1675" t="s">
        <v>68</v>
      </c>
      <c r="B1675" t="s">
        <v>1715</v>
      </c>
    </row>
    <row r="1676" spans="1:2">
      <c r="A1676" t="s">
        <v>1363</v>
      </c>
      <c r="B1676" t="s">
        <v>1716</v>
      </c>
    </row>
    <row r="1677" spans="1:2">
      <c r="A1677" t="s">
        <v>6</v>
      </c>
      <c r="B1677" t="s">
        <v>478</v>
      </c>
    </row>
    <row r="1678" spans="1:2">
      <c r="A1678" t="s">
        <v>6</v>
      </c>
      <c r="B1678" t="s">
        <v>1717</v>
      </c>
    </row>
    <row r="1679" spans="1:2">
      <c r="A1679" t="s">
        <v>309</v>
      </c>
      <c r="B1679" t="s">
        <v>1718</v>
      </c>
    </row>
    <row r="1680" spans="1:2">
      <c r="A1680" t="s">
        <v>46</v>
      </c>
      <c r="B1680" t="s">
        <v>1719</v>
      </c>
    </row>
    <row r="1681" spans="1:2">
      <c r="A1681" t="s">
        <v>6</v>
      </c>
      <c r="B1681" t="s">
        <v>1720</v>
      </c>
    </row>
    <row r="1682" spans="1:2">
      <c r="A1682" t="s">
        <v>127</v>
      </c>
      <c r="B1682" t="s">
        <v>1721</v>
      </c>
    </row>
    <row r="1683" spans="1:2">
      <c r="A1683" t="s">
        <v>643</v>
      </c>
      <c r="B1683" t="s">
        <v>1722</v>
      </c>
    </row>
    <row r="1684" spans="1:2">
      <c r="A1684" t="s">
        <v>6</v>
      </c>
      <c r="B1684" t="s">
        <v>1723</v>
      </c>
    </row>
    <row r="1685" spans="1:2">
      <c r="A1685" t="s">
        <v>6</v>
      </c>
      <c r="B1685" t="s">
        <v>1724</v>
      </c>
    </row>
    <row r="1686" spans="1:2">
      <c r="A1686" t="s">
        <v>12</v>
      </c>
      <c r="B1686" t="s">
        <v>1725</v>
      </c>
    </row>
    <row r="1687" spans="1:2">
      <c r="A1687" t="s">
        <v>153</v>
      </c>
      <c r="B1687" t="s">
        <v>1726</v>
      </c>
    </row>
    <row r="1688" spans="1:2">
      <c r="A1688" t="s">
        <v>29</v>
      </c>
      <c r="B1688" t="s">
        <v>1727</v>
      </c>
    </row>
    <row r="1689" spans="1:2">
      <c r="A1689" t="s">
        <v>18</v>
      </c>
      <c r="B1689" t="s">
        <v>1728</v>
      </c>
    </row>
    <row r="1690" spans="1:2">
      <c r="A1690" t="s">
        <v>6</v>
      </c>
      <c r="B1690" t="s">
        <v>1729</v>
      </c>
    </row>
    <row r="1691" spans="1:2">
      <c r="A1691" t="s">
        <v>608</v>
      </c>
      <c r="B1691" t="s">
        <v>1730</v>
      </c>
    </row>
    <row r="1692" spans="1:2">
      <c r="A1692" t="s">
        <v>103</v>
      </c>
      <c r="B1692" t="s">
        <v>1731</v>
      </c>
    </row>
    <row r="1693" spans="1:2">
      <c r="A1693" t="s">
        <v>6</v>
      </c>
      <c r="B1693" t="s">
        <v>1732</v>
      </c>
    </row>
    <row r="1694" spans="1:2">
      <c r="A1694" t="s">
        <v>241</v>
      </c>
      <c r="B1694" t="s">
        <v>1733</v>
      </c>
    </row>
    <row r="1695" spans="1:2">
      <c r="A1695" t="s">
        <v>1679</v>
      </c>
      <c r="B1695" t="s">
        <v>1734</v>
      </c>
    </row>
    <row r="1696" spans="1:2">
      <c r="A1696" t="s">
        <v>303</v>
      </c>
      <c r="B1696" t="s">
        <v>1735</v>
      </c>
    </row>
    <row r="1697" spans="1:2">
      <c r="A1697" t="s">
        <v>6</v>
      </c>
      <c r="B1697" t="s">
        <v>1736</v>
      </c>
    </row>
    <row r="1698" spans="1:2">
      <c r="A1698" t="s">
        <v>134</v>
      </c>
      <c r="B1698" t="s">
        <v>1737</v>
      </c>
    </row>
    <row r="1699" spans="1:2">
      <c r="A1699" t="s">
        <v>42</v>
      </c>
      <c r="B1699" t="s">
        <v>1738</v>
      </c>
    </row>
    <row r="1700" spans="1:2">
      <c r="A1700" t="s">
        <v>112</v>
      </c>
      <c r="B1700" t="s">
        <v>1739</v>
      </c>
    </row>
    <row r="1701" spans="1:2">
      <c r="A1701" t="s">
        <v>18</v>
      </c>
      <c r="B1701" t="s">
        <v>1740</v>
      </c>
    </row>
    <row r="1702" spans="1:2">
      <c r="A1702" t="s">
        <v>39</v>
      </c>
      <c r="B1702" t="s">
        <v>1741</v>
      </c>
    </row>
    <row r="1703" spans="1:2">
      <c r="A1703" t="s">
        <v>369</v>
      </c>
      <c r="B1703" t="s">
        <v>1742</v>
      </c>
    </row>
    <row r="1704" spans="1:2">
      <c r="A1704" t="s">
        <v>29</v>
      </c>
      <c r="B1704" t="s">
        <v>1743</v>
      </c>
    </row>
    <row r="1705" spans="1:2">
      <c r="A1705" t="s">
        <v>24</v>
      </c>
      <c r="B1705" t="s">
        <v>439</v>
      </c>
    </row>
    <row r="1706" spans="1:2">
      <c r="A1706" t="s">
        <v>6</v>
      </c>
      <c r="B1706" t="s">
        <v>1744</v>
      </c>
    </row>
    <row r="1707" spans="1:2">
      <c r="A1707" t="s">
        <v>107</v>
      </c>
      <c r="B1707" t="s">
        <v>1313</v>
      </c>
    </row>
    <row r="1708" spans="1:2">
      <c r="A1708" t="s">
        <v>29</v>
      </c>
      <c r="B1708" t="s">
        <v>1745</v>
      </c>
    </row>
    <row r="1709" spans="1:2">
      <c r="A1709" t="s">
        <v>137</v>
      </c>
      <c r="B1709" t="s">
        <v>1746</v>
      </c>
    </row>
    <row r="1710" spans="1:2">
      <c r="A1710" t="s">
        <v>46</v>
      </c>
      <c r="B1710" t="s">
        <v>1747</v>
      </c>
    </row>
    <row r="1711" spans="1:2">
      <c r="A1711" t="s">
        <v>77</v>
      </c>
      <c r="B1711" t="s">
        <v>1748</v>
      </c>
    </row>
    <row r="1712" spans="1:2">
      <c r="A1712" t="s">
        <v>18</v>
      </c>
      <c r="B1712" t="s">
        <v>1749</v>
      </c>
    </row>
    <row r="1713" spans="1:2">
      <c r="A1713" t="s">
        <v>68</v>
      </c>
      <c r="B1713" t="s">
        <v>1750</v>
      </c>
    </row>
    <row r="1714" spans="1:2">
      <c r="A1714" t="s">
        <v>137</v>
      </c>
      <c r="B1714" t="s">
        <v>1751</v>
      </c>
    </row>
    <row r="1715" spans="1:2">
      <c r="A1715" t="s">
        <v>56</v>
      </c>
      <c r="B1715" t="s">
        <v>1752</v>
      </c>
    </row>
    <row r="1716" spans="1:2">
      <c r="A1716" t="s">
        <v>6</v>
      </c>
      <c r="B1716" t="s">
        <v>1753</v>
      </c>
    </row>
    <row r="1717" spans="1:2">
      <c r="A1717" t="s">
        <v>18</v>
      </c>
      <c r="B1717" t="s">
        <v>730</v>
      </c>
    </row>
    <row r="1718" spans="1:2">
      <c r="A1718" t="s">
        <v>6</v>
      </c>
      <c r="B1718" t="s">
        <v>1754</v>
      </c>
    </row>
    <row r="1719" spans="1:2">
      <c r="A1719" t="s">
        <v>56</v>
      </c>
      <c r="B1719" t="s">
        <v>323</v>
      </c>
    </row>
    <row r="1720" spans="1:2">
      <c r="A1720" t="s">
        <v>27</v>
      </c>
      <c r="B1720" t="s">
        <v>1755</v>
      </c>
    </row>
    <row r="1721" spans="1:2">
      <c r="A1721" t="s">
        <v>2</v>
      </c>
      <c r="B1721" t="s">
        <v>1756</v>
      </c>
    </row>
    <row r="1722" spans="1:2">
      <c r="A1722" t="s">
        <v>8</v>
      </c>
      <c r="B1722" t="s">
        <v>1757</v>
      </c>
    </row>
    <row r="1723" spans="1:2">
      <c r="A1723" t="s">
        <v>56</v>
      </c>
      <c r="B1723" t="s">
        <v>1177</v>
      </c>
    </row>
    <row r="1724" spans="1:2">
      <c r="A1724" t="s">
        <v>321</v>
      </c>
      <c r="B1724" t="s">
        <v>1758</v>
      </c>
    </row>
    <row r="1725" spans="1:2">
      <c r="A1725" t="s">
        <v>758</v>
      </c>
      <c r="B1725" t="s">
        <v>1759</v>
      </c>
    </row>
    <row r="1726" spans="1:2">
      <c r="A1726" t="s">
        <v>22</v>
      </c>
      <c r="B1726" t="s">
        <v>1760</v>
      </c>
    </row>
    <row r="1727" spans="1:2">
      <c r="A1727" t="s">
        <v>107</v>
      </c>
      <c r="B1727" t="s">
        <v>1761</v>
      </c>
    </row>
    <row r="1728" spans="1:2">
      <c r="A1728" t="s">
        <v>303</v>
      </c>
      <c r="B1728" t="s">
        <v>1762</v>
      </c>
    </row>
    <row r="1729" spans="1:2">
      <c r="A1729" t="s">
        <v>6</v>
      </c>
      <c r="B1729" t="s">
        <v>1763</v>
      </c>
    </row>
    <row r="1730" spans="1:2">
      <c r="A1730" t="s">
        <v>6</v>
      </c>
      <c r="B1730" t="s">
        <v>1764</v>
      </c>
    </row>
    <row r="1731" spans="1:2">
      <c r="A1731" t="s">
        <v>18</v>
      </c>
      <c r="B1731" t="s">
        <v>1765</v>
      </c>
    </row>
    <row r="1732" spans="1:2">
      <c r="A1732" t="s">
        <v>264</v>
      </c>
      <c r="B1732" t="s">
        <v>1766</v>
      </c>
    </row>
    <row r="1733" spans="1:2">
      <c r="A1733" t="s">
        <v>596</v>
      </c>
      <c r="B1733" t="s">
        <v>1767</v>
      </c>
    </row>
    <row r="1734" spans="1:2">
      <c r="A1734" t="s">
        <v>6</v>
      </c>
      <c r="B1734" t="s">
        <v>1768</v>
      </c>
    </row>
    <row r="1735" spans="1:2">
      <c r="A1735" t="s">
        <v>20</v>
      </c>
      <c r="B1735" t="s">
        <v>1769</v>
      </c>
    </row>
    <row r="1736" spans="1:2">
      <c r="A1736" t="s">
        <v>18</v>
      </c>
      <c r="B1736" t="s">
        <v>1770</v>
      </c>
    </row>
    <row r="1737" spans="1:2">
      <c r="A1737" t="s">
        <v>114</v>
      </c>
      <c r="B1737" t="s">
        <v>1771</v>
      </c>
    </row>
    <row r="1738" spans="1:2">
      <c r="A1738" t="s">
        <v>48</v>
      </c>
      <c r="B1738" t="s">
        <v>1772</v>
      </c>
    </row>
    <row r="1739" spans="1:2">
      <c r="A1739" t="s">
        <v>191</v>
      </c>
      <c r="B1739" t="s">
        <v>1699</v>
      </c>
    </row>
    <row r="1740" spans="1:2">
      <c r="A1740" t="s">
        <v>1503</v>
      </c>
      <c r="B1740" t="s">
        <v>1773</v>
      </c>
    </row>
    <row r="1741" spans="1:2">
      <c r="A1741" t="s">
        <v>48</v>
      </c>
      <c r="B1741" t="s">
        <v>1774</v>
      </c>
    </row>
    <row r="1742" spans="1:2">
      <c r="A1742" t="s">
        <v>29</v>
      </c>
      <c r="B1742" t="s">
        <v>1775</v>
      </c>
    </row>
    <row r="1743" spans="1:2">
      <c r="A1743" t="s">
        <v>12</v>
      </c>
      <c r="B1743" t="s">
        <v>1776</v>
      </c>
    </row>
    <row r="1744" spans="1:2">
      <c r="A1744" t="s">
        <v>35</v>
      </c>
      <c r="B1744" t="s">
        <v>1777</v>
      </c>
    </row>
    <row r="1745" spans="1:2">
      <c r="A1745" t="s">
        <v>48</v>
      </c>
      <c r="B1745" t="s">
        <v>1778</v>
      </c>
    </row>
    <row r="1746" spans="1:2">
      <c r="A1746" t="s">
        <v>750</v>
      </c>
      <c r="B1746" t="s">
        <v>1779</v>
      </c>
    </row>
    <row r="1747" spans="1:2">
      <c r="A1747" t="s">
        <v>56</v>
      </c>
      <c r="B1747" t="s">
        <v>1780</v>
      </c>
    </row>
    <row r="1748" spans="1:2">
      <c r="A1748" t="s">
        <v>48</v>
      </c>
      <c r="B1748" t="s">
        <v>1781</v>
      </c>
    </row>
    <row r="1749" spans="1:2">
      <c r="A1749" t="s">
        <v>6</v>
      </c>
      <c r="B1749" t="s">
        <v>1782</v>
      </c>
    </row>
    <row r="1750" spans="1:2">
      <c r="A1750" t="s">
        <v>29</v>
      </c>
      <c r="B1750" t="s">
        <v>1783</v>
      </c>
    </row>
    <row r="1751" spans="1:2">
      <c r="A1751" t="s">
        <v>6</v>
      </c>
      <c r="B1751" t="s">
        <v>1784</v>
      </c>
    </row>
    <row r="1752" spans="1:2">
      <c r="A1752" t="s">
        <v>56</v>
      </c>
      <c r="B1752" t="s">
        <v>1246</v>
      </c>
    </row>
    <row r="1753" spans="1:2">
      <c r="A1753" t="s">
        <v>303</v>
      </c>
      <c r="B1753" t="s">
        <v>1785</v>
      </c>
    </row>
    <row r="1754" spans="1:2">
      <c r="A1754" t="s">
        <v>6</v>
      </c>
      <c r="B1754" t="s">
        <v>1786</v>
      </c>
    </row>
    <row r="1755" spans="1:2">
      <c r="A1755" t="s">
        <v>77</v>
      </c>
      <c r="B1755" t="s">
        <v>1787</v>
      </c>
    </row>
    <row r="1756" spans="1:2">
      <c r="A1756" t="s">
        <v>6</v>
      </c>
      <c r="B1756" t="s">
        <v>1788</v>
      </c>
    </row>
    <row r="1757" spans="1:2">
      <c r="A1757" t="s">
        <v>46</v>
      </c>
      <c r="B1757" t="s">
        <v>1789</v>
      </c>
    </row>
    <row r="1758" spans="1:2">
      <c r="A1758" t="s">
        <v>6</v>
      </c>
      <c r="B1758" t="s">
        <v>1790</v>
      </c>
    </row>
    <row r="1759" spans="1:2">
      <c r="A1759" t="s">
        <v>6</v>
      </c>
      <c r="B1759" t="s">
        <v>1791</v>
      </c>
    </row>
    <row r="1760" spans="1:2">
      <c r="A1760" t="s">
        <v>6</v>
      </c>
      <c r="B1760" t="s">
        <v>1792</v>
      </c>
    </row>
    <row r="1761" spans="1:2">
      <c r="A1761" t="s">
        <v>18</v>
      </c>
      <c r="B1761" t="s">
        <v>1793</v>
      </c>
    </row>
    <row r="1762" spans="1:2">
      <c r="A1762" t="s">
        <v>48</v>
      </c>
      <c r="B1762" t="s">
        <v>1794</v>
      </c>
    </row>
    <row r="1763" spans="1:2">
      <c r="A1763" t="s">
        <v>8</v>
      </c>
      <c r="B1763" t="s">
        <v>1795</v>
      </c>
    </row>
    <row r="1764" spans="1:2">
      <c r="A1764" t="s">
        <v>112</v>
      </c>
      <c r="B1764" t="s">
        <v>1796</v>
      </c>
    </row>
    <row r="1765" spans="1:2">
      <c r="A1765" t="s">
        <v>12</v>
      </c>
      <c r="B1765" t="s">
        <v>1797</v>
      </c>
    </row>
    <row r="1766" spans="1:2">
      <c r="A1766" t="s">
        <v>6</v>
      </c>
      <c r="B1766" t="s">
        <v>1798</v>
      </c>
    </row>
    <row r="1767" spans="1:2">
      <c r="A1767" t="s">
        <v>77</v>
      </c>
      <c r="B1767" t="s">
        <v>1799</v>
      </c>
    </row>
    <row r="1768" spans="1:2">
      <c r="A1768" t="s">
        <v>6</v>
      </c>
      <c r="B1768" t="s">
        <v>1800</v>
      </c>
    </row>
    <row r="1769" spans="1:2">
      <c r="A1769" t="s">
        <v>6</v>
      </c>
      <c r="B1769" t="s">
        <v>1801</v>
      </c>
    </row>
    <row r="1770" spans="1:2">
      <c r="A1770" t="s">
        <v>1313</v>
      </c>
      <c r="B1770" t="s">
        <v>1381</v>
      </c>
    </row>
    <row r="1771" spans="1:2">
      <c r="A1771" t="s">
        <v>6</v>
      </c>
      <c r="B1771" t="s">
        <v>1802</v>
      </c>
    </row>
    <row r="1772" spans="1:2">
      <c r="A1772" t="s">
        <v>6</v>
      </c>
      <c r="B1772" t="s">
        <v>1803</v>
      </c>
    </row>
    <row r="1773" spans="1:2">
      <c r="A1773" t="s">
        <v>77</v>
      </c>
      <c r="B1773" t="s">
        <v>1804</v>
      </c>
    </row>
    <row r="1774" spans="1:2">
      <c r="A1774" t="s">
        <v>6</v>
      </c>
      <c r="B1774" t="s">
        <v>1805</v>
      </c>
    </row>
    <row r="1775" spans="1:2">
      <c r="A1775" t="s">
        <v>6</v>
      </c>
      <c r="B1775" t="s">
        <v>1806</v>
      </c>
    </row>
    <row r="1776" spans="1:2">
      <c r="A1776" t="s">
        <v>6</v>
      </c>
      <c r="B1776" t="s">
        <v>1807</v>
      </c>
    </row>
    <row r="1777" spans="1:2">
      <c r="A1777" t="s">
        <v>6</v>
      </c>
      <c r="B1777" t="s">
        <v>1808</v>
      </c>
    </row>
    <row r="1778" spans="1:2">
      <c r="A1778" t="s">
        <v>223</v>
      </c>
      <c r="B1778" t="s">
        <v>1809</v>
      </c>
    </row>
    <row r="1779" spans="1:2">
      <c r="A1779" t="s">
        <v>53</v>
      </c>
      <c r="B1779" t="s">
        <v>1810</v>
      </c>
    </row>
    <row r="1780" spans="1:2">
      <c r="A1780" t="s">
        <v>48</v>
      </c>
      <c r="B1780" t="s">
        <v>1811</v>
      </c>
    </row>
    <row r="1781" spans="1:2">
      <c r="A1781" t="s">
        <v>303</v>
      </c>
      <c r="B1781" t="s">
        <v>1812</v>
      </c>
    </row>
    <row r="1782" spans="1:2">
      <c r="A1782" t="s">
        <v>214</v>
      </c>
      <c r="B1782" t="s">
        <v>1813</v>
      </c>
    </row>
    <row r="1783" spans="1:2">
      <c r="A1783" t="s">
        <v>6</v>
      </c>
      <c r="B1783" t="s">
        <v>1814</v>
      </c>
    </row>
    <row r="1784" spans="1:2">
      <c r="A1784" t="s">
        <v>1150</v>
      </c>
      <c r="B1784" t="s">
        <v>1815</v>
      </c>
    </row>
    <row r="1785" spans="1:2">
      <c r="A1785" t="s">
        <v>29</v>
      </c>
      <c r="B1785" t="s">
        <v>1816</v>
      </c>
    </row>
    <row r="1786" spans="1:2">
      <c r="A1786" t="s">
        <v>48</v>
      </c>
      <c r="B1786" t="s">
        <v>1817</v>
      </c>
    </row>
    <row r="1787" spans="1:2">
      <c r="A1787" t="s">
        <v>6</v>
      </c>
      <c r="B1787" t="s">
        <v>1818</v>
      </c>
    </row>
    <row r="1788" spans="1:2">
      <c r="A1788" t="s">
        <v>6</v>
      </c>
      <c r="B1788" t="s">
        <v>1819</v>
      </c>
    </row>
    <row r="1789" spans="1:2">
      <c r="A1789" t="s">
        <v>29</v>
      </c>
      <c r="B1789" t="s">
        <v>1820</v>
      </c>
    </row>
    <row r="1790" spans="1:2">
      <c r="A1790" t="s">
        <v>18</v>
      </c>
      <c r="B1790" t="s">
        <v>1821</v>
      </c>
    </row>
    <row r="1791" spans="1:2">
      <c r="A1791" t="s">
        <v>42</v>
      </c>
      <c r="B1791" t="s">
        <v>1822</v>
      </c>
    </row>
    <row r="1792" spans="1:2">
      <c r="A1792" t="s">
        <v>39</v>
      </c>
      <c r="B1792" t="s">
        <v>1823</v>
      </c>
    </row>
    <row r="1793" spans="1:2">
      <c r="A1793" t="s">
        <v>495</v>
      </c>
      <c r="B1793" t="s">
        <v>1824</v>
      </c>
    </row>
    <row r="1794" spans="1:2">
      <c r="A1794" t="s">
        <v>6</v>
      </c>
      <c r="B1794" t="s">
        <v>1825</v>
      </c>
    </row>
    <row r="1795" spans="1:2">
      <c r="A1795" t="s">
        <v>29</v>
      </c>
      <c r="B1795" t="s">
        <v>1826</v>
      </c>
    </row>
    <row r="1796" spans="1:2">
      <c r="A1796" t="s">
        <v>20</v>
      </c>
      <c r="B1796" t="s">
        <v>1827</v>
      </c>
    </row>
    <row r="1797" spans="1:2">
      <c r="A1797" t="s">
        <v>1177</v>
      </c>
      <c r="B1797" t="s">
        <v>22</v>
      </c>
    </row>
    <row r="1798" spans="1:2">
      <c r="A1798" t="s">
        <v>77</v>
      </c>
      <c r="B1798" t="s">
        <v>1828</v>
      </c>
    </row>
    <row r="1799" spans="1:2">
      <c r="A1799" t="s">
        <v>68</v>
      </c>
      <c r="B1799" t="s">
        <v>1829</v>
      </c>
    </row>
    <row r="1800" spans="1:2">
      <c r="A1800" t="s">
        <v>137</v>
      </c>
      <c r="B1800" t="s">
        <v>1830</v>
      </c>
    </row>
    <row r="1801" spans="1:2">
      <c r="A1801" t="s">
        <v>6</v>
      </c>
      <c r="B1801" t="s">
        <v>1831</v>
      </c>
    </row>
    <row r="1802" spans="1:2">
      <c r="A1802" t="s">
        <v>6</v>
      </c>
      <c r="B1802" t="s">
        <v>1832</v>
      </c>
    </row>
    <row r="1803" spans="1:2">
      <c r="A1803" t="s">
        <v>33</v>
      </c>
      <c r="B1803" t="s">
        <v>75</v>
      </c>
    </row>
    <row r="1804" spans="1:2">
      <c r="A1804" t="s">
        <v>48</v>
      </c>
      <c r="B1804" t="s">
        <v>1833</v>
      </c>
    </row>
    <row r="1805" spans="1:2">
      <c r="A1805" t="s">
        <v>6</v>
      </c>
      <c r="B1805" t="s">
        <v>1834</v>
      </c>
    </row>
    <row r="1806" spans="1:2">
      <c r="A1806" t="s">
        <v>6</v>
      </c>
      <c r="B1806" t="s">
        <v>1835</v>
      </c>
    </row>
    <row r="1807" spans="1:2">
      <c r="A1807" t="s">
        <v>6</v>
      </c>
      <c r="B1807" t="s">
        <v>1836</v>
      </c>
    </row>
    <row r="1808" spans="1:2">
      <c r="A1808" t="s">
        <v>6</v>
      </c>
      <c r="B1808" t="s">
        <v>1837</v>
      </c>
    </row>
    <row r="1809" spans="1:2">
      <c r="A1809" t="s">
        <v>56</v>
      </c>
      <c r="B1809" t="s">
        <v>241</v>
      </c>
    </row>
    <row r="1810" spans="1:2">
      <c r="A1810" t="s">
        <v>6</v>
      </c>
      <c r="B1810" t="s">
        <v>1838</v>
      </c>
    </row>
    <row r="1811" spans="1:2">
      <c r="A1811" t="s">
        <v>56</v>
      </c>
      <c r="B1811" t="s">
        <v>1839</v>
      </c>
    </row>
    <row r="1812" spans="1:2">
      <c r="A1812" t="s">
        <v>18</v>
      </c>
      <c r="B1812" t="s">
        <v>1840</v>
      </c>
    </row>
    <row r="1813" spans="1:2">
      <c r="A1813" t="s">
        <v>6</v>
      </c>
      <c r="B1813" t="s">
        <v>1841</v>
      </c>
    </row>
    <row r="1814" spans="1:2">
      <c r="A1814" t="s">
        <v>6</v>
      </c>
      <c r="B1814" t="s">
        <v>1842</v>
      </c>
    </row>
    <row r="1815" spans="1:2">
      <c r="A1815" t="s">
        <v>6</v>
      </c>
      <c r="B1815" t="s">
        <v>1843</v>
      </c>
    </row>
    <row r="1816" spans="1:2">
      <c r="A1816" t="s">
        <v>105</v>
      </c>
      <c r="B1816" t="s">
        <v>1844</v>
      </c>
    </row>
    <row r="1817" spans="1:2">
      <c r="A1817" t="s">
        <v>18</v>
      </c>
      <c r="B1817" t="s">
        <v>1845</v>
      </c>
    </row>
    <row r="1818" spans="1:2">
      <c r="A1818" t="s">
        <v>14</v>
      </c>
      <c r="B1818" t="s">
        <v>1846</v>
      </c>
    </row>
    <row r="1819" spans="1:2">
      <c r="A1819" t="s">
        <v>0</v>
      </c>
      <c r="B1819" t="s">
        <v>1847</v>
      </c>
    </row>
    <row r="1820" spans="1:2">
      <c r="A1820" t="s">
        <v>6</v>
      </c>
      <c r="B1820" t="s">
        <v>1848</v>
      </c>
    </row>
    <row r="1821" spans="1:2">
      <c r="A1821" t="s">
        <v>48</v>
      </c>
      <c r="B1821" t="s">
        <v>1849</v>
      </c>
    </row>
    <row r="1822" spans="1:2">
      <c r="A1822" t="s">
        <v>495</v>
      </c>
      <c r="B1822" t="s">
        <v>1850</v>
      </c>
    </row>
    <row r="1823" spans="1:2">
      <c r="A1823" t="s">
        <v>6</v>
      </c>
      <c r="B1823" t="s">
        <v>1851</v>
      </c>
    </row>
    <row r="1824" spans="1:2">
      <c r="A1824" t="s">
        <v>1686</v>
      </c>
      <c r="B1824" t="s">
        <v>1852</v>
      </c>
    </row>
    <row r="1825" spans="1:2">
      <c r="A1825" t="s">
        <v>6</v>
      </c>
      <c r="B1825" t="s">
        <v>1853</v>
      </c>
    </row>
    <row r="1826" spans="1:2">
      <c r="A1826" t="s">
        <v>6</v>
      </c>
      <c r="B1826" t="s">
        <v>1854</v>
      </c>
    </row>
    <row r="1827" spans="1:2">
      <c r="A1827" t="s">
        <v>50</v>
      </c>
      <c r="B1827" t="s">
        <v>1855</v>
      </c>
    </row>
    <row r="1828" spans="1:2">
      <c r="A1828" t="s">
        <v>137</v>
      </c>
      <c r="B1828" t="s">
        <v>1856</v>
      </c>
    </row>
    <row r="1829" spans="1:2">
      <c r="A1829" t="s">
        <v>6</v>
      </c>
      <c r="B1829" t="s">
        <v>1857</v>
      </c>
    </row>
    <row r="1830" spans="1:2">
      <c r="A1830" t="s">
        <v>29</v>
      </c>
      <c r="B1830" t="s">
        <v>1858</v>
      </c>
    </row>
    <row r="1831" spans="1:2">
      <c r="A1831" t="s">
        <v>728</v>
      </c>
      <c r="B1831" t="s">
        <v>1859</v>
      </c>
    </row>
    <row r="1832" spans="1:2">
      <c r="A1832" t="s">
        <v>6</v>
      </c>
      <c r="B1832" t="s">
        <v>1860</v>
      </c>
    </row>
    <row r="1833" spans="1:2">
      <c r="A1833" t="s">
        <v>6</v>
      </c>
      <c r="B1833" t="s">
        <v>1861</v>
      </c>
    </row>
    <row r="1834" spans="1:2">
      <c r="A1834" t="s">
        <v>8</v>
      </c>
      <c r="B1834" t="s">
        <v>1862</v>
      </c>
    </row>
    <row r="1835" spans="1:2">
      <c r="A1835" t="s">
        <v>941</v>
      </c>
      <c r="B1835" t="s">
        <v>1863</v>
      </c>
    </row>
    <row r="1836" spans="1:2">
      <c r="A1836" t="s">
        <v>6</v>
      </c>
      <c r="B1836" t="s">
        <v>1864</v>
      </c>
    </row>
    <row r="1837" spans="1:2">
      <c r="A1837" t="s">
        <v>48</v>
      </c>
      <c r="B1837" t="s">
        <v>1865</v>
      </c>
    </row>
    <row r="1838" spans="1:2">
      <c r="A1838" t="s">
        <v>137</v>
      </c>
      <c r="B1838" t="s">
        <v>1866</v>
      </c>
    </row>
    <row r="1839" spans="1:2">
      <c r="A1839" t="s">
        <v>20</v>
      </c>
      <c r="B1839" t="s">
        <v>1867</v>
      </c>
    </row>
    <row r="1840" spans="1:2">
      <c r="A1840" t="s">
        <v>77</v>
      </c>
      <c r="B1840" t="s">
        <v>1868</v>
      </c>
    </row>
    <row r="1841" spans="1:2">
      <c r="A1841" t="s">
        <v>29</v>
      </c>
      <c r="B1841" t="s">
        <v>1869</v>
      </c>
    </row>
    <row r="1842" spans="1:2">
      <c r="A1842" t="s">
        <v>18</v>
      </c>
      <c r="B1842" t="s">
        <v>1870</v>
      </c>
    </row>
    <row r="1843" spans="1:2">
      <c r="A1843" t="s">
        <v>18</v>
      </c>
      <c r="B1843" t="s">
        <v>1871</v>
      </c>
    </row>
    <row r="1844" spans="1:2">
      <c r="A1844" t="s">
        <v>6</v>
      </c>
      <c r="B1844" t="s">
        <v>1872</v>
      </c>
    </row>
    <row r="1845" spans="1:2">
      <c r="A1845" t="s">
        <v>6</v>
      </c>
      <c r="B1845" t="s">
        <v>1873</v>
      </c>
    </row>
    <row r="1846" spans="1:2">
      <c r="A1846" t="s">
        <v>6</v>
      </c>
      <c r="B1846" t="s">
        <v>1874</v>
      </c>
    </row>
    <row r="1847" spans="1:2">
      <c r="A1847" t="s">
        <v>608</v>
      </c>
      <c r="B1847" t="s">
        <v>1875</v>
      </c>
    </row>
    <row r="1848" spans="1:2">
      <c r="A1848" t="s">
        <v>56</v>
      </c>
      <c r="B1848" t="s">
        <v>1876</v>
      </c>
    </row>
    <row r="1849" spans="1:2">
      <c r="A1849" t="s">
        <v>6</v>
      </c>
      <c r="B1849" t="s">
        <v>1877</v>
      </c>
    </row>
    <row r="1850" spans="1:2">
      <c r="A1850" t="s">
        <v>6</v>
      </c>
      <c r="B1850" t="s">
        <v>1878</v>
      </c>
    </row>
    <row r="1851" spans="1:2">
      <c r="A1851" t="s">
        <v>6</v>
      </c>
      <c r="B1851" t="s">
        <v>1879</v>
      </c>
    </row>
    <row r="1852" spans="1:2">
      <c r="A1852" t="s">
        <v>6</v>
      </c>
      <c r="B1852" t="s">
        <v>1880</v>
      </c>
    </row>
    <row r="1853" spans="1:2">
      <c r="A1853" t="s">
        <v>6</v>
      </c>
      <c r="B1853" t="s">
        <v>1881</v>
      </c>
    </row>
    <row r="1854" spans="1:2">
      <c r="A1854" t="s">
        <v>18</v>
      </c>
      <c r="B1854" t="s">
        <v>1882</v>
      </c>
    </row>
    <row r="1855" spans="1:2">
      <c r="A1855" t="s">
        <v>6</v>
      </c>
      <c r="B1855" t="s">
        <v>1883</v>
      </c>
    </row>
    <row r="1856" spans="1:2">
      <c r="A1856" t="s">
        <v>48</v>
      </c>
      <c r="B1856" t="s">
        <v>1884</v>
      </c>
    </row>
    <row r="1857" spans="1:2">
      <c r="A1857" t="s">
        <v>14</v>
      </c>
      <c r="B1857" t="s">
        <v>1885</v>
      </c>
    </row>
    <row r="1858" spans="1:2">
      <c r="A1858" t="s">
        <v>6</v>
      </c>
      <c r="B1858" t="s">
        <v>1886</v>
      </c>
    </row>
    <row r="1859" spans="1:2">
      <c r="A1859" t="s">
        <v>56</v>
      </c>
      <c r="B1859" t="s">
        <v>1887</v>
      </c>
    </row>
    <row r="1860" spans="1:2">
      <c r="A1860" t="s">
        <v>6</v>
      </c>
      <c r="B1860" t="s">
        <v>1888</v>
      </c>
    </row>
    <row r="1861" spans="1:2">
      <c r="A1861" t="s">
        <v>56</v>
      </c>
      <c r="B1861" t="s">
        <v>1889</v>
      </c>
    </row>
    <row r="1862" spans="1:2">
      <c r="A1862" t="s">
        <v>33</v>
      </c>
      <c r="B1862" t="s">
        <v>1890</v>
      </c>
    </row>
    <row r="1863" spans="1:2">
      <c r="A1863" t="s">
        <v>68</v>
      </c>
      <c r="B1863" t="s">
        <v>1891</v>
      </c>
    </row>
    <row r="1864" spans="1:2">
      <c r="A1864" t="s">
        <v>8</v>
      </c>
      <c r="B1864" t="s">
        <v>1892</v>
      </c>
    </row>
    <row r="1865" spans="1:2">
      <c r="A1865" s="1">
        <v>41154</v>
      </c>
      <c r="B1865" t="s">
        <v>1893</v>
      </c>
    </row>
    <row r="1866" spans="1:2">
      <c r="A1866" t="s">
        <v>29</v>
      </c>
      <c r="B1866" t="s">
        <v>1894</v>
      </c>
    </row>
    <row r="1867" spans="1:2">
      <c r="A1867" t="s">
        <v>882</v>
      </c>
      <c r="B1867" t="s">
        <v>1895</v>
      </c>
    </row>
    <row r="1868" spans="1:2">
      <c r="A1868" t="s">
        <v>6</v>
      </c>
      <c r="B1868" t="s">
        <v>1896</v>
      </c>
    </row>
    <row r="1869" spans="1:2">
      <c r="A1869" t="s">
        <v>20</v>
      </c>
      <c r="B1869" t="s">
        <v>1897</v>
      </c>
    </row>
    <row r="1870" spans="1:2">
      <c r="A1870" t="s">
        <v>344</v>
      </c>
      <c r="B1870" t="s">
        <v>1898</v>
      </c>
    </row>
    <row r="1871" spans="1:2">
      <c r="A1871" t="s">
        <v>56</v>
      </c>
      <c r="B1871" t="s">
        <v>1899</v>
      </c>
    </row>
    <row r="1872" spans="1:2">
      <c r="A1872" t="s">
        <v>191</v>
      </c>
      <c r="B1872" t="s">
        <v>1503</v>
      </c>
    </row>
    <row r="1873" spans="1:2">
      <c r="A1873" t="s">
        <v>137</v>
      </c>
      <c r="B1873" t="s">
        <v>1900</v>
      </c>
    </row>
    <row r="1874" spans="1:2">
      <c r="A1874" t="s">
        <v>114</v>
      </c>
      <c r="B1874" t="s">
        <v>1901</v>
      </c>
    </row>
    <row r="1875" spans="1:2">
      <c r="A1875" t="s">
        <v>56</v>
      </c>
      <c r="B1875" t="s">
        <v>1902</v>
      </c>
    </row>
    <row r="1876" spans="1:2">
      <c r="A1876" t="s">
        <v>6</v>
      </c>
      <c r="B1876" t="s">
        <v>1903</v>
      </c>
    </row>
    <row r="1877" spans="1:2">
      <c r="A1877" t="s">
        <v>153</v>
      </c>
      <c r="B1877" t="s">
        <v>1904</v>
      </c>
    </row>
    <row r="1878" spans="1:2">
      <c r="A1878" t="s">
        <v>6</v>
      </c>
      <c r="B1878" t="s">
        <v>1905</v>
      </c>
    </row>
    <row r="1879" spans="1:2">
      <c r="A1879" s="1">
        <v>41159</v>
      </c>
      <c r="B1879" t="s">
        <v>1906</v>
      </c>
    </row>
    <row r="1880" spans="1:2">
      <c r="A1880" t="s">
        <v>134</v>
      </c>
      <c r="B1880" t="s">
        <v>1907</v>
      </c>
    </row>
    <row r="1881" spans="1:2">
      <c r="A1881" t="s">
        <v>46</v>
      </c>
      <c r="B1881" t="s">
        <v>1908</v>
      </c>
    </row>
    <row r="1882" spans="1:2">
      <c r="A1882" t="s">
        <v>6</v>
      </c>
      <c r="B1882" t="s">
        <v>1909</v>
      </c>
    </row>
    <row r="1883" spans="1:2">
      <c r="A1883" t="s">
        <v>56</v>
      </c>
      <c r="B1883" t="s">
        <v>1910</v>
      </c>
    </row>
    <row r="1884" spans="1:2">
      <c r="A1884" t="s">
        <v>8</v>
      </c>
      <c r="B1884" t="s">
        <v>1911</v>
      </c>
    </row>
    <row r="1885" spans="1:2">
      <c r="A1885" t="s">
        <v>6</v>
      </c>
      <c r="B1885" t="s">
        <v>1912</v>
      </c>
    </row>
    <row r="1886" spans="1:2">
      <c r="A1886" t="s">
        <v>6</v>
      </c>
      <c r="B1886" t="s">
        <v>1913</v>
      </c>
    </row>
    <row r="1887" spans="1:2">
      <c r="A1887" t="s">
        <v>6</v>
      </c>
      <c r="B1887" t="s">
        <v>1914</v>
      </c>
    </row>
    <row r="1888" spans="1:2">
      <c r="A1888" t="s">
        <v>18</v>
      </c>
      <c r="B1888" t="s">
        <v>112</v>
      </c>
    </row>
    <row r="1889" spans="1:2">
      <c r="A1889" t="s">
        <v>309</v>
      </c>
      <c r="B1889" t="s">
        <v>1915</v>
      </c>
    </row>
    <row r="1890" spans="1:2">
      <c r="A1890" t="s">
        <v>68</v>
      </c>
      <c r="B1890" t="s">
        <v>1916</v>
      </c>
    </row>
    <row r="1891" spans="1:2">
      <c r="A1891" t="s">
        <v>68</v>
      </c>
      <c r="B1891" t="s">
        <v>1917</v>
      </c>
    </row>
    <row r="1892" spans="1:2">
      <c r="A1892" t="s">
        <v>46</v>
      </c>
      <c r="B1892" t="s">
        <v>1918</v>
      </c>
    </row>
    <row r="1893" spans="1:2">
      <c r="A1893" t="s">
        <v>6</v>
      </c>
      <c r="B1893" t="s">
        <v>1919</v>
      </c>
    </row>
    <row r="1894" spans="1:2">
      <c r="A1894" t="s">
        <v>8</v>
      </c>
      <c r="B1894" t="s">
        <v>1920</v>
      </c>
    </row>
    <row r="1895" spans="1:2">
      <c r="A1895" t="s">
        <v>6</v>
      </c>
      <c r="B1895" t="s">
        <v>1921</v>
      </c>
    </row>
    <row r="1896" spans="1:2">
      <c r="A1896" t="s">
        <v>6</v>
      </c>
      <c r="B1896" t="s">
        <v>1922</v>
      </c>
    </row>
    <row r="1897" spans="1:2">
      <c r="A1897" t="s">
        <v>56</v>
      </c>
      <c r="B1897" t="s">
        <v>1923</v>
      </c>
    </row>
    <row r="1898" spans="1:2">
      <c r="A1898" t="s">
        <v>18</v>
      </c>
      <c r="B1898" t="s">
        <v>1924</v>
      </c>
    </row>
    <row r="1899" spans="1:2">
      <c r="A1899" t="s">
        <v>6</v>
      </c>
      <c r="B1899" t="s">
        <v>1925</v>
      </c>
    </row>
    <row r="1900" spans="1:2">
      <c r="A1900" t="s">
        <v>6</v>
      </c>
      <c r="B1900" t="s">
        <v>1926</v>
      </c>
    </row>
    <row r="1901" spans="1:2">
      <c r="A1901" t="s">
        <v>18</v>
      </c>
      <c r="B1901" t="s">
        <v>1927</v>
      </c>
    </row>
    <row r="1902" spans="1:2">
      <c r="A1902" t="s">
        <v>112</v>
      </c>
      <c r="B1902" t="s">
        <v>1928</v>
      </c>
    </row>
    <row r="1903" spans="1:2">
      <c r="A1903" t="s">
        <v>18</v>
      </c>
      <c r="B1903" t="s">
        <v>1929</v>
      </c>
    </row>
    <row r="1904" spans="1:2">
      <c r="A1904" t="s">
        <v>22</v>
      </c>
      <c r="B1904" t="s">
        <v>1930</v>
      </c>
    </row>
    <row r="1905" spans="1:2">
      <c r="A1905" t="s">
        <v>71</v>
      </c>
      <c r="B1905" t="s">
        <v>1931</v>
      </c>
    </row>
    <row r="1906" spans="1:2">
      <c r="A1906" t="s">
        <v>18</v>
      </c>
      <c r="B1906" t="s">
        <v>1932</v>
      </c>
    </row>
    <row r="1907" spans="1:2">
      <c r="A1907" t="s">
        <v>77</v>
      </c>
      <c r="B1907" t="s">
        <v>1933</v>
      </c>
    </row>
    <row r="1908" spans="1:2">
      <c r="A1908" t="s">
        <v>18</v>
      </c>
      <c r="B1908" t="s">
        <v>114</v>
      </c>
    </row>
    <row r="1909" spans="1:2">
      <c r="A1909" t="s">
        <v>48</v>
      </c>
      <c r="B1909" t="s">
        <v>1934</v>
      </c>
    </row>
    <row r="1910" spans="1:2">
      <c r="A1910" t="s">
        <v>329</v>
      </c>
      <c r="B1910" t="s">
        <v>1935</v>
      </c>
    </row>
    <row r="1911" spans="1:2">
      <c r="A1911" t="s">
        <v>77</v>
      </c>
      <c r="B1911" t="s">
        <v>1936</v>
      </c>
    </row>
    <row r="1912" spans="1:2">
      <c r="A1912" t="s">
        <v>107</v>
      </c>
      <c r="B1912" t="s">
        <v>1937</v>
      </c>
    </row>
    <row r="1913" spans="1:2">
      <c r="A1913" t="s">
        <v>2</v>
      </c>
      <c r="B1913" t="s">
        <v>1938</v>
      </c>
    </row>
    <row r="1914" spans="1:2">
      <c r="A1914" t="s">
        <v>6</v>
      </c>
      <c r="B1914" t="s">
        <v>1939</v>
      </c>
    </row>
    <row r="1915" spans="1:2">
      <c r="A1915" t="s">
        <v>18</v>
      </c>
      <c r="B1915" t="s">
        <v>1940</v>
      </c>
    </row>
    <row r="1916" spans="1:2">
      <c r="A1916" t="s">
        <v>6</v>
      </c>
      <c r="B1916" t="s">
        <v>1941</v>
      </c>
    </row>
    <row r="1917" spans="1:2">
      <c r="A1917" t="s">
        <v>1942</v>
      </c>
      <c r="B1917" t="s">
        <v>1943</v>
      </c>
    </row>
    <row r="1918" spans="1:2">
      <c r="A1918" t="s">
        <v>1503</v>
      </c>
      <c r="B1918" t="s">
        <v>1944</v>
      </c>
    </row>
    <row r="1919" spans="1:2">
      <c r="A1919" t="s">
        <v>6</v>
      </c>
      <c r="B1919" t="s">
        <v>1945</v>
      </c>
    </row>
    <row r="1920" spans="1:2">
      <c r="A1920" t="s">
        <v>50</v>
      </c>
      <c r="B1920" t="s">
        <v>1946</v>
      </c>
    </row>
    <row r="1921" spans="1:2">
      <c r="A1921" t="s">
        <v>48</v>
      </c>
      <c r="B1921" t="s">
        <v>1947</v>
      </c>
    </row>
    <row r="1922" spans="1:2">
      <c r="A1922" t="s">
        <v>39</v>
      </c>
      <c r="B1922" t="s">
        <v>1948</v>
      </c>
    </row>
    <row r="1923" spans="1:2">
      <c r="A1923" t="s">
        <v>18</v>
      </c>
      <c r="B1923" t="s">
        <v>1949</v>
      </c>
    </row>
    <row r="1924" spans="1:2">
      <c r="A1924" t="s">
        <v>18</v>
      </c>
      <c r="B1924" t="s">
        <v>1950</v>
      </c>
    </row>
    <row r="1925" spans="1:2">
      <c r="A1925" t="s">
        <v>154</v>
      </c>
      <c r="B1925" t="s">
        <v>1951</v>
      </c>
    </row>
    <row r="1926" spans="1:2">
      <c r="A1926" t="s">
        <v>29</v>
      </c>
      <c r="B1926" t="s">
        <v>1952</v>
      </c>
    </row>
    <row r="1927" spans="1:2">
      <c r="A1927" t="s">
        <v>18</v>
      </c>
      <c r="B1927" t="s">
        <v>1953</v>
      </c>
    </row>
    <row r="1928" spans="1:2">
      <c r="A1928" t="s">
        <v>18</v>
      </c>
      <c r="B1928" t="s">
        <v>934</v>
      </c>
    </row>
    <row r="1929" spans="1:2">
      <c r="A1929" t="s">
        <v>6</v>
      </c>
      <c r="B1929" t="s">
        <v>1954</v>
      </c>
    </row>
    <row r="1930" spans="1:2">
      <c r="A1930" t="s">
        <v>29</v>
      </c>
      <c r="B1930" t="s">
        <v>1955</v>
      </c>
    </row>
    <row r="1931" spans="1:2">
      <c r="A1931" t="s">
        <v>56</v>
      </c>
      <c r="B1931" t="s">
        <v>1956</v>
      </c>
    </row>
    <row r="1932" spans="1:2">
      <c r="A1932" t="s">
        <v>6</v>
      </c>
      <c r="B1932" t="s">
        <v>1957</v>
      </c>
    </row>
    <row r="1933" spans="1:2">
      <c r="A1933" t="s">
        <v>56</v>
      </c>
      <c r="B1933" t="s">
        <v>1958</v>
      </c>
    </row>
    <row r="1934" spans="1:2">
      <c r="A1934" t="s">
        <v>18</v>
      </c>
      <c r="B1934" t="s">
        <v>1959</v>
      </c>
    </row>
    <row r="1935" spans="1:2">
      <c r="A1935" t="s">
        <v>6</v>
      </c>
      <c r="B1935" t="s">
        <v>685</v>
      </c>
    </row>
    <row r="1936" spans="1:2">
      <c r="A1936" t="s">
        <v>758</v>
      </c>
      <c r="B1936" t="s">
        <v>1960</v>
      </c>
    </row>
    <row r="1937" spans="1:2">
      <c r="A1937" t="s">
        <v>6</v>
      </c>
      <c r="B1937" t="s">
        <v>1961</v>
      </c>
    </row>
    <row r="1938" spans="1:2">
      <c r="A1938" t="s">
        <v>758</v>
      </c>
      <c r="B1938" t="s">
        <v>1962</v>
      </c>
    </row>
    <row r="1939" spans="1:2">
      <c r="A1939" t="s">
        <v>6</v>
      </c>
      <c r="B1939" t="s">
        <v>1963</v>
      </c>
    </row>
    <row r="1940" spans="1:2">
      <c r="A1940" t="s">
        <v>112</v>
      </c>
      <c r="B1940" t="s">
        <v>1964</v>
      </c>
    </row>
    <row r="1941" spans="1:2">
      <c r="A1941" t="s">
        <v>6</v>
      </c>
      <c r="B1941" t="s">
        <v>1965</v>
      </c>
    </row>
    <row r="1942" spans="1:2">
      <c r="A1942" t="s">
        <v>83</v>
      </c>
      <c r="B1942" t="s">
        <v>1966</v>
      </c>
    </row>
    <row r="1943" spans="1:2">
      <c r="A1943" t="s">
        <v>6</v>
      </c>
      <c r="B1943" t="s">
        <v>1967</v>
      </c>
    </row>
    <row r="1944" spans="1:2">
      <c r="A1944" t="s">
        <v>288</v>
      </c>
      <c r="B1944" t="s">
        <v>129</v>
      </c>
    </row>
    <row r="1945" spans="1:2">
      <c r="A1945" t="s">
        <v>507</v>
      </c>
      <c r="B1945" t="s">
        <v>1968</v>
      </c>
    </row>
    <row r="1946" spans="1:2">
      <c r="A1946" t="s">
        <v>18</v>
      </c>
      <c r="B1946" t="s">
        <v>1969</v>
      </c>
    </row>
    <row r="1947" spans="1:2">
      <c r="A1947" t="s">
        <v>20</v>
      </c>
      <c r="B1947" t="s">
        <v>1970</v>
      </c>
    </row>
    <row r="1948" spans="1:2">
      <c r="A1948" t="s">
        <v>6</v>
      </c>
      <c r="B1948" t="s">
        <v>1971</v>
      </c>
    </row>
    <row r="1949" spans="1:2">
      <c r="A1949" t="s">
        <v>18</v>
      </c>
      <c r="B1949" t="s">
        <v>137</v>
      </c>
    </row>
    <row r="1950" spans="1:2">
      <c r="A1950" t="s">
        <v>33</v>
      </c>
      <c r="B1950" t="s">
        <v>1972</v>
      </c>
    </row>
    <row r="1951" spans="1:2">
      <c r="A1951" t="s">
        <v>39</v>
      </c>
      <c r="B1951" t="s">
        <v>1973</v>
      </c>
    </row>
    <row r="1952" spans="1:2">
      <c r="A1952" t="s">
        <v>6</v>
      </c>
      <c r="B1952" t="s">
        <v>1974</v>
      </c>
    </row>
    <row r="1953" spans="1:2">
      <c r="A1953" t="s">
        <v>68</v>
      </c>
      <c r="B1953" t="s">
        <v>1975</v>
      </c>
    </row>
    <row r="1954" spans="1:2">
      <c r="A1954" t="s">
        <v>14</v>
      </c>
      <c r="B1954" t="s">
        <v>1942</v>
      </c>
    </row>
    <row r="1955" spans="1:2">
      <c r="A1955" t="s">
        <v>288</v>
      </c>
      <c r="B1955" t="s">
        <v>1976</v>
      </c>
    </row>
    <row r="1956" spans="1:2">
      <c r="A1956" t="s">
        <v>6</v>
      </c>
      <c r="B1956" t="s">
        <v>1977</v>
      </c>
    </row>
    <row r="1957" spans="1:2">
      <c r="A1957" t="s">
        <v>6</v>
      </c>
      <c r="B1957" t="s">
        <v>1978</v>
      </c>
    </row>
    <row r="1958" spans="1:2">
      <c r="A1958" t="s">
        <v>18</v>
      </c>
      <c r="B1958" t="s">
        <v>1979</v>
      </c>
    </row>
    <row r="1959" spans="1:2">
      <c r="A1959" t="s">
        <v>6</v>
      </c>
      <c r="B1959" t="s">
        <v>1980</v>
      </c>
    </row>
    <row r="1960" spans="1:2">
      <c r="A1960" t="s">
        <v>56</v>
      </c>
      <c r="B1960" t="s">
        <v>1981</v>
      </c>
    </row>
    <row r="1961" spans="1:2">
      <c r="A1961" t="s">
        <v>56</v>
      </c>
      <c r="B1961" t="s">
        <v>1982</v>
      </c>
    </row>
    <row r="1962" spans="1:2">
      <c r="A1962" t="s">
        <v>14</v>
      </c>
      <c r="B1962" t="s">
        <v>1679</v>
      </c>
    </row>
    <row r="1963" spans="1:2">
      <c r="A1963" t="s">
        <v>8</v>
      </c>
      <c r="B1963" t="s">
        <v>1983</v>
      </c>
    </row>
    <row r="1964" spans="1:2">
      <c r="A1964" t="s">
        <v>14</v>
      </c>
      <c r="B1964" t="s">
        <v>212</v>
      </c>
    </row>
    <row r="1965" spans="1:2">
      <c r="A1965" t="s">
        <v>6</v>
      </c>
      <c r="B1965" t="s">
        <v>1984</v>
      </c>
    </row>
    <row r="1966" spans="1:2">
      <c r="A1966" t="s">
        <v>77</v>
      </c>
      <c r="B1966" t="s">
        <v>1985</v>
      </c>
    </row>
    <row r="1967" spans="1:2">
      <c r="A1967" t="s">
        <v>105</v>
      </c>
      <c r="B1967" t="s">
        <v>1986</v>
      </c>
    </row>
    <row r="1968" spans="1:2">
      <c r="A1968" t="s">
        <v>18</v>
      </c>
      <c r="B1968" t="s">
        <v>1987</v>
      </c>
    </row>
    <row r="1969" spans="1:2">
      <c r="A1969" t="s">
        <v>50</v>
      </c>
      <c r="B1969" t="s">
        <v>1988</v>
      </c>
    </row>
    <row r="1970" spans="1:2">
      <c r="A1970" t="s">
        <v>39</v>
      </c>
      <c r="B1970" t="s">
        <v>1989</v>
      </c>
    </row>
    <row r="1971" spans="1:2">
      <c r="A1971" t="s">
        <v>56</v>
      </c>
      <c r="B1971" t="s">
        <v>889</v>
      </c>
    </row>
    <row r="1972" spans="1:2">
      <c r="A1972" t="s">
        <v>68</v>
      </c>
      <c r="B1972" t="s">
        <v>1990</v>
      </c>
    </row>
    <row r="1973" spans="1:2">
      <c r="A1973" t="s">
        <v>6</v>
      </c>
      <c r="B1973" t="s">
        <v>1991</v>
      </c>
    </row>
    <row r="1974" spans="1:2">
      <c r="A1974" t="s">
        <v>12</v>
      </c>
      <c r="B1974" t="s">
        <v>1992</v>
      </c>
    </row>
    <row r="1975" spans="1:2">
      <c r="A1975" t="s">
        <v>112</v>
      </c>
      <c r="B1975" t="s">
        <v>1993</v>
      </c>
    </row>
    <row r="1976" spans="1:2">
      <c r="A1976" t="s">
        <v>18</v>
      </c>
      <c r="B1976" t="s">
        <v>1994</v>
      </c>
    </row>
    <row r="1977" spans="1:2">
      <c r="A1977" t="s">
        <v>14</v>
      </c>
      <c r="B1977" t="s">
        <v>2</v>
      </c>
    </row>
    <row r="1978" spans="1:2">
      <c r="A1978" t="s">
        <v>8</v>
      </c>
      <c r="B1978" t="s">
        <v>1995</v>
      </c>
    </row>
    <row r="1979" spans="1:2">
      <c r="A1979" t="s">
        <v>56</v>
      </c>
      <c r="B1979" t="s">
        <v>1996</v>
      </c>
    </row>
    <row r="1980" spans="1:2">
      <c r="A1980" t="s">
        <v>18</v>
      </c>
      <c r="B1980" t="s">
        <v>1997</v>
      </c>
    </row>
    <row r="1981" spans="1:2">
      <c r="A1981" t="s">
        <v>6</v>
      </c>
      <c r="B1981" t="s">
        <v>1998</v>
      </c>
    </row>
    <row r="1982" spans="1:2">
      <c r="A1982" t="s">
        <v>6</v>
      </c>
      <c r="B1982" t="s">
        <v>1999</v>
      </c>
    </row>
    <row r="1983" spans="1:2">
      <c r="A1983" t="s">
        <v>50</v>
      </c>
      <c r="B1983" t="s">
        <v>2000</v>
      </c>
    </row>
    <row r="1984" spans="1:2">
      <c r="A1984" t="s">
        <v>48</v>
      </c>
      <c r="B1984" t="s">
        <v>2001</v>
      </c>
    </row>
    <row r="1985" spans="1:2">
      <c r="A1985" t="s">
        <v>18</v>
      </c>
      <c r="B1985" t="s">
        <v>344</v>
      </c>
    </row>
    <row r="1986" spans="1:2">
      <c r="A1986" t="s">
        <v>428</v>
      </c>
      <c r="B1986" t="s">
        <v>2002</v>
      </c>
    </row>
    <row r="1987" spans="1:2">
      <c r="A1987" t="s">
        <v>1485</v>
      </c>
      <c r="B1987" t="s">
        <v>2003</v>
      </c>
    </row>
    <row r="1988" spans="1:2">
      <c r="A1988" t="s">
        <v>71</v>
      </c>
      <c r="B1988" t="s">
        <v>2004</v>
      </c>
    </row>
    <row r="1989" spans="1:2">
      <c r="A1989" t="s">
        <v>68</v>
      </c>
      <c r="B1989" t="s">
        <v>2005</v>
      </c>
    </row>
    <row r="1990" spans="1:2">
      <c r="A1990" t="s">
        <v>6</v>
      </c>
      <c r="B1990" t="s">
        <v>2006</v>
      </c>
    </row>
    <row r="1991" spans="1:2">
      <c r="A1991" t="s">
        <v>6</v>
      </c>
      <c r="B1991" t="s">
        <v>2007</v>
      </c>
    </row>
    <row r="1992" spans="1:2">
      <c r="A1992" t="s">
        <v>615</v>
      </c>
      <c r="B1992" t="s">
        <v>2008</v>
      </c>
    </row>
    <row r="1993" spans="1:2">
      <c r="A1993" t="s">
        <v>6</v>
      </c>
      <c r="B1993" t="s">
        <v>2009</v>
      </c>
    </row>
    <row r="1994" spans="1:2">
      <c r="A1994" t="s">
        <v>20</v>
      </c>
      <c r="B1994" t="s">
        <v>2010</v>
      </c>
    </row>
    <row r="1995" spans="1:2">
      <c r="A1995" t="s">
        <v>18</v>
      </c>
      <c r="B1995" t="s">
        <v>2011</v>
      </c>
    </row>
    <row r="1996" spans="1:2">
      <c r="A1996" t="s">
        <v>156</v>
      </c>
      <c r="B1996" t="s">
        <v>2012</v>
      </c>
    </row>
    <row r="1997" spans="1:2">
      <c r="A1997" t="s">
        <v>33</v>
      </c>
      <c r="B1997" t="s">
        <v>2013</v>
      </c>
    </row>
    <row r="1998" spans="1:2">
      <c r="A1998" t="s">
        <v>6</v>
      </c>
      <c r="B1998" t="s">
        <v>2014</v>
      </c>
    </row>
    <row r="1999" spans="1:2">
      <c r="A1999" t="s">
        <v>6</v>
      </c>
      <c r="B1999" t="s">
        <v>2015</v>
      </c>
    </row>
    <row r="2000" spans="1:2">
      <c r="A2000" t="s">
        <v>48</v>
      </c>
      <c r="B2000" t="s">
        <v>2016</v>
      </c>
    </row>
    <row r="2001" spans="1:2">
      <c r="A2001" t="s">
        <v>29</v>
      </c>
      <c r="B2001" t="s">
        <v>2017</v>
      </c>
    </row>
    <row r="2002" spans="1:2">
      <c r="A2002" t="s">
        <v>6</v>
      </c>
      <c r="B2002" t="s">
        <v>2018</v>
      </c>
    </row>
    <row r="2003" spans="1:2">
      <c r="A2003" t="s">
        <v>42</v>
      </c>
      <c r="B2003" t="s">
        <v>2019</v>
      </c>
    </row>
    <row r="2004" spans="1:2">
      <c r="A2004" t="s">
        <v>103</v>
      </c>
      <c r="B2004" t="s">
        <v>2020</v>
      </c>
    </row>
    <row r="2005" spans="1:2">
      <c r="A2005" t="s">
        <v>46</v>
      </c>
      <c r="B2005" t="s">
        <v>2021</v>
      </c>
    </row>
    <row r="2006" spans="1:2">
      <c r="A2006" t="s">
        <v>6</v>
      </c>
      <c r="B2006" t="s">
        <v>2022</v>
      </c>
    </row>
    <row r="2007" spans="1:2">
      <c r="A2007" t="s">
        <v>241</v>
      </c>
      <c r="B2007" t="s">
        <v>2023</v>
      </c>
    </row>
    <row r="2008" spans="1:2">
      <c r="A2008" t="s">
        <v>12</v>
      </c>
      <c r="B2008" t="s">
        <v>2024</v>
      </c>
    </row>
    <row r="2009" spans="1:2">
      <c r="A2009" t="s">
        <v>6</v>
      </c>
      <c r="B2009" t="s">
        <v>2025</v>
      </c>
    </row>
    <row r="2010" spans="1:2">
      <c r="A2010" t="s">
        <v>12</v>
      </c>
      <c r="B2010" t="s">
        <v>2026</v>
      </c>
    </row>
    <row r="2011" spans="1:2">
      <c r="A2011" t="s">
        <v>6</v>
      </c>
      <c r="B2011" t="s">
        <v>2027</v>
      </c>
    </row>
    <row r="2012" spans="1:2">
      <c r="A2012" t="s">
        <v>105</v>
      </c>
      <c r="B2012" t="s">
        <v>2028</v>
      </c>
    </row>
    <row r="2013" spans="1:2">
      <c r="A2013" t="s">
        <v>29</v>
      </c>
      <c r="B2013" t="s">
        <v>2029</v>
      </c>
    </row>
    <row r="2014" spans="1:2">
      <c r="A2014" t="s">
        <v>42</v>
      </c>
      <c r="B2014" t="s">
        <v>2030</v>
      </c>
    </row>
    <row r="2015" spans="1:2">
      <c r="A2015" t="s">
        <v>6</v>
      </c>
      <c r="B2015" t="s">
        <v>2031</v>
      </c>
    </row>
    <row r="2016" spans="1:2">
      <c r="A2016" t="s">
        <v>14</v>
      </c>
      <c r="B2016" t="s">
        <v>2032</v>
      </c>
    </row>
    <row r="2017" spans="1:2">
      <c r="A2017" t="s">
        <v>6</v>
      </c>
      <c r="B2017" t="s">
        <v>2033</v>
      </c>
    </row>
    <row r="2018" spans="1:2">
      <c r="A2018" t="s">
        <v>77</v>
      </c>
      <c r="B2018" t="s">
        <v>2034</v>
      </c>
    </row>
    <row r="2019" spans="1:2">
      <c r="A2019" t="s">
        <v>6</v>
      </c>
      <c r="B2019" t="s">
        <v>2035</v>
      </c>
    </row>
    <row r="2020" spans="1:2">
      <c r="A2020" t="s">
        <v>1177</v>
      </c>
      <c r="B2020" t="s">
        <v>107</v>
      </c>
    </row>
    <row r="2021" spans="1:2">
      <c r="A2021" t="s">
        <v>6</v>
      </c>
      <c r="B2021" t="s">
        <v>2036</v>
      </c>
    </row>
    <row r="2022" spans="1:2">
      <c r="A2022" t="s">
        <v>6</v>
      </c>
      <c r="B2022" t="s">
        <v>2037</v>
      </c>
    </row>
    <row r="2023" spans="1:2">
      <c r="A2023" t="s">
        <v>33</v>
      </c>
      <c r="B2023" t="s">
        <v>2038</v>
      </c>
    </row>
    <row r="2024" spans="1:2">
      <c r="A2024" t="s">
        <v>6</v>
      </c>
      <c r="B2024" t="s">
        <v>2039</v>
      </c>
    </row>
    <row r="2025" spans="1:2">
      <c r="A2025" t="s">
        <v>6</v>
      </c>
      <c r="B2025" t="s">
        <v>2040</v>
      </c>
    </row>
    <row r="2026" spans="1:2">
      <c r="A2026" t="s">
        <v>18</v>
      </c>
      <c r="B2026" t="s">
        <v>2041</v>
      </c>
    </row>
    <row r="2027" spans="1:2">
      <c r="A2027" t="s">
        <v>29</v>
      </c>
      <c r="B2027" t="s">
        <v>2042</v>
      </c>
    </row>
    <row r="2028" spans="1:2">
      <c r="A2028" t="s">
        <v>6</v>
      </c>
      <c r="B2028" t="s">
        <v>2043</v>
      </c>
    </row>
    <row r="2029" spans="1:2">
      <c r="A2029" t="s">
        <v>71</v>
      </c>
      <c r="B2029" t="s">
        <v>2044</v>
      </c>
    </row>
    <row r="2030" spans="1:2">
      <c r="A2030" t="s">
        <v>8</v>
      </c>
      <c r="B2030" t="s">
        <v>2045</v>
      </c>
    </row>
    <row r="2031" spans="1:2">
      <c r="A2031" t="s">
        <v>48</v>
      </c>
      <c r="B2031" t="s">
        <v>2046</v>
      </c>
    </row>
    <row r="2032" spans="1:2">
      <c r="A2032" t="s">
        <v>6</v>
      </c>
      <c r="B2032" t="s">
        <v>2047</v>
      </c>
    </row>
    <row r="2033" spans="1:2">
      <c r="A2033" t="s">
        <v>112</v>
      </c>
      <c r="B2033" t="s">
        <v>2048</v>
      </c>
    </row>
    <row r="2034" spans="1:2">
      <c r="A2034" t="s">
        <v>754</v>
      </c>
      <c r="B2034" t="s">
        <v>2049</v>
      </c>
    </row>
    <row r="2035" spans="1:2">
      <c r="A2035" t="s">
        <v>18</v>
      </c>
      <c r="B2035" t="s">
        <v>50</v>
      </c>
    </row>
    <row r="2036" spans="1:2">
      <c r="A2036" t="s">
        <v>68</v>
      </c>
      <c r="B2036" t="s">
        <v>2050</v>
      </c>
    </row>
    <row r="2037" spans="1:2">
      <c r="A2037" t="s">
        <v>53</v>
      </c>
      <c r="B2037" t="s">
        <v>2051</v>
      </c>
    </row>
    <row r="2038" spans="1:2">
      <c r="A2038" t="s">
        <v>105</v>
      </c>
      <c r="B2038" t="s">
        <v>2052</v>
      </c>
    </row>
    <row r="2039" spans="1:2">
      <c r="A2039" t="s">
        <v>56</v>
      </c>
      <c r="B2039" t="s">
        <v>2053</v>
      </c>
    </row>
    <row r="2040" spans="1:2">
      <c r="A2040" t="s">
        <v>42</v>
      </c>
      <c r="B2040" t="s">
        <v>2054</v>
      </c>
    </row>
    <row r="2041" spans="1:2">
      <c r="A2041" t="s">
        <v>628</v>
      </c>
      <c r="B2041" t="s">
        <v>2055</v>
      </c>
    </row>
    <row r="2042" spans="1:2">
      <c r="A2042" t="s">
        <v>191</v>
      </c>
      <c r="B2042" t="s">
        <v>2056</v>
      </c>
    </row>
    <row r="2043" spans="1:2">
      <c r="A2043" t="s">
        <v>399</v>
      </c>
      <c r="B2043" t="s">
        <v>2057</v>
      </c>
    </row>
    <row r="2044" spans="1:2">
      <c r="A2044" t="s">
        <v>107</v>
      </c>
      <c r="B2044" t="s">
        <v>2058</v>
      </c>
    </row>
    <row r="2045" spans="1:2">
      <c r="A2045" t="s">
        <v>6</v>
      </c>
      <c r="B2045" t="s">
        <v>2059</v>
      </c>
    </row>
    <row r="2046" spans="1:2">
      <c r="A2046" t="s">
        <v>6</v>
      </c>
      <c r="B2046" t="s">
        <v>2060</v>
      </c>
    </row>
    <row r="2047" spans="1:2">
      <c r="A2047" t="s">
        <v>154</v>
      </c>
      <c r="B2047" t="s">
        <v>2061</v>
      </c>
    </row>
    <row r="2048" spans="1:2">
      <c r="A2048" t="s">
        <v>83</v>
      </c>
      <c r="B2048" t="s">
        <v>2062</v>
      </c>
    </row>
    <row r="2049" spans="1:2">
      <c r="A2049" t="s">
        <v>68</v>
      </c>
      <c r="B2049" t="s">
        <v>2063</v>
      </c>
    </row>
    <row r="2050" spans="1:2">
      <c r="A2050" t="s">
        <v>1503</v>
      </c>
      <c r="B2050" t="s">
        <v>2064</v>
      </c>
    </row>
    <row r="2051" spans="1:2">
      <c r="A2051" t="s">
        <v>6</v>
      </c>
      <c r="B2051" t="s">
        <v>2065</v>
      </c>
    </row>
    <row r="2052" spans="1:2">
      <c r="A2052" t="s">
        <v>856</v>
      </c>
      <c r="B2052" t="s">
        <v>71</v>
      </c>
    </row>
    <row r="2053" spans="1:2">
      <c r="A2053" t="s">
        <v>137</v>
      </c>
      <c r="B2053" t="s">
        <v>2066</v>
      </c>
    </row>
    <row r="2054" spans="1:2">
      <c r="A2054" t="s">
        <v>527</v>
      </c>
      <c r="B2054" t="s">
        <v>2067</v>
      </c>
    </row>
    <row r="2055" spans="1:2">
      <c r="A2055" t="s">
        <v>18</v>
      </c>
      <c r="B2055" t="s">
        <v>2068</v>
      </c>
    </row>
    <row r="2056" spans="1:2">
      <c r="A2056" t="s">
        <v>68</v>
      </c>
      <c r="B2056" t="s">
        <v>2069</v>
      </c>
    </row>
    <row r="2057" spans="1:2">
      <c r="A2057" t="s">
        <v>6</v>
      </c>
      <c r="B2057" t="s">
        <v>2070</v>
      </c>
    </row>
    <row r="2058" spans="1:2">
      <c r="A2058" t="s">
        <v>18</v>
      </c>
      <c r="B2058" t="s">
        <v>2071</v>
      </c>
    </row>
    <row r="2059" spans="1:2">
      <c r="A2059" t="s">
        <v>134</v>
      </c>
      <c r="B2059" t="s">
        <v>2072</v>
      </c>
    </row>
    <row r="2060" spans="1:2">
      <c r="A2060" t="s">
        <v>623</v>
      </c>
      <c r="B2060" t="s">
        <v>2073</v>
      </c>
    </row>
    <row r="2061" spans="1:2">
      <c r="A2061" t="s">
        <v>112</v>
      </c>
      <c r="B2061" t="s">
        <v>2074</v>
      </c>
    </row>
    <row r="2062" spans="1:2">
      <c r="A2062" t="s">
        <v>792</v>
      </c>
      <c r="B2062" t="s">
        <v>2075</v>
      </c>
    </row>
    <row r="2063" spans="1:2">
      <c r="A2063" t="s">
        <v>39</v>
      </c>
      <c r="B2063" t="s">
        <v>2076</v>
      </c>
    </row>
    <row r="2064" spans="1:2">
      <c r="A2064" t="s">
        <v>6</v>
      </c>
      <c r="B2064" t="s">
        <v>2077</v>
      </c>
    </row>
    <row r="2065" spans="1:2">
      <c r="A2065" t="s">
        <v>91</v>
      </c>
      <c r="B2065" t="s">
        <v>2078</v>
      </c>
    </row>
    <row r="2066" spans="1:2">
      <c r="A2066" t="s">
        <v>6</v>
      </c>
      <c r="B2066" t="s">
        <v>2079</v>
      </c>
    </row>
    <row r="2067" spans="1:2">
      <c r="A2067" t="s">
        <v>214</v>
      </c>
      <c r="B2067" t="s">
        <v>2080</v>
      </c>
    </row>
    <row r="2068" spans="1:2">
      <c r="A2068" t="s">
        <v>46</v>
      </c>
      <c r="B2068" t="s">
        <v>2081</v>
      </c>
    </row>
    <row r="2069" spans="1:2">
      <c r="A2069" t="s">
        <v>250</v>
      </c>
      <c r="B2069" t="s">
        <v>2082</v>
      </c>
    </row>
    <row r="2070" spans="1:2">
      <c r="A2070" t="s">
        <v>6</v>
      </c>
      <c r="B2070" t="s">
        <v>2083</v>
      </c>
    </row>
    <row r="2071" spans="1:2">
      <c r="A2071" t="s">
        <v>6</v>
      </c>
      <c r="B2071" t="s">
        <v>2084</v>
      </c>
    </row>
    <row r="2072" spans="1:2">
      <c r="A2072" t="s">
        <v>48</v>
      </c>
      <c r="B2072" t="s">
        <v>2085</v>
      </c>
    </row>
    <row r="2073" spans="1:2">
      <c r="A2073" t="s">
        <v>129</v>
      </c>
      <c r="B2073" t="s">
        <v>1561</v>
      </c>
    </row>
    <row r="2074" spans="1:2">
      <c r="A2074" t="s">
        <v>48</v>
      </c>
      <c r="B2074" t="s">
        <v>2086</v>
      </c>
    </row>
    <row r="2075" spans="1:2">
      <c r="A2075" t="s">
        <v>250</v>
      </c>
      <c r="B2075" t="s">
        <v>2087</v>
      </c>
    </row>
    <row r="2076" spans="1:2">
      <c r="A2076" t="s">
        <v>1177</v>
      </c>
      <c r="B2076" t="s">
        <v>33</v>
      </c>
    </row>
    <row r="2077" spans="1:2">
      <c r="A2077" t="s">
        <v>6</v>
      </c>
      <c r="B2077" t="s">
        <v>2088</v>
      </c>
    </row>
    <row r="2078" spans="1:2">
      <c r="A2078" t="s">
        <v>6</v>
      </c>
      <c r="B2078" t="s">
        <v>2089</v>
      </c>
    </row>
    <row r="2079" spans="1:2">
      <c r="A2079" t="s">
        <v>1686</v>
      </c>
      <c r="B2079" t="s">
        <v>2090</v>
      </c>
    </row>
    <row r="2080" spans="1:2">
      <c r="A2080" t="s">
        <v>6</v>
      </c>
      <c r="B2080" t="s">
        <v>2091</v>
      </c>
    </row>
    <row r="2081" spans="1:2">
      <c r="A2081" t="s">
        <v>6</v>
      </c>
      <c r="B2081" t="s">
        <v>2092</v>
      </c>
    </row>
    <row r="2082" spans="1:2">
      <c r="A2082" t="s">
        <v>6</v>
      </c>
      <c r="B2082" t="s">
        <v>2093</v>
      </c>
    </row>
    <row r="2083" spans="1:2">
      <c r="A2083" t="s">
        <v>39</v>
      </c>
      <c r="B2083" t="s">
        <v>2094</v>
      </c>
    </row>
    <row r="2084" spans="1:2">
      <c r="A2084" t="s">
        <v>6</v>
      </c>
      <c r="B2084" t="s">
        <v>2095</v>
      </c>
    </row>
    <row r="2085" spans="1:2">
      <c r="A2085" t="s">
        <v>6</v>
      </c>
      <c r="B2085" t="s">
        <v>2096</v>
      </c>
    </row>
    <row r="2086" spans="1:2">
      <c r="A2086" t="s">
        <v>68</v>
      </c>
      <c r="B2086" t="s">
        <v>2097</v>
      </c>
    </row>
    <row r="2087" spans="1:2">
      <c r="A2087" t="s">
        <v>46</v>
      </c>
      <c r="B2087" t="s">
        <v>2098</v>
      </c>
    </row>
    <row r="2088" spans="1:2">
      <c r="A2088" t="s">
        <v>1679</v>
      </c>
      <c r="B2088" t="s">
        <v>2099</v>
      </c>
    </row>
    <row r="2089" spans="1:2">
      <c r="A2089" t="s">
        <v>6</v>
      </c>
      <c r="B2089" t="s">
        <v>2100</v>
      </c>
    </row>
    <row r="2090" spans="1:2">
      <c r="A2090" t="s">
        <v>12</v>
      </c>
      <c r="B2090" t="s">
        <v>2101</v>
      </c>
    </row>
    <row r="2091" spans="1:2">
      <c r="A2091" t="s">
        <v>112</v>
      </c>
      <c r="B2091" t="s">
        <v>2102</v>
      </c>
    </row>
    <row r="2092" spans="1:2">
      <c r="A2092" t="s">
        <v>453</v>
      </c>
      <c r="B2092" t="s">
        <v>2103</v>
      </c>
    </row>
    <row r="2093" spans="1:2">
      <c r="A2093" t="s">
        <v>973</v>
      </c>
      <c r="B2093" t="s">
        <v>2104</v>
      </c>
    </row>
    <row r="2094" spans="1:2">
      <c r="A2094" t="s">
        <v>83</v>
      </c>
      <c r="B2094" t="s">
        <v>2105</v>
      </c>
    </row>
    <row r="2095" spans="1:2">
      <c r="A2095" t="s">
        <v>29</v>
      </c>
      <c r="B2095" t="s">
        <v>2106</v>
      </c>
    </row>
    <row r="2096" spans="1:2">
      <c r="A2096" t="s">
        <v>6</v>
      </c>
      <c r="B2096" t="s">
        <v>2107</v>
      </c>
    </row>
    <row r="2097" spans="1:2">
      <c r="A2097" t="s">
        <v>6</v>
      </c>
      <c r="B2097" t="s">
        <v>2108</v>
      </c>
    </row>
    <row r="2098" spans="1:2">
      <c r="A2098" t="s">
        <v>48</v>
      </c>
      <c r="B2098" t="s">
        <v>2109</v>
      </c>
    </row>
    <row r="2099" spans="1:2">
      <c r="A2099" t="s">
        <v>18</v>
      </c>
      <c r="B2099" t="s">
        <v>2110</v>
      </c>
    </row>
    <row r="2100" spans="1:2">
      <c r="A2100" t="s">
        <v>6</v>
      </c>
      <c r="B2100" t="s">
        <v>2111</v>
      </c>
    </row>
    <row r="2101" spans="1:2">
      <c r="A2101" t="s">
        <v>6</v>
      </c>
      <c r="B2101" t="s">
        <v>2112</v>
      </c>
    </row>
    <row r="2102" spans="1:2">
      <c r="A2102" t="s">
        <v>6</v>
      </c>
      <c r="B2102" t="s">
        <v>2113</v>
      </c>
    </row>
    <row r="2103" spans="1:2">
      <c r="A2103" t="s">
        <v>39</v>
      </c>
      <c r="B2103" t="s">
        <v>2114</v>
      </c>
    </row>
    <row r="2104" spans="1:2">
      <c r="A2104" t="s">
        <v>6</v>
      </c>
      <c r="B2104" t="s">
        <v>2115</v>
      </c>
    </row>
    <row r="2105" spans="1:2">
      <c r="A2105" t="s">
        <v>495</v>
      </c>
      <c r="B2105" t="s">
        <v>2116</v>
      </c>
    </row>
    <row r="2106" spans="1:2">
      <c r="A2106" t="s">
        <v>107</v>
      </c>
      <c r="B2106" t="s">
        <v>2117</v>
      </c>
    </row>
    <row r="2107" spans="1:2">
      <c r="A2107" t="s">
        <v>6</v>
      </c>
      <c r="B2107" t="s">
        <v>2118</v>
      </c>
    </row>
    <row r="2108" spans="1:2">
      <c r="A2108" t="s">
        <v>29</v>
      </c>
      <c r="B2108" t="s">
        <v>2119</v>
      </c>
    </row>
    <row r="2109" spans="1:2">
      <c r="A2109" t="s">
        <v>56</v>
      </c>
      <c r="B2109" t="s">
        <v>2120</v>
      </c>
    </row>
    <row r="2110" spans="1:2">
      <c r="A2110" t="s">
        <v>22</v>
      </c>
      <c r="B2110" t="s">
        <v>2121</v>
      </c>
    </row>
    <row r="2111" spans="1:2">
      <c r="A2111" t="s">
        <v>42</v>
      </c>
      <c r="B2111" t="s">
        <v>2122</v>
      </c>
    </row>
    <row r="2112" spans="1:2">
      <c r="A2112" t="s">
        <v>114</v>
      </c>
      <c r="B2112" t="s">
        <v>2123</v>
      </c>
    </row>
    <row r="2113" spans="1:2">
      <c r="A2113" t="s">
        <v>29</v>
      </c>
      <c r="B2113" t="s">
        <v>2124</v>
      </c>
    </row>
    <row r="2114" spans="1:2">
      <c r="A2114" t="s">
        <v>103</v>
      </c>
      <c r="B2114" t="s">
        <v>2125</v>
      </c>
    </row>
    <row r="2115" spans="1:2">
      <c r="A2115" t="s">
        <v>22</v>
      </c>
      <c r="B2115" t="s">
        <v>2126</v>
      </c>
    </row>
    <row r="2116" spans="1:2">
      <c r="A2116" t="s">
        <v>6</v>
      </c>
      <c r="B2116" t="s">
        <v>2127</v>
      </c>
    </row>
    <row r="2117" spans="1:2">
      <c r="A2117" t="s">
        <v>152</v>
      </c>
      <c r="B2117" t="s">
        <v>2128</v>
      </c>
    </row>
    <row r="2118" spans="1:2">
      <c r="A2118" t="s">
        <v>8</v>
      </c>
      <c r="B2118" t="s">
        <v>2129</v>
      </c>
    </row>
    <row r="2119" spans="1:2">
      <c r="A2119" t="s">
        <v>68</v>
      </c>
      <c r="B2119" t="s">
        <v>2130</v>
      </c>
    </row>
    <row r="2120" spans="1:2">
      <c r="A2120" t="s">
        <v>48</v>
      </c>
      <c r="B2120" t="s">
        <v>2131</v>
      </c>
    </row>
    <row r="2121" spans="1:2">
      <c r="A2121" t="s">
        <v>18</v>
      </c>
      <c r="B2121" t="s">
        <v>2132</v>
      </c>
    </row>
    <row r="2122" spans="1:2">
      <c r="A2122" t="s">
        <v>223</v>
      </c>
      <c r="B2122" t="s">
        <v>2133</v>
      </c>
    </row>
    <row r="2123" spans="1:2">
      <c r="A2123" t="s">
        <v>160</v>
      </c>
      <c r="B2123" t="s">
        <v>2134</v>
      </c>
    </row>
    <row r="2124" spans="1:2">
      <c r="A2124" t="s">
        <v>39</v>
      </c>
      <c r="B2124" t="s">
        <v>2135</v>
      </c>
    </row>
    <row r="2125" spans="1:2">
      <c r="A2125" t="s">
        <v>107</v>
      </c>
      <c r="B2125" t="s">
        <v>1409</v>
      </c>
    </row>
    <row r="2126" spans="1:2">
      <c r="A2126" t="s">
        <v>77</v>
      </c>
      <c r="B2126" t="s">
        <v>2136</v>
      </c>
    </row>
    <row r="2127" spans="1:2">
      <c r="A2127" t="s">
        <v>6</v>
      </c>
      <c r="B2127" t="s">
        <v>2137</v>
      </c>
    </row>
    <row r="2128" spans="1:2">
      <c r="A2128" t="s">
        <v>107</v>
      </c>
      <c r="B2128" t="s">
        <v>2138</v>
      </c>
    </row>
    <row r="2129" spans="1:2">
      <c r="A2129" t="s">
        <v>6</v>
      </c>
      <c r="B2129" t="s">
        <v>2139</v>
      </c>
    </row>
    <row r="2130" spans="1:2">
      <c r="A2130" t="s">
        <v>33</v>
      </c>
      <c r="B2130" t="s">
        <v>527</v>
      </c>
    </row>
    <row r="2131" spans="1:2">
      <c r="A2131" t="s">
        <v>46</v>
      </c>
      <c r="B2131" t="s">
        <v>2140</v>
      </c>
    </row>
    <row r="2132" spans="1:2">
      <c r="A2132" t="s">
        <v>973</v>
      </c>
      <c r="B2132" t="s">
        <v>2141</v>
      </c>
    </row>
    <row r="2133" spans="1:2">
      <c r="A2133" t="s">
        <v>12</v>
      </c>
      <c r="B2133" t="s">
        <v>2142</v>
      </c>
    </row>
    <row r="2134" spans="1:2">
      <c r="A2134" t="s">
        <v>6</v>
      </c>
      <c r="B2134" t="s">
        <v>83</v>
      </c>
    </row>
    <row r="2135" spans="1:2">
      <c r="A2135" t="s">
        <v>6</v>
      </c>
      <c r="B2135" t="s">
        <v>2143</v>
      </c>
    </row>
    <row r="2136" spans="1:2">
      <c r="A2136" t="s">
        <v>77</v>
      </c>
      <c r="B2136" t="s">
        <v>2144</v>
      </c>
    </row>
    <row r="2137" spans="1:2">
      <c r="A2137" t="s">
        <v>22</v>
      </c>
      <c r="B2137" t="s">
        <v>1121</v>
      </c>
    </row>
    <row r="2138" spans="1:2">
      <c r="A2138" t="s">
        <v>68</v>
      </c>
      <c r="B2138" t="s">
        <v>2145</v>
      </c>
    </row>
    <row r="2139" spans="1:2">
      <c r="A2139" t="s">
        <v>50</v>
      </c>
      <c r="B2139" t="s">
        <v>2146</v>
      </c>
    </row>
    <row r="2140" spans="1:2">
      <c r="A2140" t="s">
        <v>6</v>
      </c>
      <c r="B2140" t="s">
        <v>2147</v>
      </c>
    </row>
    <row r="2141" spans="1:2">
      <c r="A2141" t="s">
        <v>8</v>
      </c>
      <c r="B2141" t="s">
        <v>2148</v>
      </c>
    </row>
    <row r="2142" spans="1:2">
      <c r="A2142" t="s">
        <v>6</v>
      </c>
      <c r="B2142" t="s">
        <v>2149</v>
      </c>
    </row>
    <row r="2143" spans="1:2">
      <c r="A2143" t="s">
        <v>42</v>
      </c>
      <c r="B2143" t="s">
        <v>2150</v>
      </c>
    </row>
    <row r="2144" spans="1:2">
      <c r="A2144" t="s">
        <v>588</v>
      </c>
      <c r="B2144" t="s">
        <v>2151</v>
      </c>
    </row>
    <row r="2145" spans="1:2">
      <c r="A2145" t="s">
        <v>6</v>
      </c>
      <c r="B2145" t="s">
        <v>2152</v>
      </c>
    </row>
    <row r="2146" spans="1:2">
      <c r="A2146" t="s">
        <v>6</v>
      </c>
      <c r="B2146" t="s">
        <v>2153</v>
      </c>
    </row>
    <row r="2147" spans="1:2">
      <c r="A2147" t="s">
        <v>18</v>
      </c>
      <c r="B2147" t="s">
        <v>2154</v>
      </c>
    </row>
    <row r="2148" spans="1:2">
      <c r="A2148" t="s">
        <v>18</v>
      </c>
      <c r="B2148" t="s">
        <v>2155</v>
      </c>
    </row>
    <row r="2149" spans="1:2">
      <c r="A2149" t="s">
        <v>14</v>
      </c>
      <c r="B2149" t="s">
        <v>2156</v>
      </c>
    </row>
    <row r="2150" spans="1:2">
      <c r="A2150" t="s">
        <v>6</v>
      </c>
      <c r="B2150" t="s">
        <v>191</v>
      </c>
    </row>
    <row r="2151" spans="1:2">
      <c r="A2151" t="s">
        <v>854</v>
      </c>
      <c r="B2151" t="s">
        <v>2157</v>
      </c>
    </row>
    <row r="2152" spans="1:2">
      <c r="A2152" t="s">
        <v>68</v>
      </c>
      <c r="B2152" t="s">
        <v>2158</v>
      </c>
    </row>
    <row r="2153" spans="1:2">
      <c r="A2153" t="s">
        <v>107</v>
      </c>
      <c r="B2153" t="s">
        <v>2159</v>
      </c>
    </row>
    <row r="2154" spans="1:2">
      <c r="A2154" t="s">
        <v>154</v>
      </c>
      <c r="B2154" t="s">
        <v>2160</v>
      </c>
    </row>
    <row r="2155" spans="1:2">
      <c r="A2155" t="s">
        <v>14</v>
      </c>
      <c r="B2155" t="s">
        <v>2161</v>
      </c>
    </row>
    <row r="2156" spans="1:2">
      <c r="A2156" t="s">
        <v>103</v>
      </c>
      <c r="B2156" t="s">
        <v>2162</v>
      </c>
    </row>
    <row r="2157" spans="1:2">
      <c r="A2157" t="s">
        <v>18</v>
      </c>
      <c r="B2157" t="s">
        <v>2163</v>
      </c>
    </row>
    <row r="2158" spans="1:2">
      <c r="A2158" t="s">
        <v>18</v>
      </c>
      <c r="B2158" t="s">
        <v>2164</v>
      </c>
    </row>
    <row r="2159" spans="1:2">
      <c r="A2159" t="s">
        <v>56</v>
      </c>
      <c r="B2159" t="s">
        <v>152</v>
      </c>
    </row>
    <row r="2160" spans="1:2">
      <c r="A2160" t="s">
        <v>42</v>
      </c>
      <c r="B2160" t="s">
        <v>2165</v>
      </c>
    </row>
    <row r="2161" spans="1:2">
      <c r="A2161" t="s">
        <v>8</v>
      </c>
      <c r="B2161" t="s">
        <v>2166</v>
      </c>
    </row>
    <row r="2162" spans="1:2">
      <c r="A2162" t="s">
        <v>1105</v>
      </c>
      <c r="B2162" t="s">
        <v>2167</v>
      </c>
    </row>
    <row r="2163" spans="1:2">
      <c r="A2163" t="s">
        <v>103</v>
      </c>
      <c r="B2163" t="s">
        <v>2168</v>
      </c>
    </row>
    <row r="2164" spans="1:2">
      <c r="A2164" t="s">
        <v>160</v>
      </c>
      <c r="B2164" t="s">
        <v>2169</v>
      </c>
    </row>
    <row r="2165" spans="1:2">
      <c r="A2165" t="s">
        <v>6</v>
      </c>
      <c r="B2165" t="s">
        <v>2170</v>
      </c>
    </row>
    <row r="2166" spans="1:2">
      <c r="A2166" t="s">
        <v>18</v>
      </c>
      <c r="B2166" t="s">
        <v>2171</v>
      </c>
    </row>
    <row r="2167" spans="1:2">
      <c r="A2167" t="s">
        <v>309</v>
      </c>
      <c r="B2167" t="s">
        <v>2172</v>
      </c>
    </row>
    <row r="2168" spans="1:2">
      <c r="A2168" t="s">
        <v>154</v>
      </c>
      <c r="B2168" t="s">
        <v>2173</v>
      </c>
    </row>
    <row r="2169" spans="1:2">
      <c r="A2169" t="s">
        <v>105</v>
      </c>
      <c r="B2169" t="s">
        <v>2174</v>
      </c>
    </row>
    <row r="2170" spans="1:2">
      <c r="A2170" t="s">
        <v>6</v>
      </c>
      <c r="B2170" t="s">
        <v>2175</v>
      </c>
    </row>
    <row r="2171" spans="1:2">
      <c r="A2171" t="s">
        <v>112</v>
      </c>
      <c r="B2171" t="s">
        <v>2176</v>
      </c>
    </row>
    <row r="2172" spans="1:2">
      <c r="A2172" t="s">
        <v>6</v>
      </c>
      <c r="B2172" t="s">
        <v>2177</v>
      </c>
    </row>
    <row r="2173" spans="1:2">
      <c r="A2173" t="s">
        <v>485</v>
      </c>
      <c r="B2173" t="s">
        <v>2178</v>
      </c>
    </row>
    <row r="2174" spans="1:2">
      <c r="A2174" t="s">
        <v>105</v>
      </c>
      <c r="B2174" t="s">
        <v>2179</v>
      </c>
    </row>
    <row r="2175" spans="1:2">
      <c r="A2175" t="s">
        <v>18</v>
      </c>
      <c r="B2175" t="s">
        <v>1132</v>
      </c>
    </row>
    <row r="2176" spans="1:2">
      <c r="A2176" t="s">
        <v>6</v>
      </c>
      <c r="B2176" t="s">
        <v>2180</v>
      </c>
    </row>
    <row r="2177" spans="1:2">
      <c r="A2177" t="s">
        <v>6</v>
      </c>
      <c r="B2177" t="s">
        <v>2181</v>
      </c>
    </row>
    <row r="2178" spans="1:2">
      <c r="A2178" t="s">
        <v>6</v>
      </c>
      <c r="B2178" t="s">
        <v>2182</v>
      </c>
    </row>
    <row r="2179" spans="1:2">
      <c r="A2179" t="s">
        <v>4</v>
      </c>
      <c r="B2179" t="s">
        <v>2183</v>
      </c>
    </row>
    <row r="2180" spans="1:2">
      <c r="A2180" t="s">
        <v>1938</v>
      </c>
      <c r="B2180" t="s">
        <v>2184</v>
      </c>
    </row>
    <row r="2181" spans="1:2">
      <c r="A2181" t="s">
        <v>112</v>
      </c>
      <c r="B2181" t="s">
        <v>2185</v>
      </c>
    </row>
    <row r="2182" spans="1:2">
      <c r="A2182" t="s">
        <v>137</v>
      </c>
      <c r="B2182" t="s">
        <v>2186</v>
      </c>
    </row>
    <row r="2183" spans="1:2">
      <c r="A2183" t="s">
        <v>103</v>
      </c>
      <c r="B2183" t="s">
        <v>2187</v>
      </c>
    </row>
    <row r="2184" spans="1:2">
      <c r="A2184" t="s">
        <v>42</v>
      </c>
      <c r="B2184" t="s">
        <v>2188</v>
      </c>
    </row>
    <row r="2185" spans="1:2">
      <c r="A2185" t="s">
        <v>68</v>
      </c>
      <c r="B2185" t="s">
        <v>2189</v>
      </c>
    </row>
    <row r="2186" spans="1:2">
      <c r="A2186" t="s">
        <v>6</v>
      </c>
      <c r="B2186" t="s">
        <v>2190</v>
      </c>
    </row>
    <row r="2187" spans="1:2">
      <c r="A2187" t="s">
        <v>46</v>
      </c>
      <c r="B2187" t="s">
        <v>2191</v>
      </c>
    </row>
    <row r="2188" spans="1:2">
      <c r="A2188" t="s">
        <v>6</v>
      </c>
      <c r="B2188" t="s">
        <v>2192</v>
      </c>
    </row>
    <row r="2189" spans="1:2">
      <c r="A2189" t="s">
        <v>18</v>
      </c>
      <c r="B2189" t="s">
        <v>2193</v>
      </c>
    </row>
    <row r="2190" spans="1:2">
      <c r="A2190" t="s">
        <v>18</v>
      </c>
      <c r="B2190" t="s">
        <v>2194</v>
      </c>
    </row>
    <row r="2191" spans="1:2">
      <c r="A2191" t="s">
        <v>56</v>
      </c>
      <c r="B2191" t="s">
        <v>2195</v>
      </c>
    </row>
    <row r="2192" spans="1:2">
      <c r="A2192" t="s">
        <v>18</v>
      </c>
      <c r="B2192" t="s">
        <v>2196</v>
      </c>
    </row>
    <row r="2193" spans="1:2">
      <c r="A2193" t="s">
        <v>8</v>
      </c>
      <c r="B2193" t="s">
        <v>2197</v>
      </c>
    </row>
    <row r="2194" spans="1:2">
      <c r="A2194" t="s">
        <v>39</v>
      </c>
      <c r="B2194" t="s">
        <v>2198</v>
      </c>
    </row>
    <row r="2195" spans="1:2">
      <c r="A2195" t="s">
        <v>56</v>
      </c>
      <c r="B2195" t="s">
        <v>12</v>
      </c>
    </row>
    <row r="2196" spans="1:2">
      <c r="A2196" t="s">
        <v>6</v>
      </c>
      <c r="B2196" t="s">
        <v>2199</v>
      </c>
    </row>
    <row r="2197" spans="1:2">
      <c r="A2197" t="s">
        <v>137</v>
      </c>
      <c r="B2197" t="s">
        <v>2200</v>
      </c>
    </row>
    <row r="2198" spans="1:2">
      <c r="A2198" t="s">
        <v>6</v>
      </c>
      <c r="B2198" t="s">
        <v>2201</v>
      </c>
    </row>
    <row r="2199" spans="1:2">
      <c r="A2199" t="s">
        <v>6</v>
      </c>
      <c r="B2199" t="s">
        <v>2202</v>
      </c>
    </row>
    <row r="2200" spans="1:2">
      <c r="A2200" t="s">
        <v>33</v>
      </c>
      <c r="B2200" t="s">
        <v>2203</v>
      </c>
    </row>
    <row r="2201" spans="1:2">
      <c r="A2201" t="s">
        <v>103</v>
      </c>
      <c r="B2201" t="s">
        <v>2204</v>
      </c>
    </row>
    <row r="2202" spans="1:2">
      <c r="A2202" t="s">
        <v>18</v>
      </c>
      <c r="B2202" t="s">
        <v>2205</v>
      </c>
    </row>
    <row r="2203" spans="1:2">
      <c r="A2203" t="s">
        <v>107</v>
      </c>
      <c r="B2203" t="s">
        <v>2206</v>
      </c>
    </row>
    <row r="2204" spans="1:2">
      <c r="A2204" t="s">
        <v>14</v>
      </c>
      <c r="B2204" t="s">
        <v>628</v>
      </c>
    </row>
    <row r="2205" spans="1:2">
      <c r="A2205" t="s">
        <v>6</v>
      </c>
      <c r="B2205" t="s">
        <v>2207</v>
      </c>
    </row>
    <row r="2206" spans="1:2">
      <c r="A2206" t="s">
        <v>134</v>
      </c>
      <c r="B2206" t="s">
        <v>2208</v>
      </c>
    </row>
    <row r="2207" spans="1:2">
      <c r="A2207" t="s">
        <v>105</v>
      </c>
      <c r="B2207" t="s">
        <v>2209</v>
      </c>
    </row>
    <row r="2208" spans="1:2">
      <c r="A2208" t="s">
        <v>68</v>
      </c>
      <c r="B2208" t="s">
        <v>2210</v>
      </c>
    </row>
    <row r="2209" spans="1:2">
      <c r="A2209" t="s">
        <v>39</v>
      </c>
      <c r="B2209" t="s">
        <v>2211</v>
      </c>
    </row>
    <row r="2210" spans="1:2">
      <c r="A2210" t="s">
        <v>6</v>
      </c>
      <c r="B2210" t="s">
        <v>2212</v>
      </c>
    </row>
    <row r="2211" spans="1:2">
      <c r="A2211" t="s">
        <v>323</v>
      </c>
      <c r="B2211" t="s">
        <v>2213</v>
      </c>
    </row>
    <row r="2212" spans="1:2">
      <c r="A2212" t="s">
        <v>46</v>
      </c>
      <c r="B2212" t="s">
        <v>2214</v>
      </c>
    </row>
    <row r="2213" spans="1:2">
      <c r="A2213" t="s">
        <v>18</v>
      </c>
      <c r="B2213" t="s">
        <v>2215</v>
      </c>
    </row>
    <row r="2214" spans="1:2">
      <c r="A2214" t="s">
        <v>6</v>
      </c>
      <c r="B2214" t="s">
        <v>2216</v>
      </c>
    </row>
    <row r="2215" spans="1:2">
      <c r="A2215" t="s">
        <v>1938</v>
      </c>
      <c r="B2215" t="s">
        <v>2217</v>
      </c>
    </row>
    <row r="2216" spans="1:2">
      <c r="A2216" t="s">
        <v>191</v>
      </c>
      <c r="B2216" t="s">
        <v>1685</v>
      </c>
    </row>
    <row r="2217" spans="1:2">
      <c r="A2217" t="s">
        <v>6</v>
      </c>
      <c r="B2217" t="s">
        <v>2218</v>
      </c>
    </row>
    <row r="2218" spans="1:2">
      <c r="A2218" t="s">
        <v>77</v>
      </c>
      <c r="B2218" t="s">
        <v>2219</v>
      </c>
    </row>
    <row r="2219" spans="1:2">
      <c r="A2219" t="s">
        <v>22</v>
      </c>
      <c r="B2219" t="s">
        <v>288</v>
      </c>
    </row>
    <row r="2220" spans="1:2">
      <c r="A2220" t="s">
        <v>42</v>
      </c>
      <c r="B2220" t="s">
        <v>2220</v>
      </c>
    </row>
    <row r="2221" spans="1:2">
      <c r="A2221" t="s">
        <v>14</v>
      </c>
      <c r="B2221" t="s">
        <v>2221</v>
      </c>
    </row>
    <row r="2222" spans="1:2">
      <c r="A2222" t="s">
        <v>6</v>
      </c>
      <c r="B2222" t="s">
        <v>1150</v>
      </c>
    </row>
    <row r="2223" spans="1:2">
      <c r="A2223" t="s">
        <v>6</v>
      </c>
      <c r="B2223" t="s">
        <v>2222</v>
      </c>
    </row>
    <row r="2224" spans="1:2">
      <c r="A2224" t="s">
        <v>6</v>
      </c>
      <c r="B2224" t="s">
        <v>2223</v>
      </c>
    </row>
    <row r="2225" spans="1:2">
      <c r="A2225" t="s">
        <v>137</v>
      </c>
      <c r="B2225" t="s">
        <v>2224</v>
      </c>
    </row>
    <row r="2226" spans="1:2">
      <c r="A2226" t="s">
        <v>48</v>
      </c>
      <c r="B2226" t="s">
        <v>2225</v>
      </c>
    </row>
    <row r="2227" spans="1:2">
      <c r="A2227" t="s">
        <v>953</v>
      </c>
      <c r="B2227" t="s">
        <v>2226</v>
      </c>
    </row>
    <row r="2228" spans="1:2">
      <c r="A2228" t="s">
        <v>50</v>
      </c>
      <c r="B2228" t="s">
        <v>2227</v>
      </c>
    </row>
    <row r="2229" spans="1:2">
      <c r="A2229" t="s">
        <v>6</v>
      </c>
      <c r="B2229" t="s">
        <v>2228</v>
      </c>
    </row>
    <row r="2230" spans="1:2">
      <c r="A2230" t="s">
        <v>35</v>
      </c>
      <c r="B2230" t="s">
        <v>2229</v>
      </c>
    </row>
    <row r="2231" spans="1:2">
      <c r="A2231" t="s">
        <v>22</v>
      </c>
      <c r="B2231" t="s">
        <v>2230</v>
      </c>
    </row>
    <row r="2232" spans="1:2">
      <c r="A2232" t="s">
        <v>679</v>
      </c>
      <c r="B2232" t="s">
        <v>2231</v>
      </c>
    </row>
    <row r="2233" spans="1:2">
      <c r="A2233" t="s">
        <v>77</v>
      </c>
      <c r="B2233" t="s">
        <v>2232</v>
      </c>
    </row>
    <row r="2234" spans="1:2">
      <c r="A2234" t="s">
        <v>50</v>
      </c>
      <c r="B2234" t="s">
        <v>2233</v>
      </c>
    </row>
    <row r="2235" spans="1:2">
      <c r="A2235" t="s">
        <v>18</v>
      </c>
      <c r="B2235" t="s">
        <v>2234</v>
      </c>
    </row>
    <row r="2236" spans="1:2">
      <c r="A2236" t="s">
        <v>1105</v>
      </c>
      <c r="B2236" t="s">
        <v>1188</v>
      </c>
    </row>
    <row r="2237" spans="1:2">
      <c r="A2237" t="s">
        <v>62</v>
      </c>
      <c r="B2237" t="s">
        <v>2235</v>
      </c>
    </row>
    <row r="2238" spans="1:2">
      <c r="A2238" t="s">
        <v>8</v>
      </c>
      <c r="B2238" t="s">
        <v>2236</v>
      </c>
    </row>
    <row r="2239" spans="1:2">
      <c r="A2239" t="s">
        <v>12</v>
      </c>
      <c r="B2239" t="s">
        <v>2237</v>
      </c>
    </row>
    <row r="2240" spans="1:2">
      <c r="A2240" t="s">
        <v>8</v>
      </c>
      <c r="B2240" t="s">
        <v>2238</v>
      </c>
    </row>
    <row r="2241" spans="1:2">
      <c r="A2241" t="s">
        <v>6</v>
      </c>
      <c r="B2241" t="s">
        <v>2239</v>
      </c>
    </row>
    <row r="2242" spans="1:2">
      <c r="A2242" t="s">
        <v>56</v>
      </c>
      <c r="B2242" t="s">
        <v>2240</v>
      </c>
    </row>
    <row r="2243" spans="1:2">
      <c r="A2243" t="s">
        <v>18</v>
      </c>
      <c r="B2243" t="s">
        <v>953</v>
      </c>
    </row>
    <row r="2244" spans="1:2">
      <c r="A2244" t="s">
        <v>18</v>
      </c>
      <c r="B2244" t="s">
        <v>2241</v>
      </c>
    </row>
    <row r="2245" spans="1:2">
      <c r="A2245" t="s">
        <v>1246</v>
      </c>
      <c r="B2245" t="s">
        <v>2242</v>
      </c>
    </row>
    <row r="2246" spans="1:2">
      <c r="A2246" t="s">
        <v>6</v>
      </c>
      <c r="B2246" t="s">
        <v>2243</v>
      </c>
    </row>
    <row r="2247" spans="1:2">
      <c r="A2247" t="s">
        <v>137</v>
      </c>
      <c r="B2247" t="s">
        <v>2244</v>
      </c>
    </row>
    <row r="2248" spans="1:2">
      <c r="A2248" t="s">
        <v>50</v>
      </c>
      <c r="B2248" t="s">
        <v>2245</v>
      </c>
    </row>
    <row r="2249" spans="1:2">
      <c r="A2249" t="s">
        <v>68</v>
      </c>
      <c r="B2249" t="s">
        <v>2246</v>
      </c>
    </row>
    <row r="2250" spans="1:2">
      <c r="A2250" t="s">
        <v>18</v>
      </c>
      <c r="B2250" t="s">
        <v>2247</v>
      </c>
    </row>
    <row r="2251" spans="1:2">
      <c r="A2251" t="s">
        <v>6</v>
      </c>
      <c r="B2251" t="s">
        <v>2248</v>
      </c>
    </row>
    <row r="2252" spans="1:2">
      <c r="A2252" t="s">
        <v>1699</v>
      </c>
      <c r="B2252" t="s">
        <v>2249</v>
      </c>
    </row>
    <row r="2253" spans="1:2">
      <c r="A2253" t="s">
        <v>6</v>
      </c>
      <c r="B2253" t="s">
        <v>2250</v>
      </c>
    </row>
    <row r="2254" spans="1:2">
      <c r="A2254" t="s">
        <v>20</v>
      </c>
      <c r="B2254" t="s">
        <v>2251</v>
      </c>
    </row>
    <row r="2255" spans="1:2">
      <c r="A2255" t="s">
        <v>6</v>
      </c>
      <c r="B2255" t="s">
        <v>2252</v>
      </c>
    </row>
    <row r="2256" spans="1:2">
      <c r="A2256" t="s">
        <v>56</v>
      </c>
      <c r="B2256" t="s">
        <v>2253</v>
      </c>
    </row>
    <row r="2257" spans="1:2">
      <c r="A2257" t="s">
        <v>6</v>
      </c>
      <c r="B2257" t="s">
        <v>2254</v>
      </c>
    </row>
    <row r="2258" spans="1:2">
      <c r="A2258" t="s">
        <v>8</v>
      </c>
      <c r="B2258" t="s">
        <v>2255</v>
      </c>
    </row>
    <row r="2259" spans="1:2">
      <c r="A2259" t="s">
        <v>48</v>
      </c>
      <c r="B2259" t="s">
        <v>2256</v>
      </c>
    </row>
    <row r="2260" spans="1:2">
      <c r="A2260" t="s">
        <v>56</v>
      </c>
      <c r="B2260" t="s">
        <v>2257</v>
      </c>
    </row>
    <row r="2261" spans="1:2">
      <c r="A2261" t="s">
        <v>83</v>
      </c>
      <c r="B2261" t="s">
        <v>2258</v>
      </c>
    </row>
    <row r="2262" spans="1:2">
      <c r="A2262" t="s">
        <v>39</v>
      </c>
      <c r="B2262" t="s">
        <v>2259</v>
      </c>
    </row>
    <row r="2263" spans="1:2">
      <c r="A2263" t="s">
        <v>6</v>
      </c>
      <c r="B2263" t="s">
        <v>2260</v>
      </c>
    </row>
    <row r="2264" spans="1:2">
      <c r="A2264" t="s">
        <v>22</v>
      </c>
      <c r="B2264" t="s">
        <v>2261</v>
      </c>
    </row>
    <row r="2265" spans="1:2">
      <c r="A2265" t="s">
        <v>6</v>
      </c>
      <c r="B2265" t="s">
        <v>2262</v>
      </c>
    </row>
    <row r="2266" spans="1:2">
      <c r="A2266" t="s">
        <v>56</v>
      </c>
      <c r="B2266" t="s">
        <v>314</v>
      </c>
    </row>
    <row r="2267" spans="1:2">
      <c r="A2267" t="s">
        <v>6</v>
      </c>
      <c r="B2267" t="s">
        <v>2263</v>
      </c>
    </row>
    <row r="2268" spans="1:2">
      <c r="A2268" t="s">
        <v>50</v>
      </c>
      <c r="B2268" t="s">
        <v>2264</v>
      </c>
    </row>
    <row r="2269" spans="1:2">
      <c r="A2269" t="s">
        <v>6</v>
      </c>
      <c r="B2269" t="s">
        <v>2265</v>
      </c>
    </row>
    <row r="2270" spans="1:2">
      <c r="A2270" t="s">
        <v>112</v>
      </c>
      <c r="B2270" t="s">
        <v>2266</v>
      </c>
    </row>
    <row r="2271" spans="1:2">
      <c r="A2271" t="s">
        <v>68</v>
      </c>
      <c r="B2271" t="s">
        <v>2267</v>
      </c>
    </row>
    <row r="2272" spans="1:2">
      <c r="A2272" t="s">
        <v>48</v>
      </c>
      <c r="B2272" t="s">
        <v>2268</v>
      </c>
    </row>
    <row r="2273" spans="1:2">
      <c r="A2273" t="s">
        <v>18</v>
      </c>
      <c r="B2273" t="s">
        <v>2269</v>
      </c>
    </row>
    <row r="2274" spans="1:2">
      <c r="A2274" t="s">
        <v>6</v>
      </c>
      <c r="B2274" t="s">
        <v>2270</v>
      </c>
    </row>
  </sheetData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V27"/>
  <sheetViews>
    <sheetView workbookViewId="0">
      <selection activeCell="FM27" sqref="FM27"/>
    </sheetView>
  </sheetViews>
  <sheetFormatPr defaultRowHeight="15"/>
  <sheetData>
    <row r="1" spans="1:256">
      <c r="A1" t="e">
        <f>IF(Ischemia_singlenet_25percent_ou!1:1,"AAAAAHulPQA=",0)</f>
        <v>#VALUE!</v>
      </c>
      <c r="B1" t="e">
        <f>AND(Ischemia_singlenet_25percent_ou!A1,"AAAAAHulPQE=")</f>
        <v>#VALUE!</v>
      </c>
      <c r="C1" t="e">
        <f>AND(Ischemia_singlenet_25percent_ou!B1,"AAAAAHulPQI=")</f>
        <v>#VALUE!</v>
      </c>
      <c r="D1">
        <f>IF(Ischemia_singlenet_25percent_ou!2:2,"AAAAAHulPQM=",0)</f>
        <v>0</v>
      </c>
      <c r="E1" t="e">
        <f>AND(Ischemia_singlenet_25percent_ou!A2,"AAAAAHulPQQ=")</f>
        <v>#VALUE!</v>
      </c>
      <c r="F1" t="e">
        <f>AND(Ischemia_singlenet_25percent_ou!B2,"AAAAAHulPQU=")</f>
        <v>#VALUE!</v>
      </c>
      <c r="G1">
        <f>IF(Ischemia_singlenet_25percent_ou!3:3,"AAAAAHulPQY=",0)</f>
        <v>0</v>
      </c>
      <c r="H1" t="e">
        <f>AND(Ischemia_singlenet_25percent_ou!A3,"AAAAAHulPQc=")</f>
        <v>#VALUE!</v>
      </c>
      <c r="I1" t="e">
        <f>AND(Ischemia_singlenet_25percent_ou!B3,"AAAAAHulPQg=")</f>
        <v>#VALUE!</v>
      </c>
      <c r="J1">
        <f>IF(Ischemia_singlenet_25percent_ou!4:4,"AAAAAHulPQk=",0)</f>
        <v>0</v>
      </c>
      <c r="K1" t="e">
        <f>AND(Ischemia_singlenet_25percent_ou!A4,"AAAAAHulPQo=")</f>
        <v>#VALUE!</v>
      </c>
      <c r="L1" t="e">
        <f>AND(Ischemia_singlenet_25percent_ou!B4,"AAAAAHulPQs=")</f>
        <v>#VALUE!</v>
      </c>
      <c r="M1">
        <f>IF(Ischemia_singlenet_25percent_ou!5:5,"AAAAAHulPQw=",0)</f>
        <v>0</v>
      </c>
      <c r="N1" t="e">
        <f>AND(Ischemia_singlenet_25percent_ou!A5,"AAAAAHulPQ0=")</f>
        <v>#VALUE!</v>
      </c>
      <c r="O1" t="e">
        <f>AND(Ischemia_singlenet_25percent_ou!B5,"AAAAAHulPQ4=")</f>
        <v>#VALUE!</v>
      </c>
      <c r="P1">
        <f>IF(Ischemia_singlenet_25percent_ou!6:6,"AAAAAHulPQ8=",0)</f>
        <v>0</v>
      </c>
      <c r="Q1" t="e">
        <f>AND(Ischemia_singlenet_25percent_ou!A6,"AAAAAHulPRA=")</f>
        <v>#VALUE!</v>
      </c>
      <c r="R1" t="e">
        <f>AND(Ischemia_singlenet_25percent_ou!B6,"AAAAAHulPRE=")</f>
        <v>#VALUE!</v>
      </c>
      <c r="S1">
        <f>IF(Ischemia_singlenet_25percent_ou!7:7,"AAAAAHulPRI=",0)</f>
        <v>0</v>
      </c>
      <c r="T1" t="e">
        <f>AND(Ischemia_singlenet_25percent_ou!A7,"AAAAAHulPRM=")</f>
        <v>#VALUE!</v>
      </c>
      <c r="U1" t="e">
        <f>AND(Ischemia_singlenet_25percent_ou!B7,"AAAAAHulPRQ=")</f>
        <v>#VALUE!</v>
      </c>
      <c r="V1">
        <f>IF(Ischemia_singlenet_25percent_ou!8:8,"AAAAAHulPRU=",0)</f>
        <v>0</v>
      </c>
      <c r="W1" t="e">
        <f>AND(Ischemia_singlenet_25percent_ou!A8,"AAAAAHulPRY=")</f>
        <v>#VALUE!</v>
      </c>
      <c r="X1" t="e">
        <f>AND(Ischemia_singlenet_25percent_ou!B8,"AAAAAHulPRc=")</f>
        <v>#VALUE!</v>
      </c>
      <c r="Y1">
        <f>IF(Ischemia_singlenet_25percent_ou!9:9,"AAAAAHulPRg=",0)</f>
        <v>0</v>
      </c>
      <c r="Z1" t="e">
        <f>AND(Ischemia_singlenet_25percent_ou!A9,"AAAAAHulPRk=")</f>
        <v>#VALUE!</v>
      </c>
      <c r="AA1" t="e">
        <f>AND(Ischemia_singlenet_25percent_ou!B9,"AAAAAHulPRo=")</f>
        <v>#VALUE!</v>
      </c>
      <c r="AB1">
        <f>IF(Ischemia_singlenet_25percent_ou!10:10,"AAAAAHulPRs=",0)</f>
        <v>0</v>
      </c>
      <c r="AC1" t="e">
        <f>AND(Ischemia_singlenet_25percent_ou!A10,"AAAAAHulPRw=")</f>
        <v>#VALUE!</v>
      </c>
      <c r="AD1" t="e">
        <f>AND(Ischemia_singlenet_25percent_ou!B10,"AAAAAHulPR0=")</f>
        <v>#VALUE!</v>
      </c>
      <c r="AE1">
        <f>IF(Ischemia_singlenet_25percent_ou!11:11,"AAAAAHulPR4=",0)</f>
        <v>0</v>
      </c>
      <c r="AF1" t="e">
        <f>AND(Ischemia_singlenet_25percent_ou!A11,"AAAAAHulPR8=")</f>
        <v>#VALUE!</v>
      </c>
      <c r="AG1" t="e">
        <f>AND(Ischemia_singlenet_25percent_ou!B11,"AAAAAHulPSA=")</f>
        <v>#VALUE!</v>
      </c>
      <c r="AH1">
        <f>IF(Ischemia_singlenet_25percent_ou!12:12,"AAAAAHulPSE=",0)</f>
        <v>0</v>
      </c>
      <c r="AI1" t="e">
        <f>AND(Ischemia_singlenet_25percent_ou!A12,"AAAAAHulPSI=")</f>
        <v>#VALUE!</v>
      </c>
      <c r="AJ1" t="e">
        <f>AND(Ischemia_singlenet_25percent_ou!B12,"AAAAAHulPSM=")</f>
        <v>#VALUE!</v>
      </c>
      <c r="AK1">
        <f>IF(Ischemia_singlenet_25percent_ou!13:13,"AAAAAHulPSQ=",0)</f>
        <v>0</v>
      </c>
      <c r="AL1" t="e">
        <f>AND(Ischemia_singlenet_25percent_ou!A13,"AAAAAHulPSU=")</f>
        <v>#VALUE!</v>
      </c>
      <c r="AM1" t="e">
        <f>AND(Ischemia_singlenet_25percent_ou!B13,"AAAAAHulPSY=")</f>
        <v>#VALUE!</v>
      </c>
      <c r="AN1">
        <f>IF(Ischemia_singlenet_25percent_ou!14:14,"AAAAAHulPSc=",0)</f>
        <v>0</v>
      </c>
      <c r="AO1" t="e">
        <f>AND(Ischemia_singlenet_25percent_ou!A14,"AAAAAHulPSg=")</f>
        <v>#VALUE!</v>
      </c>
      <c r="AP1" t="e">
        <f>AND(Ischemia_singlenet_25percent_ou!B14,"AAAAAHulPSk=")</f>
        <v>#VALUE!</v>
      </c>
      <c r="AQ1">
        <f>IF(Ischemia_singlenet_25percent_ou!15:15,"AAAAAHulPSo=",0)</f>
        <v>0</v>
      </c>
      <c r="AR1" t="e">
        <f>AND(Ischemia_singlenet_25percent_ou!A15,"AAAAAHulPSs=")</f>
        <v>#VALUE!</v>
      </c>
      <c r="AS1" t="e">
        <f>AND(Ischemia_singlenet_25percent_ou!B15,"AAAAAHulPSw=")</f>
        <v>#VALUE!</v>
      </c>
      <c r="AT1">
        <f>IF(Ischemia_singlenet_25percent_ou!16:16,"AAAAAHulPS0=",0)</f>
        <v>0</v>
      </c>
      <c r="AU1" t="e">
        <f>AND(Ischemia_singlenet_25percent_ou!A16,"AAAAAHulPS4=")</f>
        <v>#VALUE!</v>
      </c>
      <c r="AV1" t="e">
        <f>AND(Ischemia_singlenet_25percent_ou!B16,"AAAAAHulPS8=")</f>
        <v>#VALUE!</v>
      </c>
      <c r="AW1">
        <f>IF(Ischemia_singlenet_25percent_ou!17:17,"AAAAAHulPTA=",0)</f>
        <v>0</v>
      </c>
      <c r="AX1" t="e">
        <f>AND(Ischemia_singlenet_25percent_ou!A17,"AAAAAHulPTE=")</f>
        <v>#VALUE!</v>
      </c>
      <c r="AY1" t="e">
        <f>AND(Ischemia_singlenet_25percent_ou!B17,"AAAAAHulPTI=")</f>
        <v>#VALUE!</v>
      </c>
      <c r="AZ1">
        <f>IF(Ischemia_singlenet_25percent_ou!18:18,"AAAAAHulPTM=",0)</f>
        <v>0</v>
      </c>
      <c r="BA1" t="e">
        <f>AND(Ischemia_singlenet_25percent_ou!A18,"AAAAAHulPTQ=")</f>
        <v>#VALUE!</v>
      </c>
      <c r="BB1" t="e">
        <f>AND(Ischemia_singlenet_25percent_ou!B18,"AAAAAHulPTU=")</f>
        <v>#VALUE!</v>
      </c>
      <c r="BC1">
        <f>IF(Ischemia_singlenet_25percent_ou!19:19,"AAAAAHulPTY=",0)</f>
        <v>0</v>
      </c>
      <c r="BD1" t="e">
        <f>AND(Ischemia_singlenet_25percent_ou!A19,"AAAAAHulPTc=")</f>
        <v>#VALUE!</v>
      </c>
      <c r="BE1" t="e">
        <f>AND(Ischemia_singlenet_25percent_ou!B19,"AAAAAHulPTg=")</f>
        <v>#VALUE!</v>
      </c>
      <c r="BF1">
        <f>IF(Ischemia_singlenet_25percent_ou!20:20,"AAAAAHulPTk=",0)</f>
        <v>0</v>
      </c>
      <c r="BG1" t="e">
        <f>AND(Ischemia_singlenet_25percent_ou!A20,"AAAAAHulPTo=")</f>
        <v>#VALUE!</v>
      </c>
      <c r="BH1" t="e">
        <f>AND(Ischemia_singlenet_25percent_ou!B20,"AAAAAHulPTs=")</f>
        <v>#VALUE!</v>
      </c>
      <c r="BI1">
        <f>IF(Ischemia_singlenet_25percent_ou!21:21,"AAAAAHulPTw=",0)</f>
        <v>0</v>
      </c>
      <c r="BJ1" t="e">
        <f>AND(Ischemia_singlenet_25percent_ou!A21,"AAAAAHulPT0=")</f>
        <v>#VALUE!</v>
      </c>
      <c r="BK1" t="e">
        <f>AND(Ischemia_singlenet_25percent_ou!B21,"AAAAAHulPT4=")</f>
        <v>#VALUE!</v>
      </c>
      <c r="BL1">
        <f>IF(Ischemia_singlenet_25percent_ou!22:22,"AAAAAHulPT8=",0)</f>
        <v>0</v>
      </c>
      <c r="BM1" t="e">
        <f>AND(Ischemia_singlenet_25percent_ou!A22,"AAAAAHulPUA=")</f>
        <v>#VALUE!</v>
      </c>
      <c r="BN1" t="e">
        <f>AND(Ischemia_singlenet_25percent_ou!B22,"AAAAAHulPUE=")</f>
        <v>#VALUE!</v>
      </c>
      <c r="BO1">
        <f>IF(Ischemia_singlenet_25percent_ou!23:23,"AAAAAHulPUI=",0)</f>
        <v>0</v>
      </c>
      <c r="BP1" t="e">
        <f>AND(Ischemia_singlenet_25percent_ou!A23,"AAAAAHulPUM=")</f>
        <v>#VALUE!</v>
      </c>
      <c r="BQ1" t="e">
        <f>AND(Ischemia_singlenet_25percent_ou!B23,"AAAAAHulPUQ=")</f>
        <v>#VALUE!</v>
      </c>
      <c r="BR1">
        <f>IF(Ischemia_singlenet_25percent_ou!24:24,"AAAAAHulPUU=",0)</f>
        <v>0</v>
      </c>
      <c r="BS1" t="e">
        <f>AND(Ischemia_singlenet_25percent_ou!A24,"AAAAAHulPUY=")</f>
        <v>#VALUE!</v>
      </c>
      <c r="BT1" t="e">
        <f>AND(Ischemia_singlenet_25percent_ou!B24,"AAAAAHulPUc=")</f>
        <v>#VALUE!</v>
      </c>
      <c r="BU1">
        <f>IF(Ischemia_singlenet_25percent_ou!25:25,"AAAAAHulPUg=",0)</f>
        <v>0</v>
      </c>
      <c r="BV1" t="e">
        <f>AND(Ischemia_singlenet_25percent_ou!A25,"AAAAAHulPUk=")</f>
        <v>#VALUE!</v>
      </c>
      <c r="BW1" t="e">
        <f>AND(Ischemia_singlenet_25percent_ou!B25,"AAAAAHulPUo=")</f>
        <v>#VALUE!</v>
      </c>
      <c r="BX1">
        <f>IF(Ischemia_singlenet_25percent_ou!26:26,"AAAAAHulPUs=",0)</f>
        <v>0</v>
      </c>
      <c r="BY1" t="e">
        <f>AND(Ischemia_singlenet_25percent_ou!A26,"AAAAAHulPUw=")</f>
        <v>#VALUE!</v>
      </c>
      <c r="BZ1" t="e">
        <f>AND(Ischemia_singlenet_25percent_ou!B26,"AAAAAHulPU0=")</f>
        <v>#VALUE!</v>
      </c>
      <c r="CA1">
        <f>IF(Ischemia_singlenet_25percent_ou!27:27,"AAAAAHulPU4=",0)</f>
        <v>0</v>
      </c>
      <c r="CB1" t="e">
        <f>AND(Ischemia_singlenet_25percent_ou!A27,"AAAAAHulPU8=")</f>
        <v>#VALUE!</v>
      </c>
      <c r="CC1" t="e">
        <f>AND(Ischemia_singlenet_25percent_ou!B27,"AAAAAHulPVA=")</f>
        <v>#VALUE!</v>
      </c>
      <c r="CD1">
        <f>IF(Ischemia_singlenet_25percent_ou!28:28,"AAAAAHulPVE=",0)</f>
        <v>0</v>
      </c>
      <c r="CE1" t="e">
        <f>AND(Ischemia_singlenet_25percent_ou!A28,"AAAAAHulPVI=")</f>
        <v>#VALUE!</v>
      </c>
      <c r="CF1" t="e">
        <f>AND(Ischemia_singlenet_25percent_ou!B28,"AAAAAHulPVM=")</f>
        <v>#VALUE!</v>
      </c>
      <c r="CG1">
        <f>IF(Ischemia_singlenet_25percent_ou!29:29,"AAAAAHulPVQ=",0)</f>
        <v>0</v>
      </c>
      <c r="CH1" t="e">
        <f>AND(Ischemia_singlenet_25percent_ou!A29,"AAAAAHulPVU=")</f>
        <v>#VALUE!</v>
      </c>
      <c r="CI1" t="e">
        <f>AND(Ischemia_singlenet_25percent_ou!B29,"AAAAAHulPVY=")</f>
        <v>#VALUE!</v>
      </c>
      <c r="CJ1">
        <f>IF(Ischemia_singlenet_25percent_ou!30:30,"AAAAAHulPVc=",0)</f>
        <v>0</v>
      </c>
      <c r="CK1" t="e">
        <f>AND(Ischemia_singlenet_25percent_ou!A30,"AAAAAHulPVg=")</f>
        <v>#VALUE!</v>
      </c>
      <c r="CL1" t="e">
        <f>AND(Ischemia_singlenet_25percent_ou!B30,"AAAAAHulPVk=")</f>
        <v>#VALUE!</v>
      </c>
      <c r="CM1">
        <f>IF(Ischemia_singlenet_25percent_ou!31:31,"AAAAAHulPVo=",0)</f>
        <v>0</v>
      </c>
      <c r="CN1" t="e">
        <f>AND(Ischemia_singlenet_25percent_ou!A31,"AAAAAHulPVs=")</f>
        <v>#VALUE!</v>
      </c>
      <c r="CO1" t="e">
        <f>AND(Ischemia_singlenet_25percent_ou!B31,"AAAAAHulPVw=")</f>
        <v>#VALUE!</v>
      </c>
      <c r="CP1">
        <f>IF(Ischemia_singlenet_25percent_ou!32:32,"AAAAAHulPV0=",0)</f>
        <v>0</v>
      </c>
      <c r="CQ1" t="e">
        <f>AND(Ischemia_singlenet_25percent_ou!A32,"AAAAAHulPV4=")</f>
        <v>#VALUE!</v>
      </c>
      <c r="CR1" t="e">
        <f>AND(Ischemia_singlenet_25percent_ou!B32,"AAAAAHulPV8=")</f>
        <v>#VALUE!</v>
      </c>
      <c r="CS1">
        <f>IF(Ischemia_singlenet_25percent_ou!33:33,"AAAAAHulPWA=",0)</f>
        <v>0</v>
      </c>
      <c r="CT1" t="e">
        <f>AND(Ischemia_singlenet_25percent_ou!A33,"AAAAAHulPWE=")</f>
        <v>#VALUE!</v>
      </c>
      <c r="CU1" t="e">
        <f>AND(Ischemia_singlenet_25percent_ou!B33,"AAAAAHulPWI=")</f>
        <v>#VALUE!</v>
      </c>
      <c r="CV1">
        <f>IF(Ischemia_singlenet_25percent_ou!34:34,"AAAAAHulPWM=",0)</f>
        <v>0</v>
      </c>
      <c r="CW1" t="e">
        <f>AND(Ischemia_singlenet_25percent_ou!A34,"AAAAAHulPWQ=")</f>
        <v>#VALUE!</v>
      </c>
      <c r="CX1" t="e">
        <f>AND(Ischemia_singlenet_25percent_ou!B34,"AAAAAHulPWU=")</f>
        <v>#VALUE!</v>
      </c>
      <c r="CY1">
        <f>IF(Ischemia_singlenet_25percent_ou!35:35,"AAAAAHulPWY=",0)</f>
        <v>0</v>
      </c>
      <c r="CZ1" t="e">
        <f>AND(Ischemia_singlenet_25percent_ou!A35,"AAAAAHulPWc=")</f>
        <v>#VALUE!</v>
      </c>
      <c r="DA1" t="e">
        <f>AND(Ischemia_singlenet_25percent_ou!B35,"AAAAAHulPWg=")</f>
        <v>#VALUE!</v>
      </c>
      <c r="DB1">
        <f>IF(Ischemia_singlenet_25percent_ou!36:36,"AAAAAHulPWk=",0)</f>
        <v>0</v>
      </c>
      <c r="DC1" t="e">
        <f>AND(Ischemia_singlenet_25percent_ou!A36,"AAAAAHulPWo=")</f>
        <v>#VALUE!</v>
      </c>
      <c r="DD1" t="e">
        <f>AND(Ischemia_singlenet_25percent_ou!B36,"AAAAAHulPWs=")</f>
        <v>#VALUE!</v>
      </c>
      <c r="DE1">
        <f>IF(Ischemia_singlenet_25percent_ou!37:37,"AAAAAHulPWw=",0)</f>
        <v>0</v>
      </c>
      <c r="DF1" t="e">
        <f>AND(Ischemia_singlenet_25percent_ou!A37,"AAAAAHulPW0=")</f>
        <v>#VALUE!</v>
      </c>
      <c r="DG1" t="e">
        <f>AND(Ischemia_singlenet_25percent_ou!B37,"AAAAAHulPW4=")</f>
        <v>#VALUE!</v>
      </c>
      <c r="DH1">
        <f>IF(Ischemia_singlenet_25percent_ou!38:38,"AAAAAHulPW8=",0)</f>
        <v>0</v>
      </c>
      <c r="DI1" t="e">
        <f>AND(Ischemia_singlenet_25percent_ou!A38,"AAAAAHulPXA=")</f>
        <v>#VALUE!</v>
      </c>
      <c r="DJ1" t="e">
        <f>AND(Ischemia_singlenet_25percent_ou!B38,"AAAAAHulPXE=")</f>
        <v>#VALUE!</v>
      </c>
      <c r="DK1">
        <f>IF(Ischemia_singlenet_25percent_ou!39:39,"AAAAAHulPXI=",0)</f>
        <v>0</v>
      </c>
      <c r="DL1" t="e">
        <f>AND(Ischemia_singlenet_25percent_ou!A39,"AAAAAHulPXM=")</f>
        <v>#VALUE!</v>
      </c>
      <c r="DM1" t="e">
        <f>AND(Ischemia_singlenet_25percent_ou!B39,"AAAAAHulPXQ=")</f>
        <v>#VALUE!</v>
      </c>
      <c r="DN1">
        <f>IF(Ischemia_singlenet_25percent_ou!40:40,"AAAAAHulPXU=",0)</f>
        <v>0</v>
      </c>
      <c r="DO1" t="e">
        <f>AND(Ischemia_singlenet_25percent_ou!A40,"AAAAAHulPXY=")</f>
        <v>#VALUE!</v>
      </c>
      <c r="DP1" t="e">
        <f>AND(Ischemia_singlenet_25percent_ou!B40,"AAAAAHulPXc=")</f>
        <v>#VALUE!</v>
      </c>
      <c r="DQ1">
        <f>IF(Ischemia_singlenet_25percent_ou!41:41,"AAAAAHulPXg=",0)</f>
        <v>0</v>
      </c>
      <c r="DR1" t="e">
        <f>AND(Ischemia_singlenet_25percent_ou!A41,"AAAAAHulPXk=")</f>
        <v>#VALUE!</v>
      </c>
      <c r="DS1" t="e">
        <f>AND(Ischemia_singlenet_25percent_ou!B41,"AAAAAHulPXo=")</f>
        <v>#VALUE!</v>
      </c>
      <c r="DT1">
        <f>IF(Ischemia_singlenet_25percent_ou!42:42,"AAAAAHulPXs=",0)</f>
        <v>0</v>
      </c>
      <c r="DU1" t="e">
        <f>AND(Ischemia_singlenet_25percent_ou!A42,"AAAAAHulPXw=")</f>
        <v>#VALUE!</v>
      </c>
      <c r="DV1" t="e">
        <f>AND(Ischemia_singlenet_25percent_ou!B42,"AAAAAHulPX0=")</f>
        <v>#VALUE!</v>
      </c>
      <c r="DW1">
        <f>IF(Ischemia_singlenet_25percent_ou!43:43,"AAAAAHulPX4=",0)</f>
        <v>0</v>
      </c>
      <c r="DX1" t="e">
        <f>AND(Ischemia_singlenet_25percent_ou!A43,"AAAAAHulPX8=")</f>
        <v>#VALUE!</v>
      </c>
      <c r="DY1" t="e">
        <f>AND(Ischemia_singlenet_25percent_ou!B43,"AAAAAHulPYA=")</f>
        <v>#VALUE!</v>
      </c>
      <c r="DZ1">
        <f>IF(Ischemia_singlenet_25percent_ou!44:44,"AAAAAHulPYE=",0)</f>
        <v>0</v>
      </c>
      <c r="EA1" t="e">
        <f>AND(Ischemia_singlenet_25percent_ou!A44,"AAAAAHulPYI=")</f>
        <v>#VALUE!</v>
      </c>
      <c r="EB1" t="e">
        <f>AND(Ischemia_singlenet_25percent_ou!B44,"AAAAAHulPYM=")</f>
        <v>#VALUE!</v>
      </c>
      <c r="EC1">
        <f>IF(Ischemia_singlenet_25percent_ou!45:45,"AAAAAHulPYQ=",0)</f>
        <v>0</v>
      </c>
      <c r="ED1" t="e">
        <f>AND(Ischemia_singlenet_25percent_ou!A45,"AAAAAHulPYU=")</f>
        <v>#VALUE!</v>
      </c>
      <c r="EE1" t="e">
        <f>AND(Ischemia_singlenet_25percent_ou!B45,"AAAAAHulPYY=")</f>
        <v>#VALUE!</v>
      </c>
      <c r="EF1">
        <f>IF(Ischemia_singlenet_25percent_ou!46:46,"AAAAAHulPYc=",0)</f>
        <v>0</v>
      </c>
      <c r="EG1" t="e">
        <f>AND(Ischemia_singlenet_25percent_ou!A46,"AAAAAHulPYg=")</f>
        <v>#VALUE!</v>
      </c>
      <c r="EH1" t="e">
        <f>AND(Ischemia_singlenet_25percent_ou!B46,"AAAAAHulPYk=")</f>
        <v>#VALUE!</v>
      </c>
      <c r="EI1">
        <f>IF(Ischemia_singlenet_25percent_ou!47:47,"AAAAAHulPYo=",0)</f>
        <v>0</v>
      </c>
      <c r="EJ1" t="e">
        <f>AND(Ischemia_singlenet_25percent_ou!A47,"AAAAAHulPYs=")</f>
        <v>#VALUE!</v>
      </c>
      <c r="EK1" t="e">
        <f>AND(Ischemia_singlenet_25percent_ou!B47,"AAAAAHulPYw=")</f>
        <v>#VALUE!</v>
      </c>
      <c r="EL1">
        <f>IF(Ischemia_singlenet_25percent_ou!48:48,"AAAAAHulPY0=",0)</f>
        <v>0</v>
      </c>
      <c r="EM1" t="e">
        <f>AND(Ischemia_singlenet_25percent_ou!A48,"AAAAAHulPY4=")</f>
        <v>#VALUE!</v>
      </c>
      <c r="EN1" t="e">
        <f>AND(Ischemia_singlenet_25percent_ou!B48,"AAAAAHulPY8=")</f>
        <v>#VALUE!</v>
      </c>
      <c r="EO1">
        <f>IF(Ischemia_singlenet_25percent_ou!49:49,"AAAAAHulPZA=",0)</f>
        <v>0</v>
      </c>
      <c r="EP1" t="e">
        <f>AND(Ischemia_singlenet_25percent_ou!A49,"AAAAAHulPZE=")</f>
        <v>#VALUE!</v>
      </c>
      <c r="EQ1" t="e">
        <f>AND(Ischemia_singlenet_25percent_ou!B49,"AAAAAHulPZI=")</f>
        <v>#VALUE!</v>
      </c>
      <c r="ER1">
        <f>IF(Ischemia_singlenet_25percent_ou!50:50,"AAAAAHulPZM=",0)</f>
        <v>0</v>
      </c>
      <c r="ES1" t="e">
        <f>AND(Ischemia_singlenet_25percent_ou!A50,"AAAAAHulPZQ=")</f>
        <v>#VALUE!</v>
      </c>
      <c r="ET1" t="e">
        <f>AND(Ischemia_singlenet_25percent_ou!B50,"AAAAAHulPZU=")</f>
        <v>#VALUE!</v>
      </c>
      <c r="EU1">
        <f>IF(Ischemia_singlenet_25percent_ou!51:51,"AAAAAHulPZY=",0)</f>
        <v>0</v>
      </c>
      <c r="EV1" t="e">
        <f>AND(Ischemia_singlenet_25percent_ou!A51,"AAAAAHulPZc=")</f>
        <v>#VALUE!</v>
      </c>
      <c r="EW1" t="e">
        <f>AND(Ischemia_singlenet_25percent_ou!B51,"AAAAAHulPZg=")</f>
        <v>#VALUE!</v>
      </c>
      <c r="EX1">
        <f>IF(Ischemia_singlenet_25percent_ou!52:52,"AAAAAHulPZk=",0)</f>
        <v>0</v>
      </c>
      <c r="EY1" t="e">
        <f>AND(Ischemia_singlenet_25percent_ou!A52,"AAAAAHulPZo=")</f>
        <v>#VALUE!</v>
      </c>
      <c r="EZ1" t="e">
        <f>AND(Ischemia_singlenet_25percent_ou!B52,"AAAAAHulPZs=")</f>
        <v>#VALUE!</v>
      </c>
      <c r="FA1">
        <f>IF(Ischemia_singlenet_25percent_ou!53:53,"AAAAAHulPZw=",0)</f>
        <v>0</v>
      </c>
      <c r="FB1" t="e">
        <f>AND(Ischemia_singlenet_25percent_ou!A53,"AAAAAHulPZ0=")</f>
        <v>#VALUE!</v>
      </c>
      <c r="FC1" t="e">
        <f>AND(Ischemia_singlenet_25percent_ou!B53,"AAAAAHulPZ4=")</f>
        <v>#VALUE!</v>
      </c>
      <c r="FD1">
        <f>IF(Ischemia_singlenet_25percent_ou!54:54,"AAAAAHulPZ8=",0)</f>
        <v>0</v>
      </c>
      <c r="FE1" t="e">
        <f>AND(Ischemia_singlenet_25percent_ou!A54,"AAAAAHulPaA=")</f>
        <v>#VALUE!</v>
      </c>
      <c r="FF1" t="e">
        <f>AND(Ischemia_singlenet_25percent_ou!B54,"AAAAAHulPaE=")</f>
        <v>#VALUE!</v>
      </c>
      <c r="FG1">
        <f>IF(Ischemia_singlenet_25percent_ou!55:55,"AAAAAHulPaI=",0)</f>
        <v>0</v>
      </c>
      <c r="FH1" t="e">
        <f>AND(Ischemia_singlenet_25percent_ou!A55,"AAAAAHulPaM=")</f>
        <v>#VALUE!</v>
      </c>
      <c r="FI1" t="e">
        <f>AND(Ischemia_singlenet_25percent_ou!B55,"AAAAAHulPaQ=")</f>
        <v>#VALUE!</v>
      </c>
      <c r="FJ1">
        <f>IF(Ischemia_singlenet_25percent_ou!56:56,"AAAAAHulPaU=",0)</f>
        <v>0</v>
      </c>
      <c r="FK1" t="e">
        <f>AND(Ischemia_singlenet_25percent_ou!A56,"AAAAAHulPaY=")</f>
        <v>#VALUE!</v>
      </c>
      <c r="FL1" t="e">
        <f>AND(Ischemia_singlenet_25percent_ou!B56,"AAAAAHulPac=")</f>
        <v>#VALUE!</v>
      </c>
      <c r="FM1">
        <f>IF(Ischemia_singlenet_25percent_ou!57:57,"AAAAAHulPag=",0)</f>
        <v>0</v>
      </c>
      <c r="FN1" t="e">
        <f>AND(Ischemia_singlenet_25percent_ou!A57,"AAAAAHulPak=")</f>
        <v>#VALUE!</v>
      </c>
      <c r="FO1" t="e">
        <f>AND(Ischemia_singlenet_25percent_ou!B57,"AAAAAHulPao=")</f>
        <v>#VALUE!</v>
      </c>
      <c r="FP1">
        <f>IF(Ischemia_singlenet_25percent_ou!58:58,"AAAAAHulPas=",0)</f>
        <v>0</v>
      </c>
      <c r="FQ1" t="e">
        <f>AND(Ischemia_singlenet_25percent_ou!A58,"AAAAAHulPaw=")</f>
        <v>#VALUE!</v>
      </c>
      <c r="FR1" t="e">
        <f>AND(Ischemia_singlenet_25percent_ou!B58,"AAAAAHulPa0=")</f>
        <v>#VALUE!</v>
      </c>
      <c r="FS1">
        <f>IF(Ischemia_singlenet_25percent_ou!59:59,"AAAAAHulPa4=",0)</f>
        <v>0</v>
      </c>
      <c r="FT1" t="e">
        <f>AND(Ischemia_singlenet_25percent_ou!A59,"AAAAAHulPa8=")</f>
        <v>#VALUE!</v>
      </c>
      <c r="FU1" t="e">
        <f>AND(Ischemia_singlenet_25percent_ou!B59,"AAAAAHulPbA=")</f>
        <v>#VALUE!</v>
      </c>
      <c r="FV1">
        <f>IF(Ischemia_singlenet_25percent_ou!60:60,"AAAAAHulPbE=",0)</f>
        <v>0</v>
      </c>
      <c r="FW1" t="e">
        <f>AND(Ischemia_singlenet_25percent_ou!A60,"AAAAAHulPbI=")</f>
        <v>#VALUE!</v>
      </c>
      <c r="FX1" t="e">
        <f>AND(Ischemia_singlenet_25percent_ou!B60,"AAAAAHulPbM=")</f>
        <v>#VALUE!</v>
      </c>
      <c r="FY1">
        <f>IF(Ischemia_singlenet_25percent_ou!61:61,"AAAAAHulPbQ=",0)</f>
        <v>0</v>
      </c>
      <c r="FZ1" t="e">
        <f>AND(Ischemia_singlenet_25percent_ou!A61,"AAAAAHulPbU=")</f>
        <v>#VALUE!</v>
      </c>
      <c r="GA1" t="e">
        <f>AND(Ischemia_singlenet_25percent_ou!B61,"AAAAAHulPbY=")</f>
        <v>#VALUE!</v>
      </c>
      <c r="GB1">
        <f>IF(Ischemia_singlenet_25percent_ou!62:62,"AAAAAHulPbc=",0)</f>
        <v>0</v>
      </c>
      <c r="GC1" t="e">
        <f>AND(Ischemia_singlenet_25percent_ou!A62,"AAAAAHulPbg=")</f>
        <v>#VALUE!</v>
      </c>
      <c r="GD1" t="e">
        <f>AND(Ischemia_singlenet_25percent_ou!B62,"AAAAAHulPbk=")</f>
        <v>#VALUE!</v>
      </c>
      <c r="GE1">
        <f>IF(Ischemia_singlenet_25percent_ou!63:63,"AAAAAHulPbo=",0)</f>
        <v>0</v>
      </c>
      <c r="GF1" t="e">
        <f>AND(Ischemia_singlenet_25percent_ou!A63,"AAAAAHulPbs=")</f>
        <v>#VALUE!</v>
      </c>
      <c r="GG1" t="e">
        <f>AND(Ischemia_singlenet_25percent_ou!B63,"AAAAAHulPbw=")</f>
        <v>#VALUE!</v>
      </c>
      <c r="GH1">
        <f>IF(Ischemia_singlenet_25percent_ou!64:64,"AAAAAHulPb0=",0)</f>
        <v>0</v>
      </c>
      <c r="GI1" t="e">
        <f>AND(Ischemia_singlenet_25percent_ou!A64,"AAAAAHulPb4=")</f>
        <v>#VALUE!</v>
      </c>
      <c r="GJ1" t="e">
        <f>AND(Ischemia_singlenet_25percent_ou!B64,"AAAAAHulPb8=")</f>
        <v>#VALUE!</v>
      </c>
      <c r="GK1">
        <f>IF(Ischemia_singlenet_25percent_ou!65:65,"AAAAAHulPcA=",0)</f>
        <v>0</v>
      </c>
      <c r="GL1" t="e">
        <f>AND(Ischemia_singlenet_25percent_ou!A65,"AAAAAHulPcE=")</f>
        <v>#VALUE!</v>
      </c>
      <c r="GM1" t="e">
        <f>AND(Ischemia_singlenet_25percent_ou!B65,"AAAAAHulPcI=")</f>
        <v>#VALUE!</v>
      </c>
      <c r="GN1">
        <f>IF(Ischemia_singlenet_25percent_ou!66:66,"AAAAAHulPcM=",0)</f>
        <v>0</v>
      </c>
      <c r="GO1" t="e">
        <f>AND(Ischemia_singlenet_25percent_ou!A66,"AAAAAHulPcQ=")</f>
        <v>#VALUE!</v>
      </c>
      <c r="GP1" t="e">
        <f>AND(Ischemia_singlenet_25percent_ou!B66,"AAAAAHulPcU=")</f>
        <v>#VALUE!</v>
      </c>
      <c r="GQ1">
        <f>IF(Ischemia_singlenet_25percent_ou!67:67,"AAAAAHulPcY=",0)</f>
        <v>0</v>
      </c>
      <c r="GR1" t="e">
        <f>AND(Ischemia_singlenet_25percent_ou!A67,"AAAAAHulPcc=")</f>
        <v>#VALUE!</v>
      </c>
      <c r="GS1" t="e">
        <f>AND(Ischemia_singlenet_25percent_ou!B67,"AAAAAHulPcg=")</f>
        <v>#VALUE!</v>
      </c>
      <c r="GT1">
        <f>IF(Ischemia_singlenet_25percent_ou!68:68,"AAAAAHulPck=",0)</f>
        <v>0</v>
      </c>
      <c r="GU1" t="e">
        <f>AND(Ischemia_singlenet_25percent_ou!A68,"AAAAAHulPco=")</f>
        <v>#VALUE!</v>
      </c>
      <c r="GV1" t="e">
        <f>AND(Ischemia_singlenet_25percent_ou!B68,"AAAAAHulPcs=")</f>
        <v>#VALUE!</v>
      </c>
      <c r="GW1">
        <f>IF(Ischemia_singlenet_25percent_ou!69:69,"AAAAAHulPcw=",0)</f>
        <v>0</v>
      </c>
      <c r="GX1" t="e">
        <f>AND(Ischemia_singlenet_25percent_ou!A69,"AAAAAHulPc0=")</f>
        <v>#VALUE!</v>
      </c>
      <c r="GY1" t="e">
        <f>AND(Ischemia_singlenet_25percent_ou!B69,"AAAAAHulPc4=")</f>
        <v>#VALUE!</v>
      </c>
      <c r="GZ1">
        <f>IF(Ischemia_singlenet_25percent_ou!70:70,"AAAAAHulPc8=",0)</f>
        <v>0</v>
      </c>
      <c r="HA1" t="e">
        <f>AND(Ischemia_singlenet_25percent_ou!A70,"AAAAAHulPdA=")</f>
        <v>#VALUE!</v>
      </c>
      <c r="HB1" t="e">
        <f>AND(Ischemia_singlenet_25percent_ou!B70,"AAAAAHulPdE=")</f>
        <v>#VALUE!</v>
      </c>
      <c r="HC1">
        <f>IF(Ischemia_singlenet_25percent_ou!71:71,"AAAAAHulPdI=",0)</f>
        <v>0</v>
      </c>
      <c r="HD1" t="e">
        <f>AND(Ischemia_singlenet_25percent_ou!A71,"AAAAAHulPdM=")</f>
        <v>#VALUE!</v>
      </c>
      <c r="HE1" t="e">
        <f>AND(Ischemia_singlenet_25percent_ou!B71,"AAAAAHulPdQ=")</f>
        <v>#VALUE!</v>
      </c>
      <c r="HF1">
        <f>IF(Ischemia_singlenet_25percent_ou!72:72,"AAAAAHulPdU=",0)</f>
        <v>0</v>
      </c>
      <c r="HG1" t="e">
        <f>AND(Ischemia_singlenet_25percent_ou!A72,"AAAAAHulPdY=")</f>
        <v>#VALUE!</v>
      </c>
      <c r="HH1" t="e">
        <f>AND(Ischemia_singlenet_25percent_ou!B72,"AAAAAHulPdc=")</f>
        <v>#VALUE!</v>
      </c>
      <c r="HI1">
        <f>IF(Ischemia_singlenet_25percent_ou!73:73,"AAAAAHulPdg=",0)</f>
        <v>0</v>
      </c>
      <c r="HJ1" t="e">
        <f>AND(Ischemia_singlenet_25percent_ou!A73,"AAAAAHulPdk=")</f>
        <v>#VALUE!</v>
      </c>
      <c r="HK1" t="e">
        <f>AND(Ischemia_singlenet_25percent_ou!B73,"AAAAAHulPdo=")</f>
        <v>#VALUE!</v>
      </c>
      <c r="HL1">
        <f>IF(Ischemia_singlenet_25percent_ou!74:74,"AAAAAHulPds=",0)</f>
        <v>0</v>
      </c>
      <c r="HM1" t="e">
        <f>AND(Ischemia_singlenet_25percent_ou!A74,"AAAAAHulPdw=")</f>
        <v>#VALUE!</v>
      </c>
      <c r="HN1" t="e">
        <f>AND(Ischemia_singlenet_25percent_ou!B74,"AAAAAHulPd0=")</f>
        <v>#VALUE!</v>
      </c>
      <c r="HO1">
        <f>IF(Ischemia_singlenet_25percent_ou!75:75,"AAAAAHulPd4=",0)</f>
        <v>0</v>
      </c>
      <c r="HP1" t="e">
        <f>AND(Ischemia_singlenet_25percent_ou!A75,"AAAAAHulPd8=")</f>
        <v>#VALUE!</v>
      </c>
      <c r="HQ1" t="e">
        <f>AND(Ischemia_singlenet_25percent_ou!B75,"AAAAAHulPeA=")</f>
        <v>#VALUE!</v>
      </c>
      <c r="HR1">
        <f>IF(Ischemia_singlenet_25percent_ou!76:76,"AAAAAHulPeE=",0)</f>
        <v>0</v>
      </c>
      <c r="HS1" t="e">
        <f>AND(Ischemia_singlenet_25percent_ou!A76,"AAAAAHulPeI=")</f>
        <v>#VALUE!</v>
      </c>
      <c r="HT1" t="e">
        <f>AND(Ischemia_singlenet_25percent_ou!B76,"AAAAAHulPeM=")</f>
        <v>#VALUE!</v>
      </c>
      <c r="HU1">
        <f>IF(Ischemia_singlenet_25percent_ou!77:77,"AAAAAHulPeQ=",0)</f>
        <v>0</v>
      </c>
      <c r="HV1" t="e">
        <f>AND(Ischemia_singlenet_25percent_ou!A77,"AAAAAHulPeU=")</f>
        <v>#VALUE!</v>
      </c>
      <c r="HW1" t="e">
        <f>AND(Ischemia_singlenet_25percent_ou!B77,"AAAAAHulPeY=")</f>
        <v>#VALUE!</v>
      </c>
      <c r="HX1">
        <f>IF(Ischemia_singlenet_25percent_ou!78:78,"AAAAAHulPec=",0)</f>
        <v>0</v>
      </c>
      <c r="HY1" t="e">
        <f>AND(Ischemia_singlenet_25percent_ou!A78,"AAAAAHulPeg=")</f>
        <v>#VALUE!</v>
      </c>
      <c r="HZ1" t="e">
        <f>AND(Ischemia_singlenet_25percent_ou!B78,"AAAAAHulPek=")</f>
        <v>#VALUE!</v>
      </c>
      <c r="IA1">
        <f>IF(Ischemia_singlenet_25percent_ou!79:79,"AAAAAHulPeo=",0)</f>
        <v>0</v>
      </c>
      <c r="IB1" t="e">
        <f>AND(Ischemia_singlenet_25percent_ou!A79,"AAAAAHulPes=")</f>
        <v>#VALUE!</v>
      </c>
      <c r="IC1" t="e">
        <f>AND(Ischemia_singlenet_25percent_ou!B79,"AAAAAHulPew=")</f>
        <v>#VALUE!</v>
      </c>
      <c r="ID1">
        <f>IF(Ischemia_singlenet_25percent_ou!80:80,"AAAAAHulPe0=",0)</f>
        <v>0</v>
      </c>
      <c r="IE1" t="e">
        <f>AND(Ischemia_singlenet_25percent_ou!A80,"AAAAAHulPe4=")</f>
        <v>#VALUE!</v>
      </c>
      <c r="IF1" t="e">
        <f>AND(Ischemia_singlenet_25percent_ou!B80,"AAAAAHulPe8=")</f>
        <v>#VALUE!</v>
      </c>
      <c r="IG1">
        <f>IF(Ischemia_singlenet_25percent_ou!81:81,"AAAAAHulPfA=",0)</f>
        <v>0</v>
      </c>
      <c r="IH1" t="e">
        <f>AND(Ischemia_singlenet_25percent_ou!A81,"AAAAAHulPfE=")</f>
        <v>#VALUE!</v>
      </c>
      <c r="II1" t="e">
        <f>AND(Ischemia_singlenet_25percent_ou!B81,"AAAAAHulPfI=")</f>
        <v>#VALUE!</v>
      </c>
      <c r="IJ1">
        <f>IF(Ischemia_singlenet_25percent_ou!82:82,"AAAAAHulPfM=",0)</f>
        <v>0</v>
      </c>
      <c r="IK1" t="e">
        <f>AND(Ischemia_singlenet_25percent_ou!A82,"AAAAAHulPfQ=")</f>
        <v>#VALUE!</v>
      </c>
      <c r="IL1" t="e">
        <f>AND(Ischemia_singlenet_25percent_ou!B82,"AAAAAHulPfU=")</f>
        <v>#VALUE!</v>
      </c>
      <c r="IM1">
        <f>IF(Ischemia_singlenet_25percent_ou!83:83,"AAAAAHulPfY=",0)</f>
        <v>0</v>
      </c>
      <c r="IN1" t="e">
        <f>AND(Ischemia_singlenet_25percent_ou!A83,"AAAAAHulPfc=")</f>
        <v>#VALUE!</v>
      </c>
      <c r="IO1" t="e">
        <f>AND(Ischemia_singlenet_25percent_ou!B83,"AAAAAHulPfg=")</f>
        <v>#VALUE!</v>
      </c>
      <c r="IP1">
        <f>IF(Ischemia_singlenet_25percent_ou!84:84,"AAAAAHulPfk=",0)</f>
        <v>0</v>
      </c>
      <c r="IQ1" t="e">
        <f>AND(Ischemia_singlenet_25percent_ou!A84,"AAAAAHulPfo=")</f>
        <v>#VALUE!</v>
      </c>
      <c r="IR1" t="e">
        <f>AND(Ischemia_singlenet_25percent_ou!B84,"AAAAAHulPfs=")</f>
        <v>#VALUE!</v>
      </c>
      <c r="IS1">
        <f>IF(Ischemia_singlenet_25percent_ou!85:85,"AAAAAHulPfw=",0)</f>
        <v>0</v>
      </c>
      <c r="IT1" t="e">
        <f>AND(Ischemia_singlenet_25percent_ou!A85,"AAAAAHulPf0=")</f>
        <v>#VALUE!</v>
      </c>
      <c r="IU1" t="e">
        <f>AND(Ischemia_singlenet_25percent_ou!B85,"AAAAAHulPf4=")</f>
        <v>#VALUE!</v>
      </c>
      <c r="IV1">
        <f>IF(Ischemia_singlenet_25percent_ou!86:86,"AAAAAHulPf8=",0)</f>
        <v>0</v>
      </c>
    </row>
    <row r="2" spans="1:256">
      <c r="A2" t="e">
        <f>AND(Ischemia_singlenet_25percent_ou!A86,"AAAAAFXB5wA=")</f>
        <v>#VALUE!</v>
      </c>
      <c r="B2" t="e">
        <f>AND(Ischemia_singlenet_25percent_ou!B86,"AAAAAFXB5wE=")</f>
        <v>#VALUE!</v>
      </c>
      <c r="C2">
        <f>IF(Ischemia_singlenet_25percent_ou!87:87,"AAAAAFXB5wI=",0)</f>
        <v>0</v>
      </c>
      <c r="D2" t="e">
        <f>AND(Ischemia_singlenet_25percent_ou!A87,"AAAAAFXB5wM=")</f>
        <v>#VALUE!</v>
      </c>
      <c r="E2" t="e">
        <f>AND(Ischemia_singlenet_25percent_ou!B87,"AAAAAFXB5wQ=")</f>
        <v>#VALUE!</v>
      </c>
      <c r="F2">
        <f>IF(Ischemia_singlenet_25percent_ou!88:88,"AAAAAFXB5wU=",0)</f>
        <v>0</v>
      </c>
      <c r="G2" t="e">
        <f>AND(Ischemia_singlenet_25percent_ou!A88,"AAAAAFXB5wY=")</f>
        <v>#VALUE!</v>
      </c>
      <c r="H2" t="e">
        <f>AND(Ischemia_singlenet_25percent_ou!B88,"AAAAAFXB5wc=")</f>
        <v>#VALUE!</v>
      </c>
      <c r="I2">
        <f>IF(Ischemia_singlenet_25percent_ou!89:89,"AAAAAFXB5wg=",0)</f>
        <v>0</v>
      </c>
      <c r="J2" t="e">
        <f>AND(Ischemia_singlenet_25percent_ou!A89,"AAAAAFXB5wk=")</f>
        <v>#VALUE!</v>
      </c>
      <c r="K2" t="e">
        <f>AND(Ischemia_singlenet_25percent_ou!B89,"AAAAAFXB5wo=")</f>
        <v>#VALUE!</v>
      </c>
      <c r="L2">
        <f>IF(Ischemia_singlenet_25percent_ou!90:90,"AAAAAFXB5ws=",0)</f>
        <v>0</v>
      </c>
      <c r="M2" t="e">
        <f>AND(Ischemia_singlenet_25percent_ou!A90,"AAAAAFXB5ww=")</f>
        <v>#VALUE!</v>
      </c>
      <c r="N2" t="e">
        <f>AND(Ischemia_singlenet_25percent_ou!B90,"AAAAAFXB5w0=")</f>
        <v>#VALUE!</v>
      </c>
      <c r="O2">
        <f>IF(Ischemia_singlenet_25percent_ou!91:91,"AAAAAFXB5w4=",0)</f>
        <v>0</v>
      </c>
      <c r="P2" t="e">
        <f>AND(Ischemia_singlenet_25percent_ou!A91,"AAAAAFXB5w8=")</f>
        <v>#VALUE!</v>
      </c>
      <c r="Q2" t="e">
        <f>AND(Ischemia_singlenet_25percent_ou!B91,"AAAAAFXB5xA=")</f>
        <v>#VALUE!</v>
      </c>
      <c r="R2">
        <f>IF(Ischemia_singlenet_25percent_ou!92:92,"AAAAAFXB5xE=",0)</f>
        <v>0</v>
      </c>
      <c r="S2" t="e">
        <f>AND(Ischemia_singlenet_25percent_ou!A92,"AAAAAFXB5xI=")</f>
        <v>#VALUE!</v>
      </c>
      <c r="T2" t="e">
        <f>AND(Ischemia_singlenet_25percent_ou!B92,"AAAAAFXB5xM=")</f>
        <v>#VALUE!</v>
      </c>
      <c r="U2">
        <f>IF(Ischemia_singlenet_25percent_ou!93:93,"AAAAAFXB5xQ=",0)</f>
        <v>0</v>
      </c>
      <c r="V2" t="e">
        <f>AND(Ischemia_singlenet_25percent_ou!A93,"AAAAAFXB5xU=")</f>
        <v>#VALUE!</v>
      </c>
      <c r="W2" t="e">
        <f>AND(Ischemia_singlenet_25percent_ou!B93,"AAAAAFXB5xY=")</f>
        <v>#VALUE!</v>
      </c>
      <c r="X2">
        <f>IF(Ischemia_singlenet_25percent_ou!94:94,"AAAAAFXB5xc=",0)</f>
        <v>0</v>
      </c>
      <c r="Y2" t="e">
        <f>AND(Ischemia_singlenet_25percent_ou!A94,"AAAAAFXB5xg=")</f>
        <v>#VALUE!</v>
      </c>
      <c r="Z2" t="e">
        <f>AND(Ischemia_singlenet_25percent_ou!B94,"AAAAAFXB5xk=")</f>
        <v>#VALUE!</v>
      </c>
      <c r="AA2">
        <f>IF(Ischemia_singlenet_25percent_ou!95:95,"AAAAAFXB5xo=",0)</f>
        <v>0</v>
      </c>
      <c r="AB2" t="e">
        <f>AND(Ischemia_singlenet_25percent_ou!A95,"AAAAAFXB5xs=")</f>
        <v>#VALUE!</v>
      </c>
      <c r="AC2" t="e">
        <f>AND(Ischemia_singlenet_25percent_ou!B95,"AAAAAFXB5xw=")</f>
        <v>#VALUE!</v>
      </c>
      <c r="AD2">
        <f>IF(Ischemia_singlenet_25percent_ou!96:96,"AAAAAFXB5x0=",0)</f>
        <v>0</v>
      </c>
      <c r="AE2" t="e">
        <f>AND(Ischemia_singlenet_25percent_ou!A96,"AAAAAFXB5x4=")</f>
        <v>#VALUE!</v>
      </c>
      <c r="AF2" t="e">
        <f>AND(Ischemia_singlenet_25percent_ou!B96,"AAAAAFXB5x8=")</f>
        <v>#VALUE!</v>
      </c>
      <c r="AG2">
        <f>IF(Ischemia_singlenet_25percent_ou!97:97,"AAAAAFXB5yA=",0)</f>
        <v>0</v>
      </c>
      <c r="AH2" t="e">
        <f>AND(Ischemia_singlenet_25percent_ou!A97,"AAAAAFXB5yE=")</f>
        <v>#VALUE!</v>
      </c>
      <c r="AI2" t="e">
        <f>AND(Ischemia_singlenet_25percent_ou!B97,"AAAAAFXB5yI=")</f>
        <v>#VALUE!</v>
      </c>
      <c r="AJ2">
        <f>IF(Ischemia_singlenet_25percent_ou!98:98,"AAAAAFXB5yM=",0)</f>
        <v>0</v>
      </c>
      <c r="AK2" t="e">
        <f>AND(Ischemia_singlenet_25percent_ou!A98,"AAAAAFXB5yQ=")</f>
        <v>#VALUE!</v>
      </c>
      <c r="AL2" t="e">
        <f>AND(Ischemia_singlenet_25percent_ou!B98,"AAAAAFXB5yU=")</f>
        <v>#VALUE!</v>
      </c>
      <c r="AM2">
        <f>IF(Ischemia_singlenet_25percent_ou!99:99,"AAAAAFXB5yY=",0)</f>
        <v>0</v>
      </c>
      <c r="AN2" t="e">
        <f>AND(Ischemia_singlenet_25percent_ou!A99,"AAAAAFXB5yc=")</f>
        <v>#VALUE!</v>
      </c>
      <c r="AO2" t="e">
        <f>AND(Ischemia_singlenet_25percent_ou!B99,"AAAAAFXB5yg=")</f>
        <v>#VALUE!</v>
      </c>
      <c r="AP2">
        <f>IF(Ischemia_singlenet_25percent_ou!100:100,"AAAAAFXB5yk=",0)</f>
        <v>0</v>
      </c>
      <c r="AQ2" t="e">
        <f>AND(Ischemia_singlenet_25percent_ou!A100,"AAAAAFXB5yo=")</f>
        <v>#VALUE!</v>
      </c>
      <c r="AR2" t="e">
        <f>AND(Ischemia_singlenet_25percent_ou!B100,"AAAAAFXB5ys=")</f>
        <v>#VALUE!</v>
      </c>
      <c r="AS2">
        <f>IF(Ischemia_singlenet_25percent_ou!101:101,"AAAAAFXB5yw=",0)</f>
        <v>0</v>
      </c>
      <c r="AT2" t="e">
        <f>AND(Ischemia_singlenet_25percent_ou!A101,"AAAAAFXB5y0=")</f>
        <v>#VALUE!</v>
      </c>
      <c r="AU2" t="e">
        <f>AND(Ischemia_singlenet_25percent_ou!B101,"AAAAAFXB5y4=")</f>
        <v>#VALUE!</v>
      </c>
      <c r="AV2">
        <f>IF(Ischemia_singlenet_25percent_ou!102:102,"AAAAAFXB5y8=",0)</f>
        <v>0</v>
      </c>
      <c r="AW2" t="e">
        <f>AND(Ischemia_singlenet_25percent_ou!A102,"AAAAAFXB5zA=")</f>
        <v>#VALUE!</v>
      </c>
      <c r="AX2" t="e">
        <f>AND(Ischemia_singlenet_25percent_ou!B102,"AAAAAFXB5zE=")</f>
        <v>#VALUE!</v>
      </c>
      <c r="AY2">
        <f>IF(Ischemia_singlenet_25percent_ou!103:103,"AAAAAFXB5zI=",0)</f>
        <v>0</v>
      </c>
      <c r="AZ2" t="e">
        <f>AND(Ischemia_singlenet_25percent_ou!A103,"AAAAAFXB5zM=")</f>
        <v>#VALUE!</v>
      </c>
      <c r="BA2" t="e">
        <f>AND(Ischemia_singlenet_25percent_ou!B103,"AAAAAFXB5zQ=")</f>
        <v>#VALUE!</v>
      </c>
      <c r="BB2">
        <f>IF(Ischemia_singlenet_25percent_ou!104:104,"AAAAAFXB5zU=",0)</f>
        <v>0</v>
      </c>
      <c r="BC2" t="e">
        <f>AND(Ischemia_singlenet_25percent_ou!A104,"AAAAAFXB5zY=")</f>
        <v>#VALUE!</v>
      </c>
      <c r="BD2" t="e">
        <f>AND(Ischemia_singlenet_25percent_ou!B104,"AAAAAFXB5zc=")</f>
        <v>#VALUE!</v>
      </c>
      <c r="BE2">
        <f>IF(Ischemia_singlenet_25percent_ou!105:105,"AAAAAFXB5zg=",0)</f>
        <v>0</v>
      </c>
      <c r="BF2" t="e">
        <f>AND(Ischemia_singlenet_25percent_ou!A105,"AAAAAFXB5zk=")</f>
        <v>#VALUE!</v>
      </c>
      <c r="BG2" t="e">
        <f>AND(Ischemia_singlenet_25percent_ou!B105,"AAAAAFXB5zo=")</f>
        <v>#VALUE!</v>
      </c>
      <c r="BH2">
        <f>IF(Ischemia_singlenet_25percent_ou!106:106,"AAAAAFXB5zs=",0)</f>
        <v>0</v>
      </c>
      <c r="BI2" t="e">
        <f>AND(Ischemia_singlenet_25percent_ou!A106,"AAAAAFXB5zw=")</f>
        <v>#VALUE!</v>
      </c>
      <c r="BJ2" t="e">
        <f>AND(Ischemia_singlenet_25percent_ou!B106,"AAAAAFXB5z0=")</f>
        <v>#VALUE!</v>
      </c>
      <c r="BK2">
        <f>IF(Ischemia_singlenet_25percent_ou!107:107,"AAAAAFXB5z4=",0)</f>
        <v>0</v>
      </c>
      <c r="BL2" t="e">
        <f>AND(Ischemia_singlenet_25percent_ou!A107,"AAAAAFXB5z8=")</f>
        <v>#VALUE!</v>
      </c>
      <c r="BM2" t="e">
        <f>AND(Ischemia_singlenet_25percent_ou!B107,"AAAAAFXB50A=")</f>
        <v>#VALUE!</v>
      </c>
      <c r="BN2">
        <f>IF(Ischemia_singlenet_25percent_ou!108:108,"AAAAAFXB50E=",0)</f>
        <v>0</v>
      </c>
      <c r="BO2" t="e">
        <f>AND(Ischemia_singlenet_25percent_ou!A108,"AAAAAFXB50I=")</f>
        <v>#VALUE!</v>
      </c>
      <c r="BP2" t="e">
        <f>AND(Ischemia_singlenet_25percent_ou!B108,"AAAAAFXB50M=")</f>
        <v>#VALUE!</v>
      </c>
      <c r="BQ2">
        <f>IF(Ischemia_singlenet_25percent_ou!109:109,"AAAAAFXB50Q=",0)</f>
        <v>0</v>
      </c>
      <c r="BR2" t="e">
        <f>AND(Ischemia_singlenet_25percent_ou!A109,"AAAAAFXB50U=")</f>
        <v>#VALUE!</v>
      </c>
      <c r="BS2" t="e">
        <f>AND(Ischemia_singlenet_25percent_ou!B109,"AAAAAFXB50Y=")</f>
        <v>#VALUE!</v>
      </c>
      <c r="BT2">
        <f>IF(Ischemia_singlenet_25percent_ou!110:110,"AAAAAFXB50c=",0)</f>
        <v>0</v>
      </c>
      <c r="BU2" t="e">
        <f>AND(Ischemia_singlenet_25percent_ou!A110,"AAAAAFXB50g=")</f>
        <v>#VALUE!</v>
      </c>
      <c r="BV2" t="e">
        <f>AND(Ischemia_singlenet_25percent_ou!B110,"AAAAAFXB50k=")</f>
        <v>#VALUE!</v>
      </c>
      <c r="BW2">
        <f>IF(Ischemia_singlenet_25percent_ou!111:111,"AAAAAFXB50o=",0)</f>
        <v>0</v>
      </c>
      <c r="BX2" t="e">
        <f>AND(Ischemia_singlenet_25percent_ou!A111,"AAAAAFXB50s=")</f>
        <v>#VALUE!</v>
      </c>
      <c r="BY2" t="e">
        <f>AND(Ischemia_singlenet_25percent_ou!B111,"AAAAAFXB50w=")</f>
        <v>#VALUE!</v>
      </c>
      <c r="BZ2">
        <f>IF(Ischemia_singlenet_25percent_ou!112:112,"AAAAAFXB500=",0)</f>
        <v>0</v>
      </c>
      <c r="CA2" t="e">
        <f>AND(Ischemia_singlenet_25percent_ou!A112,"AAAAAFXB504=")</f>
        <v>#VALUE!</v>
      </c>
      <c r="CB2" t="e">
        <f>AND(Ischemia_singlenet_25percent_ou!B112,"AAAAAFXB508=")</f>
        <v>#VALUE!</v>
      </c>
      <c r="CC2">
        <f>IF(Ischemia_singlenet_25percent_ou!113:113,"AAAAAFXB51A=",0)</f>
        <v>0</v>
      </c>
      <c r="CD2" t="e">
        <f>AND(Ischemia_singlenet_25percent_ou!A113,"AAAAAFXB51E=")</f>
        <v>#VALUE!</v>
      </c>
      <c r="CE2" t="e">
        <f>AND(Ischemia_singlenet_25percent_ou!B113,"AAAAAFXB51I=")</f>
        <v>#VALUE!</v>
      </c>
      <c r="CF2">
        <f>IF(Ischemia_singlenet_25percent_ou!114:114,"AAAAAFXB51M=",0)</f>
        <v>0</v>
      </c>
      <c r="CG2" t="e">
        <f>AND(Ischemia_singlenet_25percent_ou!A114,"AAAAAFXB51Q=")</f>
        <v>#VALUE!</v>
      </c>
      <c r="CH2" t="e">
        <f>AND(Ischemia_singlenet_25percent_ou!B114,"AAAAAFXB51U=")</f>
        <v>#VALUE!</v>
      </c>
      <c r="CI2">
        <f>IF(Ischemia_singlenet_25percent_ou!115:115,"AAAAAFXB51Y=",0)</f>
        <v>0</v>
      </c>
      <c r="CJ2" t="e">
        <f>AND(Ischemia_singlenet_25percent_ou!A115,"AAAAAFXB51c=")</f>
        <v>#VALUE!</v>
      </c>
      <c r="CK2" t="e">
        <f>AND(Ischemia_singlenet_25percent_ou!B115,"AAAAAFXB51g=")</f>
        <v>#VALUE!</v>
      </c>
      <c r="CL2">
        <f>IF(Ischemia_singlenet_25percent_ou!116:116,"AAAAAFXB51k=",0)</f>
        <v>0</v>
      </c>
      <c r="CM2" t="e">
        <f>AND(Ischemia_singlenet_25percent_ou!A116,"AAAAAFXB51o=")</f>
        <v>#VALUE!</v>
      </c>
      <c r="CN2" t="e">
        <f>AND(Ischemia_singlenet_25percent_ou!B116,"AAAAAFXB51s=")</f>
        <v>#VALUE!</v>
      </c>
      <c r="CO2">
        <f>IF(Ischemia_singlenet_25percent_ou!117:117,"AAAAAFXB51w=",0)</f>
        <v>0</v>
      </c>
      <c r="CP2" t="e">
        <f>AND(Ischemia_singlenet_25percent_ou!A117,"AAAAAFXB510=")</f>
        <v>#VALUE!</v>
      </c>
      <c r="CQ2" t="e">
        <f>AND(Ischemia_singlenet_25percent_ou!B117,"AAAAAFXB514=")</f>
        <v>#VALUE!</v>
      </c>
      <c r="CR2">
        <f>IF(Ischemia_singlenet_25percent_ou!118:118,"AAAAAFXB518=",0)</f>
        <v>0</v>
      </c>
      <c r="CS2" t="e">
        <f>AND(Ischemia_singlenet_25percent_ou!A118,"AAAAAFXB52A=")</f>
        <v>#VALUE!</v>
      </c>
      <c r="CT2" t="e">
        <f>AND(Ischemia_singlenet_25percent_ou!B118,"AAAAAFXB52E=")</f>
        <v>#VALUE!</v>
      </c>
      <c r="CU2">
        <f>IF(Ischemia_singlenet_25percent_ou!119:119,"AAAAAFXB52I=",0)</f>
        <v>0</v>
      </c>
      <c r="CV2" t="e">
        <f>AND(Ischemia_singlenet_25percent_ou!A119,"AAAAAFXB52M=")</f>
        <v>#VALUE!</v>
      </c>
      <c r="CW2" t="e">
        <f>AND(Ischemia_singlenet_25percent_ou!B119,"AAAAAFXB52Q=")</f>
        <v>#VALUE!</v>
      </c>
      <c r="CX2">
        <f>IF(Ischemia_singlenet_25percent_ou!120:120,"AAAAAFXB52U=",0)</f>
        <v>0</v>
      </c>
      <c r="CY2" t="e">
        <f>AND(Ischemia_singlenet_25percent_ou!A120,"AAAAAFXB52Y=")</f>
        <v>#VALUE!</v>
      </c>
      <c r="CZ2" t="e">
        <f>AND(Ischemia_singlenet_25percent_ou!B120,"AAAAAFXB52c=")</f>
        <v>#VALUE!</v>
      </c>
      <c r="DA2">
        <f>IF(Ischemia_singlenet_25percent_ou!121:121,"AAAAAFXB52g=",0)</f>
        <v>0</v>
      </c>
      <c r="DB2" t="e">
        <f>AND(Ischemia_singlenet_25percent_ou!A121,"AAAAAFXB52k=")</f>
        <v>#VALUE!</v>
      </c>
      <c r="DC2" t="e">
        <f>AND(Ischemia_singlenet_25percent_ou!B121,"AAAAAFXB52o=")</f>
        <v>#VALUE!</v>
      </c>
      <c r="DD2">
        <f>IF(Ischemia_singlenet_25percent_ou!122:122,"AAAAAFXB52s=",0)</f>
        <v>0</v>
      </c>
      <c r="DE2" t="e">
        <f>AND(Ischemia_singlenet_25percent_ou!A122,"AAAAAFXB52w=")</f>
        <v>#VALUE!</v>
      </c>
      <c r="DF2" t="e">
        <f>AND(Ischemia_singlenet_25percent_ou!B122,"AAAAAFXB520=")</f>
        <v>#VALUE!</v>
      </c>
      <c r="DG2">
        <f>IF(Ischemia_singlenet_25percent_ou!123:123,"AAAAAFXB524=",0)</f>
        <v>0</v>
      </c>
      <c r="DH2" t="e">
        <f>AND(Ischemia_singlenet_25percent_ou!A123,"AAAAAFXB528=")</f>
        <v>#VALUE!</v>
      </c>
      <c r="DI2" t="e">
        <f>AND(Ischemia_singlenet_25percent_ou!B123,"AAAAAFXB53A=")</f>
        <v>#VALUE!</v>
      </c>
      <c r="DJ2">
        <f>IF(Ischemia_singlenet_25percent_ou!124:124,"AAAAAFXB53E=",0)</f>
        <v>0</v>
      </c>
      <c r="DK2" t="e">
        <f>AND(Ischemia_singlenet_25percent_ou!A124,"AAAAAFXB53I=")</f>
        <v>#VALUE!</v>
      </c>
      <c r="DL2" t="e">
        <f>AND(Ischemia_singlenet_25percent_ou!B124,"AAAAAFXB53M=")</f>
        <v>#VALUE!</v>
      </c>
      <c r="DM2">
        <f>IF(Ischemia_singlenet_25percent_ou!125:125,"AAAAAFXB53Q=",0)</f>
        <v>0</v>
      </c>
      <c r="DN2" t="e">
        <f>AND(Ischemia_singlenet_25percent_ou!A125,"AAAAAFXB53U=")</f>
        <v>#VALUE!</v>
      </c>
      <c r="DO2" t="e">
        <f>AND(Ischemia_singlenet_25percent_ou!B125,"AAAAAFXB53Y=")</f>
        <v>#VALUE!</v>
      </c>
      <c r="DP2">
        <f>IF(Ischemia_singlenet_25percent_ou!126:126,"AAAAAFXB53c=",0)</f>
        <v>0</v>
      </c>
      <c r="DQ2" t="e">
        <f>AND(Ischemia_singlenet_25percent_ou!A126,"AAAAAFXB53g=")</f>
        <v>#VALUE!</v>
      </c>
      <c r="DR2" t="e">
        <f>AND(Ischemia_singlenet_25percent_ou!B126,"AAAAAFXB53k=")</f>
        <v>#VALUE!</v>
      </c>
      <c r="DS2">
        <f>IF(Ischemia_singlenet_25percent_ou!127:127,"AAAAAFXB53o=",0)</f>
        <v>0</v>
      </c>
      <c r="DT2" t="e">
        <f>AND(Ischemia_singlenet_25percent_ou!A127,"AAAAAFXB53s=")</f>
        <v>#VALUE!</v>
      </c>
      <c r="DU2" t="e">
        <f>AND(Ischemia_singlenet_25percent_ou!B127,"AAAAAFXB53w=")</f>
        <v>#VALUE!</v>
      </c>
      <c r="DV2">
        <f>IF(Ischemia_singlenet_25percent_ou!128:128,"AAAAAFXB530=",0)</f>
        <v>0</v>
      </c>
      <c r="DW2" t="e">
        <f>AND(Ischemia_singlenet_25percent_ou!A128,"AAAAAFXB534=")</f>
        <v>#VALUE!</v>
      </c>
      <c r="DX2" t="e">
        <f>AND(Ischemia_singlenet_25percent_ou!B128,"AAAAAFXB538=")</f>
        <v>#VALUE!</v>
      </c>
      <c r="DY2">
        <f>IF(Ischemia_singlenet_25percent_ou!129:129,"AAAAAFXB54A=",0)</f>
        <v>0</v>
      </c>
      <c r="DZ2" t="e">
        <f>AND(Ischemia_singlenet_25percent_ou!A129,"AAAAAFXB54E=")</f>
        <v>#VALUE!</v>
      </c>
      <c r="EA2" t="e">
        <f>AND(Ischemia_singlenet_25percent_ou!B129,"AAAAAFXB54I=")</f>
        <v>#VALUE!</v>
      </c>
      <c r="EB2">
        <f>IF(Ischemia_singlenet_25percent_ou!130:130,"AAAAAFXB54M=",0)</f>
        <v>0</v>
      </c>
      <c r="EC2" t="e">
        <f>AND(Ischemia_singlenet_25percent_ou!A130,"AAAAAFXB54Q=")</f>
        <v>#VALUE!</v>
      </c>
      <c r="ED2" t="e">
        <f>AND(Ischemia_singlenet_25percent_ou!B130,"AAAAAFXB54U=")</f>
        <v>#VALUE!</v>
      </c>
      <c r="EE2">
        <f>IF(Ischemia_singlenet_25percent_ou!131:131,"AAAAAFXB54Y=",0)</f>
        <v>0</v>
      </c>
      <c r="EF2" t="e">
        <f>AND(Ischemia_singlenet_25percent_ou!A131,"AAAAAFXB54c=")</f>
        <v>#VALUE!</v>
      </c>
      <c r="EG2" t="e">
        <f>AND(Ischemia_singlenet_25percent_ou!B131,"AAAAAFXB54g=")</f>
        <v>#VALUE!</v>
      </c>
      <c r="EH2">
        <f>IF(Ischemia_singlenet_25percent_ou!132:132,"AAAAAFXB54k=",0)</f>
        <v>0</v>
      </c>
      <c r="EI2" t="e">
        <f>AND(Ischemia_singlenet_25percent_ou!A132,"AAAAAFXB54o=")</f>
        <v>#VALUE!</v>
      </c>
      <c r="EJ2" t="e">
        <f>AND(Ischemia_singlenet_25percent_ou!B132,"AAAAAFXB54s=")</f>
        <v>#VALUE!</v>
      </c>
      <c r="EK2">
        <f>IF(Ischemia_singlenet_25percent_ou!133:133,"AAAAAFXB54w=",0)</f>
        <v>0</v>
      </c>
      <c r="EL2" t="e">
        <f>AND(Ischemia_singlenet_25percent_ou!A133,"AAAAAFXB540=")</f>
        <v>#VALUE!</v>
      </c>
      <c r="EM2" t="e">
        <f>AND(Ischemia_singlenet_25percent_ou!B133,"AAAAAFXB544=")</f>
        <v>#VALUE!</v>
      </c>
      <c r="EN2">
        <f>IF(Ischemia_singlenet_25percent_ou!134:134,"AAAAAFXB548=",0)</f>
        <v>0</v>
      </c>
      <c r="EO2" t="e">
        <f>AND(Ischemia_singlenet_25percent_ou!A134,"AAAAAFXB55A=")</f>
        <v>#VALUE!</v>
      </c>
      <c r="EP2" t="e">
        <f>AND(Ischemia_singlenet_25percent_ou!B134,"AAAAAFXB55E=")</f>
        <v>#VALUE!</v>
      </c>
      <c r="EQ2">
        <f>IF(Ischemia_singlenet_25percent_ou!135:135,"AAAAAFXB55I=",0)</f>
        <v>0</v>
      </c>
      <c r="ER2" t="e">
        <f>AND(Ischemia_singlenet_25percent_ou!A135,"AAAAAFXB55M=")</f>
        <v>#VALUE!</v>
      </c>
      <c r="ES2" t="e">
        <f>AND(Ischemia_singlenet_25percent_ou!B135,"AAAAAFXB55Q=")</f>
        <v>#VALUE!</v>
      </c>
      <c r="ET2">
        <f>IF(Ischemia_singlenet_25percent_ou!136:136,"AAAAAFXB55U=",0)</f>
        <v>0</v>
      </c>
      <c r="EU2" t="e">
        <f>AND(Ischemia_singlenet_25percent_ou!A136,"AAAAAFXB55Y=")</f>
        <v>#VALUE!</v>
      </c>
      <c r="EV2" t="e">
        <f>AND(Ischemia_singlenet_25percent_ou!B136,"AAAAAFXB55c=")</f>
        <v>#VALUE!</v>
      </c>
      <c r="EW2">
        <f>IF(Ischemia_singlenet_25percent_ou!137:137,"AAAAAFXB55g=",0)</f>
        <v>0</v>
      </c>
      <c r="EX2" t="e">
        <f>AND(Ischemia_singlenet_25percent_ou!A137,"AAAAAFXB55k=")</f>
        <v>#VALUE!</v>
      </c>
      <c r="EY2" t="e">
        <f>AND(Ischemia_singlenet_25percent_ou!B137,"AAAAAFXB55o=")</f>
        <v>#VALUE!</v>
      </c>
      <c r="EZ2">
        <f>IF(Ischemia_singlenet_25percent_ou!138:138,"AAAAAFXB55s=",0)</f>
        <v>0</v>
      </c>
      <c r="FA2" t="e">
        <f>AND(Ischemia_singlenet_25percent_ou!A138,"AAAAAFXB55w=")</f>
        <v>#VALUE!</v>
      </c>
      <c r="FB2" t="e">
        <f>AND(Ischemia_singlenet_25percent_ou!B138,"AAAAAFXB550=")</f>
        <v>#VALUE!</v>
      </c>
      <c r="FC2">
        <f>IF(Ischemia_singlenet_25percent_ou!139:139,"AAAAAFXB554=",0)</f>
        <v>0</v>
      </c>
      <c r="FD2" t="e">
        <f>AND(Ischemia_singlenet_25percent_ou!A139,"AAAAAFXB558=")</f>
        <v>#VALUE!</v>
      </c>
      <c r="FE2" t="e">
        <f>AND(Ischemia_singlenet_25percent_ou!B139,"AAAAAFXB56A=")</f>
        <v>#VALUE!</v>
      </c>
      <c r="FF2">
        <f>IF(Ischemia_singlenet_25percent_ou!140:140,"AAAAAFXB56E=",0)</f>
        <v>0</v>
      </c>
      <c r="FG2" t="e">
        <f>AND(Ischemia_singlenet_25percent_ou!A140,"AAAAAFXB56I=")</f>
        <v>#VALUE!</v>
      </c>
      <c r="FH2" t="e">
        <f>AND(Ischemia_singlenet_25percent_ou!B140,"AAAAAFXB56M=")</f>
        <v>#VALUE!</v>
      </c>
      <c r="FI2">
        <f>IF(Ischemia_singlenet_25percent_ou!141:141,"AAAAAFXB56Q=",0)</f>
        <v>0</v>
      </c>
      <c r="FJ2" t="e">
        <f>AND(Ischemia_singlenet_25percent_ou!A141,"AAAAAFXB56U=")</f>
        <v>#VALUE!</v>
      </c>
      <c r="FK2" t="e">
        <f>AND(Ischemia_singlenet_25percent_ou!B141,"AAAAAFXB56Y=")</f>
        <v>#VALUE!</v>
      </c>
      <c r="FL2">
        <f>IF(Ischemia_singlenet_25percent_ou!142:142,"AAAAAFXB56c=",0)</f>
        <v>0</v>
      </c>
      <c r="FM2" t="e">
        <f>AND(Ischemia_singlenet_25percent_ou!A142,"AAAAAFXB56g=")</f>
        <v>#VALUE!</v>
      </c>
      <c r="FN2" t="e">
        <f>AND(Ischemia_singlenet_25percent_ou!B142,"AAAAAFXB56k=")</f>
        <v>#VALUE!</v>
      </c>
      <c r="FO2">
        <f>IF(Ischemia_singlenet_25percent_ou!143:143,"AAAAAFXB56o=",0)</f>
        <v>0</v>
      </c>
      <c r="FP2" t="e">
        <f>AND(Ischemia_singlenet_25percent_ou!A143,"AAAAAFXB56s=")</f>
        <v>#VALUE!</v>
      </c>
      <c r="FQ2" t="e">
        <f>AND(Ischemia_singlenet_25percent_ou!B143,"AAAAAFXB56w=")</f>
        <v>#VALUE!</v>
      </c>
      <c r="FR2">
        <f>IF(Ischemia_singlenet_25percent_ou!144:144,"AAAAAFXB560=",0)</f>
        <v>0</v>
      </c>
      <c r="FS2" t="e">
        <f>AND(Ischemia_singlenet_25percent_ou!A144,"AAAAAFXB564=")</f>
        <v>#VALUE!</v>
      </c>
      <c r="FT2" t="e">
        <f>AND(Ischemia_singlenet_25percent_ou!B144,"AAAAAFXB568=")</f>
        <v>#VALUE!</v>
      </c>
      <c r="FU2">
        <f>IF(Ischemia_singlenet_25percent_ou!145:145,"AAAAAFXB57A=",0)</f>
        <v>0</v>
      </c>
      <c r="FV2" t="e">
        <f>AND(Ischemia_singlenet_25percent_ou!A145,"AAAAAFXB57E=")</f>
        <v>#VALUE!</v>
      </c>
      <c r="FW2" t="e">
        <f>AND(Ischemia_singlenet_25percent_ou!B145,"AAAAAFXB57I=")</f>
        <v>#VALUE!</v>
      </c>
      <c r="FX2">
        <f>IF(Ischemia_singlenet_25percent_ou!146:146,"AAAAAFXB57M=",0)</f>
        <v>0</v>
      </c>
      <c r="FY2" t="e">
        <f>AND(Ischemia_singlenet_25percent_ou!A146,"AAAAAFXB57Q=")</f>
        <v>#VALUE!</v>
      </c>
      <c r="FZ2" t="e">
        <f>AND(Ischemia_singlenet_25percent_ou!B146,"AAAAAFXB57U=")</f>
        <v>#VALUE!</v>
      </c>
      <c r="GA2">
        <f>IF(Ischemia_singlenet_25percent_ou!147:147,"AAAAAFXB57Y=",0)</f>
        <v>0</v>
      </c>
      <c r="GB2" t="e">
        <f>AND(Ischemia_singlenet_25percent_ou!A147,"AAAAAFXB57c=")</f>
        <v>#VALUE!</v>
      </c>
      <c r="GC2" t="e">
        <f>AND(Ischemia_singlenet_25percent_ou!B147,"AAAAAFXB57g=")</f>
        <v>#VALUE!</v>
      </c>
      <c r="GD2">
        <f>IF(Ischemia_singlenet_25percent_ou!148:148,"AAAAAFXB57k=",0)</f>
        <v>0</v>
      </c>
      <c r="GE2" t="e">
        <f>AND(Ischemia_singlenet_25percent_ou!A148,"AAAAAFXB57o=")</f>
        <v>#VALUE!</v>
      </c>
      <c r="GF2" t="e">
        <f>AND(Ischemia_singlenet_25percent_ou!B148,"AAAAAFXB57s=")</f>
        <v>#VALUE!</v>
      </c>
      <c r="GG2">
        <f>IF(Ischemia_singlenet_25percent_ou!149:149,"AAAAAFXB57w=",0)</f>
        <v>0</v>
      </c>
      <c r="GH2" t="e">
        <f>AND(Ischemia_singlenet_25percent_ou!A149,"AAAAAFXB570=")</f>
        <v>#VALUE!</v>
      </c>
      <c r="GI2" t="e">
        <f>AND(Ischemia_singlenet_25percent_ou!B149,"AAAAAFXB574=")</f>
        <v>#VALUE!</v>
      </c>
      <c r="GJ2">
        <f>IF(Ischemia_singlenet_25percent_ou!150:150,"AAAAAFXB578=",0)</f>
        <v>0</v>
      </c>
      <c r="GK2" t="e">
        <f>AND(Ischemia_singlenet_25percent_ou!A150,"AAAAAFXB58A=")</f>
        <v>#VALUE!</v>
      </c>
      <c r="GL2" t="e">
        <f>AND(Ischemia_singlenet_25percent_ou!B150,"AAAAAFXB58E=")</f>
        <v>#VALUE!</v>
      </c>
      <c r="GM2">
        <f>IF(Ischemia_singlenet_25percent_ou!151:151,"AAAAAFXB58I=",0)</f>
        <v>0</v>
      </c>
      <c r="GN2" t="e">
        <f>AND(Ischemia_singlenet_25percent_ou!A151,"AAAAAFXB58M=")</f>
        <v>#VALUE!</v>
      </c>
      <c r="GO2" t="e">
        <f>AND(Ischemia_singlenet_25percent_ou!B151,"AAAAAFXB58Q=")</f>
        <v>#VALUE!</v>
      </c>
      <c r="GP2">
        <f>IF(Ischemia_singlenet_25percent_ou!152:152,"AAAAAFXB58U=",0)</f>
        <v>0</v>
      </c>
      <c r="GQ2" t="e">
        <f>AND(Ischemia_singlenet_25percent_ou!A152,"AAAAAFXB58Y=")</f>
        <v>#VALUE!</v>
      </c>
      <c r="GR2" t="e">
        <f>AND(Ischemia_singlenet_25percent_ou!B152,"AAAAAFXB58c=")</f>
        <v>#VALUE!</v>
      </c>
      <c r="GS2">
        <f>IF(Ischemia_singlenet_25percent_ou!153:153,"AAAAAFXB58g=",0)</f>
        <v>0</v>
      </c>
      <c r="GT2" t="e">
        <f>AND(Ischemia_singlenet_25percent_ou!A153,"AAAAAFXB58k=")</f>
        <v>#VALUE!</v>
      </c>
      <c r="GU2" t="e">
        <f>AND(Ischemia_singlenet_25percent_ou!B153,"AAAAAFXB58o=")</f>
        <v>#VALUE!</v>
      </c>
      <c r="GV2">
        <f>IF(Ischemia_singlenet_25percent_ou!154:154,"AAAAAFXB58s=",0)</f>
        <v>0</v>
      </c>
      <c r="GW2" t="e">
        <f>AND(Ischemia_singlenet_25percent_ou!A154,"AAAAAFXB58w=")</f>
        <v>#VALUE!</v>
      </c>
      <c r="GX2" t="e">
        <f>AND(Ischemia_singlenet_25percent_ou!B154,"AAAAAFXB580=")</f>
        <v>#VALUE!</v>
      </c>
      <c r="GY2">
        <f>IF(Ischemia_singlenet_25percent_ou!155:155,"AAAAAFXB584=",0)</f>
        <v>0</v>
      </c>
      <c r="GZ2" t="e">
        <f>AND(Ischemia_singlenet_25percent_ou!A155,"AAAAAFXB588=")</f>
        <v>#VALUE!</v>
      </c>
      <c r="HA2" t="e">
        <f>AND(Ischemia_singlenet_25percent_ou!B155,"AAAAAFXB59A=")</f>
        <v>#VALUE!</v>
      </c>
      <c r="HB2">
        <f>IF(Ischemia_singlenet_25percent_ou!156:156,"AAAAAFXB59E=",0)</f>
        <v>0</v>
      </c>
      <c r="HC2" t="e">
        <f>AND(Ischemia_singlenet_25percent_ou!A156,"AAAAAFXB59I=")</f>
        <v>#VALUE!</v>
      </c>
      <c r="HD2" t="e">
        <f>AND(Ischemia_singlenet_25percent_ou!B156,"AAAAAFXB59M=")</f>
        <v>#VALUE!</v>
      </c>
      <c r="HE2">
        <f>IF(Ischemia_singlenet_25percent_ou!157:157,"AAAAAFXB59Q=",0)</f>
        <v>0</v>
      </c>
      <c r="HF2" t="e">
        <f>AND(Ischemia_singlenet_25percent_ou!A157,"AAAAAFXB59U=")</f>
        <v>#VALUE!</v>
      </c>
      <c r="HG2" t="e">
        <f>AND(Ischemia_singlenet_25percent_ou!B157,"AAAAAFXB59Y=")</f>
        <v>#VALUE!</v>
      </c>
      <c r="HH2">
        <f>IF(Ischemia_singlenet_25percent_ou!158:158,"AAAAAFXB59c=",0)</f>
        <v>0</v>
      </c>
      <c r="HI2" t="e">
        <f>AND(Ischemia_singlenet_25percent_ou!A158,"AAAAAFXB59g=")</f>
        <v>#VALUE!</v>
      </c>
      <c r="HJ2" t="e">
        <f>AND(Ischemia_singlenet_25percent_ou!B158,"AAAAAFXB59k=")</f>
        <v>#VALUE!</v>
      </c>
      <c r="HK2">
        <f>IF(Ischemia_singlenet_25percent_ou!159:159,"AAAAAFXB59o=",0)</f>
        <v>0</v>
      </c>
      <c r="HL2" t="e">
        <f>AND(Ischemia_singlenet_25percent_ou!A159,"AAAAAFXB59s=")</f>
        <v>#VALUE!</v>
      </c>
      <c r="HM2" t="e">
        <f>AND(Ischemia_singlenet_25percent_ou!B159,"AAAAAFXB59w=")</f>
        <v>#VALUE!</v>
      </c>
      <c r="HN2">
        <f>IF(Ischemia_singlenet_25percent_ou!160:160,"AAAAAFXB590=",0)</f>
        <v>0</v>
      </c>
      <c r="HO2" t="e">
        <f>AND(Ischemia_singlenet_25percent_ou!A160,"AAAAAFXB594=")</f>
        <v>#VALUE!</v>
      </c>
      <c r="HP2" t="e">
        <f>AND(Ischemia_singlenet_25percent_ou!B160,"AAAAAFXB598=")</f>
        <v>#VALUE!</v>
      </c>
      <c r="HQ2">
        <f>IF(Ischemia_singlenet_25percent_ou!161:161,"AAAAAFXB5+A=",0)</f>
        <v>0</v>
      </c>
      <c r="HR2" t="e">
        <f>AND(Ischemia_singlenet_25percent_ou!A161,"AAAAAFXB5+E=")</f>
        <v>#VALUE!</v>
      </c>
      <c r="HS2" t="e">
        <f>AND(Ischemia_singlenet_25percent_ou!B161,"AAAAAFXB5+I=")</f>
        <v>#VALUE!</v>
      </c>
      <c r="HT2">
        <f>IF(Ischemia_singlenet_25percent_ou!162:162,"AAAAAFXB5+M=",0)</f>
        <v>0</v>
      </c>
      <c r="HU2" t="e">
        <f>AND(Ischemia_singlenet_25percent_ou!A162,"AAAAAFXB5+Q=")</f>
        <v>#VALUE!</v>
      </c>
      <c r="HV2" t="e">
        <f>AND(Ischemia_singlenet_25percent_ou!B162,"AAAAAFXB5+U=")</f>
        <v>#VALUE!</v>
      </c>
      <c r="HW2">
        <f>IF(Ischemia_singlenet_25percent_ou!163:163,"AAAAAFXB5+Y=",0)</f>
        <v>0</v>
      </c>
      <c r="HX2" t="e">
        <f>AND(Ischemia_singlenet_25percent_ou!A163,"AAAAAFXB5+c=")</f>
        <v>#VALUE!</v>
      </c>
      <c r="HY2" t="e">
        <f>AND(Ischemia_singlenet_25percent_ou!B163,"AAAAAFXB5+g=")</f>
        <v>#VALUE!</v>
      </c>
      <c r="HZ2">
        <f>IF(Ischemia_singlenet_25percent_ou!164:164,"AAAAAFXB5+k=",0)</f>
        <v>0</v>
      </c>
      <c r="IA2" t="e">
        <f>AND(Ischemia_singlenet_25percent_ou!A164,"AAAAAFXB5+o=")</f>
        <v>#VALUE!</v>
      </c>
      <c r="IB2" t="e">
        <f>AND(Ischemia_singlenet_25percent_ou!B164,"AAAAAFXB5+s=")</f>
        <v>#VALUE!</v>
      </c>
      <c r="IC2">
        <f>IF(Ischemia_singlenet_25percent_ou!165:165,"AAAAAFXB5+w=",0)</f>
        <v>0</v>
      </c>
      <c r="ID2" t="e">
        <f>AND(Ischemia_singlenet_25percent_ou!A165,"AAAAAFXB5+0=")</f>
        <v>#VALUE!</v>
      </c>
      <c r="IE2" t="e">
        <f>AND(Ischemia_singlenet_25percent_ou!B165,"AAAAAFXB5+4=")</f>
        <v>#VALUE!</v>
      </c>
      <c r="IF2">
        <f>IF(Ischemia_singlenet_25percent_ou!166:166,"AAAAAFXB5+8=",0)</f>
        <v>0</v>
      </c>
      <c r="IG2" t="e">
        <f>AND(Ischemia_singlenet_25percent_ou!A166,"AAAAAFXB5/A=")</f>
        <v>#VALUE!</v>
      </c>
      <c r="IH2" t="e">
        <f>AND(Ischemia_singlenet_25percent_ou!B166,"AAAAAFXB5/E=")</f>
        <v>#VALUE!</v>
      </c>
      <c r="II2">
        <f>IF(Ischemia_singlenet_25percent_ou!167:167,"AAAAAFXB5/I=",0)</f>
        <v>0</v>
      </c>
      <c r="IJ2" t="e">
        <f>AND(Ischemia_singlenet_25percent_ou!A167,"AAAAAFXB5/M=")</f>
        <v>#VALUE!</v>
      </c>
      <c r="IK2" t="e">
        <f>AND(Ischemia_singlenet_25percent_ou!B167,"AAAAAFXB5/Q=")</f>
        <v>#VALUE!</v>
      </c>
      <c r="IL2">
        <f>IF(Ischemia_singlenet_25percent_ou!168:168,"AAAAAFXB5/U=",0)</f>
        <v>0</v>
      </c>
      <c r="IM2" t="e">
        <f>AND(Ischemia_singlenet_25percent_ou!A168,"AAAAAFXB5/Y=")</f>
        <v>#VALUE!</v>
      </c>
      <c r="IN2" t="e">
        <f>AND(Ischemia_singlenet_25percent_ou!B168,"AAAAAFXB5/c=")</f>
        <v>#VALUE!</v>
      </c>
      <c r="IO2">
        <f>IF(Ischemia_singlenet_25percent_ou!169:169,"AAAAAFXB5/g=",0)</f>
        <v>0</v>
      </c>
      <c r="IP2" t="e">
        <f>AND(Ischemia_singlenet_25percent_ou!A169,"AAAAAFXB5/k=")</f>
        <v>#VALUE!</v>
      </c>
      <c r="IQ2" t="e">
        <f>AND(Ischemia_singlenet_25percent_ou!B169,"AAAAAFXB5/o=")</f>
        <v>#VALUE!</v>
      </c>
      <c r="IR2">
        <f>IF(Ischemia_singlenet_25percent_ou!170:170,"AAAAAFXB5/s=",0)</f>
        <v>0</v>
      </c>
      <c r="IS2" t="e">
        <f>AND(Ischemia_singlenet_25percent_ou!A170,"AAAAAFXB5/w=")</f>
        <v>#VALUE!</v>
      </c>
      <c r="IT2" t="e">
        <f>AND(Ischemia_singlenet_25percent_ou!B170,"AAAAAFXB5/0=")</f>
        <v>#VALUE!</v>
      </c>
      <c r="IU2">
        <f>IF(Ischemia_singlenet_25percent_ou!171:171,"AAAAAFXB5/4=",0)</f>
        <v>0</v>
      </c>
      <c r="IV2" t="e">
        <f>AND(Ischemia_singlenet_25percent_ou!A171,"AAAAAFXB5/8=")</f>
        <v>#VALUE!</v>
      </c>
    </row>
    <row r="3" spans="1:256">
      <c r="A3" t="e">
        <f>AND(Ischemia_singlenet_25percent_ou!B171,"AAAAAH949gA=")</f>
        <v>#VALUE!</v>
      </c>
      <c r="B3" t="e">
        <f>IF(Ischemia_singlenet_25percent_ou!172:172,"AAAAAH949gE=",0)</f>
        <v>#VALUE!</v>
      </c>
      <c r="C3" t="e">
        <f>AND(Ischemia_singlenet_25percent_ou!A172,"AAAAAH949gI=")</f>
        <v>#VALUE!</v>
      </c>
      <c r="D3" t="e">
        <f>AND(Ischemia_singlenet_25percent_ou!B172,"AAAAAH949gM=")</f>
        <v>#VALUE!</v>
      </c>
      <c r="E3">
        <f>IF(Ischemia_singlenet_25percent_ou!173:173,"AAAAAH949gQ=",0)</f>
        <v>0</v>
      </c>
      <c r="F3" t="e">
        <f>AND(Ischemia_singlenet_25percent_ou!A173,"AAAAAH949gU=")</f>
        <v>#VALUE!</v>
      </c>
      <c r="G3" t="e">
        <f>AND(Ischemia_singlenet_25percent_ou!B173,"AAAAAH949gY=")</f>
        <v>#VALUE!</v>
      </c>
      <c r="H3">
        <f>IF(Ischemia_singlenet_25percent_ou!174:174,"AAAAAH949gc=",0)</f>
        <v>0</v>
      </c>
      <c r="I3" t="e">
        <f>AND(Ischemia_singlenet_25percent_ou!A174,"AAAAAH949gg=")</f>
        <v>#VALUE!</v>
      </c>
      <c r="J3" t="e">
        <f>AND(Ischemia_singlenet_25percent_ou!B174,"AAAAAH949gk=")</f>
        <v>#VALUE!</v>
      </c>
      <c r="K3">
        <f>IF(Ischemia_singlenet_25percent_ou!175:175,"AAAAAH949go=",0)</f>
        <v>0</v>
      </c>
      <c r="L3" t="e">
        <f>AND(Ischemia_singlenet_25percent_ou!A175,"AAAAAH949gs=")</f>
        <v>#VALUE!</v>
      </c>
      <c r="M3" t="e">
        <f>AND(Ischemia_singlenet_25percent_ou!B175,"AAAAAH949gw=")</f>
        <v>#VALUE!</v>
      </c>
      <c r="N3">
        <f>IF(Ischemia_singlenet_25percent_ou!176:176,"AAAAAH949g0=",0)</f>
        <v>0</v>
      </c>
      <c r="O3" t="e">
        <f>AND(Ischemia_singlenet_25percent_ou!A176,"AAAAAH949g4=")</f>
        <v>#VALUE!</v>
      </c>
      <c r="P3" t="e">
        <f>AND(Ischemia_singlenet_25percent_ou!B176,"AAAAAH949g8=")</f>
        <v>#VALUE!</v>
      </c>
      <c r="Q3">
        <f>IF(Ischemia_singlenet_25percent_ou!177:177,"AAAAAH949hA=",0)</f>
        <v>0</v>
      </c>
      <c r="R3" t="e">
        <f>AND(Ischemia_singlenet_25percent_ou!A177,"AAAAAH949hE=")</f>
        <v>#VALUE!</v>
      </c>
      <c r="S3" t="e">
        <f>AND(Ischemia_singlenet_25percent_ou!B177,"AAAAAH949hI=")</f>
        <v>#VALUE!</v>
      </c>
      <c r="T3">
        <f>IF(Ischemia_singlenet_25percent_ou!178:178,"AAAAAH949hM=",0)</f>
        <v>0</v>
      </c>
      <c r="U3" t="e">
        <f>AND(Ischemia_singlenet_25percent_ou!A178,"AAAAAH949hQ=")</f>
        <v>#VALUE!</v>
      </c>
      <c r="V3" t="e">
        <f>AND(Ischemia_singlenet_25percent_ou!B178,"AAAAAH949hU=")</f>
        <v>#VALUE!</v>
      </c>
      <c r="W3">
        <f>IF(Ischemia_singlenet_25percent_ou!179:179,"AAAAAH949hY=",0)</f>
        <v>0</v>
      </c>
      <c r="X3" t="e">
        <f>AND(Ischemia_singlenet_25percent_ou!A179,"AAAAAH949hc=")</f>
        <v>#VALUE!</v>
      </c>
      <c r="Y3" t="e">
        <f>AND(Ischemia_singlenet_25percent_ou!B179,"AAAAAH949hg=")</f>
        <v>#VALUE!</v>
      </c>
      <c r="Z3">
        <f>IF(Ischemia_singlenet_25percent_ou!180:180,"AAAAAH949hk=",0)</f>
        <v>0</v>
      </c>
      <c r="AA3" t="e">
        <f>AND(Ischemia_singlenet_25percent_ou!A180,"AAAAAH949ho=")</f>
        <v>#VALUE!</v>
      </c>
      <c r="AB3" t="e">
        <f>AND(Ischemia_singlenet_25percent_ou!B180,"AAAAAH949hs=")</f>
        <v>#VALUE!</v>
      </c>
      <c r="AC3">
        <f>IF(Ischemia_singlenet_25percent_ou!181:181,"AAAAAH949hw=",0)</f>
        <v>0</v>
      </c>
      <c r="AD3" t="e">
        <f>AND(Ischemia_singlenet_25percent_ou!A181,"AAAAAH949h0=")</f>
        <v>#VALUE!</v>
      </c>
      <c r="AE3" t="e">
        <f>AND(Ischemia_singlenet_25percent_ou!B181,"AAAAAH949h4=")</f>
        <v>#VALUE!</v>
      </c>
      <c r="AF3">
        <f>IF(Ischemia_singlenet_25percent_ou!182:182,"AAAAAH949h8=",0)</f>
        <v>0</v>
      </c>
      <c r="AG3" t="e">
        <f>AND(Ischemia_singlenet_25percent_ou!A182,"AAAAAH949iA=")</f>
        <v>#VALUE!</v>
      </c>
      <c r="AH3" t="e">
        <f>AND(Ischemia_singlenet_25percent_ou!B182,"AAAAAH949iE=")</f>
        <v>#VALUE!</v>
      </c>
      <c r="AI3">
        <f>IF(Ischemia_singlenet_25percent_ou!183:183,"AAAAAH949iI=",0)</f>
        <v>0</v>
      </c>
      <c r="AJ3" t="e">
        <f>AND(Ischemia_singlenet_25percent_ou!A183,"AAAAAH949iM=")</f>
        <v>#VALUE!</v>
      </c>
      <c r="AK3" t="e">
        <f>AND(Ischemia_singlenet_25percent_ou!B183,"AAAAAH949iQ=")</f>
        <v>#VALUE!</v>
      </c>
      <c r="AL3">
        <f>IF(Ischemia_singlenet_25percent_ou!184:184,"AAAAAH949iU=",0)</f>
        <v>0</v>
      </c>
      <c r="AM3" t="e">
        <f>AND(Ischemia_singlenet_25percent_ou!A184,"AAAAAH949iY=")</f>
        <v>#VALUE!</v>
      </c>
      <c r="AN3" t="e">
        <f>AND(Ischemia_singlenet_25percent_ou!B184,"AAAAAH949ic=")</f>
        <v>#VALUE!</v>
      </c>
      <c r="AO3">
        <f>IF(Ischemia_singlenet_25percent_ou!185:185,"AAAAAH949ig=",0)</f>
        <v>0</v>
      </c>
      <c r="AP3" t="e">
        <f>AND(Ischemia_singlenet_25percent_ou!A185,"AAAAAH949ik=")</f>
        <v>#VALUE!</v>
      </c>
      <c r="AQ3" t="e">
        <f>AND(Ischemia_singlenet_25percent_ou!B185,"AAAAAH949io=")</f>
        <v>#VALUE!</v>
      </c>
      <c r="AR3">
        <f>IF(Ischemia_singlenet_25percent_ou!186:186,"AAAAAH949is=",0)</f>
        <v>0</v>
      </c>
      <c r="AS3" t="e">
        <f>AND(Ischemia_singlenet_25percent_ou!A186,"AAAAAH949iw=")</f>
        <v>#VALUE!</v>
      </c>
      <c r="AT3" t="e">
        <f>AND(Ischemia_singlenet_25percent_ou!B186,"AAAAAH949i0=")</f>
        <v>#VALUE!</v>
      </c>
      <c r="AU3">
        <f>IF(Ischemia_singlenet_25percent_ou!187:187,"AAAAAH949i4=",0)</f>
        <v>0</v>
      </c>
      <c r="AV3" t="e">
        <f>AND(Ischemia_singlenet_25percent_ou!A187,"AAAAAH949i8=")</f>
        <v>#VALUE!</v>
      </c>
      <c r="AW3" t="e">
        <f>AND(Ischemia_singlenet_25percent_ou!B187,"AAAAAH949jA=")</f>
        <v>#VALUE!</v>
      </c>
      <c r="AX3">
        <f>IF(Ischemia_singlenet_25percent_ou!188:188,"AAAAAH949jE=",0)</f>
        <v>0</v>
      </c>
      <c r="AY3" t="e">
        <f>AND(Ischemia_singlenet_25percent_ou!A188,"AAAAAH949jI=")</f>
        <v>#VALUE!</v>
      </c>
      <c r="AZ3" t="e">
        <f>AND(Ischemia_singlenet_25percent_ou!B188,"AAAAAH949jM=")</f>
        <v>#VALUE!</v>
      </c>
      <c r="BA3">
        <f>IF(Ischemia_singlenet_25percent_ou!189:189,"AAAAAH949jQ=",0)</f>
        <v>0</v>
      </c>
      <c r="BB3" t="e">
        <f>AND(Ischemia_singlenet_25percent_ou!A189,"AAAAAH949jU=")</f>
        <v>#VALUE!</v>
      </c>
      <c r="BC3" t="e">
        <f>AND(Ischemia_singlenet_25percent_ou!B189,"AAAAAH949jY=")</f>
        <v>#VALUE!</v>
      </c>
      <c r="BD3">
        <f>IF(Ischemia_singlenet_25percent_ou!190:190,"AAAAAH949jc=",0)</f>
        <v>0</v>
      </c>
      <c r="BE3" t="e">
        <f>AND(Ischemia_singlenet_25percent_ou!A190,"AAAAAH949jg=")</f>
        <v>#VALUE!</v>
      </c>
      <c r="BF3" t="e">
        <f>AND(Ischemia_singlenet_25percent_ou!B190,"AAAAAH949jk=")</f>
        <v>#VALUE!</v>
      </c>
      <c r="BG3">
        <f>IF(Ischemia_singlenet_25percent_ou!191:191,"AAAAAH949jo=",0)</f>
        <v>0</v>
      </c>
      <c r="BH3" t="e">
        <f>AND(Ischemia_singlenet_25percent_ou!A191,"AAAAAH949js=")</f>
        <v>#VALUE!</v>
      </c>
      <c r="BI3" t="e">
        <f>AND(Ischemia_singlenet_25percent_ou!B191,"AAAAAH949jw=")</f>
        <v>#VALUE!</v>
      </c>
      <c r="BJ3">
        <f>IF(Ischemia_singlenet_25percent_ou!192:192,"AAAAAH949j0=",0)</f>
        <v>0</v>
      </c>
      <c r="BK3" t="e">
        <f>AND(Ischemia_singlenet_25percent_ou!A192,"AAAAAH949j4=")</f>
        <v>#VALUE!</v>
      </c>
      <c r="BL3" t="e">
        <f>AND(Ischemia_singlenet_25percent_ou!B192,"AAAAAH949j8=")</f>
        <v>#VALUE!</v>
      </c>
      <c r="BM3">
        <f>IF(Ischemia_singlenet_25percent_ou!193:193,"AAAAAH949kA=",0)</f>
        <v>0</v>
      </c>
      <c r="BN3" t="e">
        <f>AND(Ischemia_singlenet_25percent_ou!A193,"AAAAAH949kE=")</f>
        <v>#VALUE!</v>
      </c>
      <c r="BO3" t="e">
        <f>AND(Ischemia_singlenet_25percent_ou!B193,"AAAAAH949kI=")</f>
        <v>#VALUE!</v>
      </c>
      <c r="BP3">
        <f>IF(Ischemia_singlenet_25percent_ou!194:194,"AAAAAH949kM=",0)</f>
        <v>0</v>
      </c>
      <c r="BQ3" t="e">
        <f>AND(Ischemia_singlenet_25percent_ou!A194,"AAAAAH949kQ=")</f>
        <v>#VALUE!</v>
      </c>
      <c r="BR3" t="e">
        <f>AND(Ischemia_singlenet_25percent_ou!B194,"AAAAAH949kU=")</f>
        <v>#VALUE!</v>
      </c>
      <c r="BS3">
        <f>IF(Ischemia_singlenet_25percent_ou!195:195,"AAAAAH949kY=",0)</f>
        <v>0</v>
      </c>
      <c r="BT3" t="e">
        <f>AND(Ischemia_singlenet_25percent_ou!A195,"AAAAAH949kc=")</f>
        <v>#VALUE!</v>
      </c>
      <c r="BU3" t="e">
        <f>AND(Ischemia_singlenet_25percent_ou!B195,"AAAAAH949kg=")</f>
        <v>#VALUE!</v>
      </c>
      <c r="BV3">
        <f>IF(Ischemia_singlenet_25percent_ou!196:196,"AAAAAH949kk=",0)</f>
        <v>0</v>
      </c>
      <c r="BW3" t="e">
        <f>AND(Ischemia_singlenet_25percent_ou!A196,"AAAAAH949ko=")</f>
        <v>#VALUE!</v>
      </c>
      <c r="BX3" t="e">
        <f>AND(Ischemia_singlenet_25percent_ou!B196,"AAAAAH949ks=")</f>
        <v>#VALUE!</v>
      </c>
      <c r="BY3">
        <f>IF(Ischemia_singlenet_25percent_ou!197:197,"AAAAAH949kw=",0)</f>
        <v>0</v>
      </c>
      <c r="BZ3" t="e">
        <f>AND(Ischemia_singlenet_25percent_ou!A197,"AAAAAH949k0=")</f>
        <v>#VALUE!</v>
      </c>
      <c r="CA3" t="e">
        <f>AND(Ischemia_singlenet_25percent_ou!B197,"AAAAAH949k4=")</f>
        <v>#VALUE!</v>
      </c>
      <c r="CB3">
        <f>IF(Ischemia_singlenet_25percent_ou!198:198,"AAAAAH949k8=",0)</f>
        <v>0</v>
      </c>
      <c r="CC3" t="e">
        <f>AND(Ischemia_singlenet_25percent_ou!A198,"AAAAAH949lA=")</f>
        <v>#VALUE!</v>
      </c>
      <c r="CD3" t="e">
        <f>AND(Ischemia_singlenet_25percent_ou!B198,"AAAAAH949lE=")</f>
        <v>#VALUE!</v>
      </c>
      <c r="CE3">
        <f>IF(Ischemia_singlenet_25percent_ou!199:199,"AAAAAH949lI=",0)</f>
        <v>0</v>
      </c>
      <c r="CF3" t="e">
        <f>AND(Ischemia_singlenet_25percent_ou!A199,"AAAAAH949lM=")</f>
        <v>#VALUE!</v>
      </c>
      <c r="CG3" t="e">
        <f>AND(Ischemia_singlenet_25percent_ou!B199,"AAAAAH949lQ=")</f>
        <v>#VALUE!</v>
      </c>
      <c r="CH3">
        <f>IF(Ischemia_singlenet_25percent_ou!200:200,"AAAAAH949lU=",0)</f>
        <v>0</v>
      </c>
      <c r="CI3" t="e">
        <f>AND(Ischemia_singlenet_25percent_ou!A200,"AAAAAH949lY=")</f>
        <v>#VALUE!</v>
      </c>
      <c r="CJ3" t="e">
        <f>AND(Ischemia_singlenet_25percent_ou!B200,"AAAAAH949lc=")</f>
        <v>#VALUE!</v>
      </c>
      <c r="CK3">
        <f>IF(Ischemia_singlenet_25percent_ou!201:201,"AAAAAH949lg=",0)</f>
        <v>0</v>
      </c>
      <c r="CL3" t="e">
        <f>AND(Ischemia_singlenet_25percent_ou!A201,"AAAAAH949lk=")</f>
        <v>#VALUE!</v>
      </c>
      <c r="CM3" t="e">
        <f>AND(Ischemia_singlenet_25percent_ou!B201,"AAAAAH949lo=")</f>
        <v>#VALUE!</v>
      </c>
      <c r="CN3">
        <f>IF(Ischemia_singlenet_25percent_ou!202:202,"AAAAAH949ls=",0)</f>
        <v>0</v>
      </c>
      <c r="CO3" t="e">
        <f>AND(Ischemia_singlenet_25percent_ou!A202,"AAAAAH949lw=")</f>
        <v>#VALUE!</v>
      </c>
      <c r="CP3" t="e">
        <f>AND(Ischemia_singlenet_25percent_ou!B202,"AAAAAH949l0=")</f>
        <v>#VALUE!</v>
      </c>
      <c r="CQ3">
        <f>IF(Ischemia_singlenet_25percent_ou!203:203,"AAAAAH949l4=",0)</f>
        <v>0</v>
      </c>
      <c r="CR3" t="e">
        <f>AND(Ischemia_singlenet_25percent_ou!A203,"AAAAAH949l8=")</f>
        <v>#VALUE!</v>
      </c>
      <c r="CS3" t="e">
        <f>AND(Ischemia_singlenet_25percent_ou!B203,"AAAAAH949mA=")</f>
        <v>#VALUE!</v>
      </c>
      <c r="CT3">
        <f>IF(Ischemia_singlenet_25percent_ou!204:204,"AAAAAH949mE=",0)</f>
        <v>0</v>
      </c>
      <c r="CU3" t="e">
        <f>AND(Ischemia_singlenet_25percent_ou!A204,"AAAAAH949mI=")</f>
        <v>#VALUE!</v>
      </c>
      <c r="CV3" t="e">
        <f>AND(Ischemia_singlenet_25percent_ou!B204,"AAAAAH949mM=")</f>
        <v>#VALUE!</v>
      </c>
      <c r="CW3">
        <f>IF(Ischemia_singlenet_25percent_ou!205:205,"AAAAAH949mQ=",0)</f>
        <v>0</v>
      </c>
      <c r="CX3" t="e">
        <f>AND(Ischemia_singlenet_25percent_ou!A205,"AAAAAH949mU=")</f>
        <v>#VALUE!</v>
      </c>
      <c r="CY3" t="e">
        <f>AND(Ischemia_singlenet_25percent_ou!B205,"AAAAAH949mY=")</f>
        <v>#VALUE!</v>
      </c>
      <c r="CZ3">
        <f>IF(Ischemia_singlenet_25percent_ou!206:206,"AAAAAH949mc=",0)</f>
        <v>0</v>
      </c>
      <c r="DA3" t="e">
        <f>AND(Ischemia_singlenet_25percent_ou!A206,"AAAAAH949mg=")</f>
        <v>#VALUE!</v>
      </c>
      <c r="DB3" t="e">
        <f>AND(Ischemia_singlenet_25percent_ou!B206,"AAAAAH949mk=")</f>
        <v>#VALUE!</v>
      </c>
      <c r="DC3">
        <f>IF(Ischemia_singlenet_25percent_ou!207:207,"AAAAAH949mo=",0)</f>
        <v>0</v>
      </c>
      <c r="DD3" t="e">
        <f>AND(Ischemia_singlenet_25percent_ou!A207,"AAAAAH949ms=")</f>
        <v>#VALUE!</v>
      </c>
      <c r="DE3" t="e">
        <f>AND(Ischemia_singlenet_25percent_ou!B207,"AAAAAH949mw=")</f>
        <v>#VALUE!</v>
      </c>
      <c r="DF3">
        <f>IF(Ischemia_singlenet_25percent_ou!208:208,"AAAAAH949m0=",0)</f>
        <v>0</v>
      </c>
      <c r="DG3" t="e">
        <f>AND(Ischemia_singlenet_25percent_ou!A208,"AAAAAH949m4=")</f>
        <v>#VALUE!</v>
      </c>
      <c r="DH3" t="e">
        <f>AND(Ischemia_singlenet_25percent_ou!B208,"AAAAAH949m8=")</f>
        <v>#VALUE!</v>
      </c>
      <c r="DI3">
        <f>IF(Ischemia_singlenet_25percent_ou!209:209,"AAAAAH949nA=",0)</f>
        <v>0</v>
      </c>
      <c r="DJ3" t="e">
        <f>AND(Ischemia_singlenet_25percent_ou!A209,"AAAAAH949nE=")</f>
        <v>#VALUE!</v>
      </c>
      <c r="DK3" t="e">
        <f>AND(Ischemia_singlenet_25percent_ou!B209,"AAAAAH949nI=")</f>
        <v>#VALUE!</v>
      </c>
      <c r="DL3">
        <f>IF(Ischemia_singlenet_25percent_ou!210:210,"AAAAAH949nM=",0)</f>
        <v>0</v>
      </c>
      <c r="DM3" t="e">
        <f>AND(Ischemia_singlenet_25percent_ou!A210,"AAAAAH949nQ=")</f>
        <v>#VALUE!</v>
      </c>
      <c r="DN3" t="e">
        <f>AND(Ischemia_singlenet_25percent_ou!B210,"AAAAAH949nU=")</f>
        <v>#VALUE!</v>
      </c>
      <c r="DO3">
        <f>IF(Ischemia_singlenet_25percent_ou!211:211,"AAAAAH949nY=",0)</f>
        <v>0</v>
      </c>
      <c r="DP3" t="e">
        <f>AND(Ischemia_singlenet_25percent_ou!A211,"AAAAAH949nc=")</f>
        <v>#VALUE!</v>
      </c>
      <c r="DQ3" t="e">
        <f>AND(Ischemia_singlenet_25percent_ou!B211,"AAAAAH949ng=")</f>
        <v>#VALUE!</v>
      </c>
      <c r="DR3">
        <f>IF(Ischemia_singlenet_25percent_ou!212:212,"AAAAAH949nk=",0)</f>
        <v>0</v>
      </c>
      <c r="DS3" t="e">
        <f>AND(Ischemia_singlenet_25percent_ou!A212,"AAAAAH949no=")</f>
        <v>#VALUE!</v>
      </c>
      <c r="DT3" t="e">
        <f>AND(Ischemia_singlenet_25percent_ou!B212,"AAAAAH949ns=")</f>
        <v>#VALUE!</v>
      </c>
      <c r="DU3">
        <f>IF(Ischemia_singlenet_25percent_ou!213:213,"AAAAAH949nw=",0)</f>
        <v>0</v>
      </c>
      <c r="DV3" t="e">
        <f>AND(Ischemia_singlenet_25percent_ou!A213,"AAAAAH949n0=")</f>
        <v>#VALUE!</v>
      </c>
      <c r="DW3" t="e">
        <f>AND(Ischemia_singlenet_25percent_ou!B213,"AAAAAH949n4=")</f>
        <v>#VALUE!</v>
      </c>
      <c r="DX3">
        <f>IF(Ischemia_singlenet_25percent_ou!214:214,"AAAAAH949n8=",0)</f>
        <v>0</v>
      </c>
      <c r="DY3" t="e">
        <f>AND(Ischemia_singlenet_25percent_ou!A214,"AAAAAH949oA=")</f>
        <v>#VALUE!</v>
      </c>
      <c r="DZ3" t="e">
        <f>AND(Ischemia_singlenet_25percent_ou!B214,"AAAAAH949oE=")</f>
        <v>#VALUE!</v>
      </c>
      <c r="EA3">
        <f>IF(Ischemia_singlenet_25percent_ou!215:215,"AAAAAH949oI=",0)</f>
        <v>0</v>
      </c>
      <c r="EB3" t="e">
        <f>AND(Ischemia_singlenet_25percent_ou!A215,"AAAAAH949oM=")</f>
        <v>#VALUE!</v>
      </c>
      <c r="EC3" t="e">
        <f>AND(Ischemia_singlenet_25percent_ou!B215,"AAAAAH949oQ=")</f>
        <v>#VALUE!</v>
      </c>
      <c r="ED3">
        <f>IF(Ischemia_singlenet_25percent_ou!216:216,"AAAAAH949oU=",0)</f>
        <v>0</v>
      </c>
      <c r="EE3" t="e">
        <f>AND(Ischemia_singlenet_25percent_ou!A216,"AAAAAH949oY=")</f>
        <v>#VALUE!</v>
      </c>
      <c r="EF3" t="e">
        <f>AND(Ischemia_singlenet_25percent_ou!B216,"AAAAAH949oc=")</f>
        <v>#VALUE!</v>
      </c>
      <c r="EG3">
        <f>IF(Ischemia_singlenet_25percent_ou!217:217,"AAAAAH949og=",0)</f>
        <v>0</v>
      </c>
      <c r="EH3" t="e">
        <f>AND(Ischemia_singlenet_25percent_ou!A217,"AAAAAH949ok=")</f>
        <v>#VALUE!</v>
      </c>
      <c r="EI3" t="e">
        <f>AND(Ischemia_singlenet_25percent_ou!B217,"AAAAAH949oo=")</f>
        <v>#VALUE!</v>
      </c>
      <c r="EJ3">
        <f>IF(Ischemia_singlenet_25percent_ou!218:218,"AAAAAH949os=",0)</f>
        <v>0</v>
      </c>
      <c r="EK3" t="e">
        <f>AND(Ischemia_singlenet_25percent_ou!A218,"AAAAAH949ow=")</f>
        <v>#VALUE!</v>
      </c>
      <c r="EL3" t="e">
        <f>AND(Ischemia_singlenet_25percent_ou!B218,"AAAAAH949o0=")</f>
        <v>#VALUE!</v>
      </c>
      <c r="EM3">
        <f>IF(Ischemia_singlenet_25percent_ou!219:219,"AAAAAH949o4=",0)</f>
        <v>0</v>
      </c>
      <c r="EN3" t="e">
        <f>AND(Ischemia_singlenet_25percent_ou!A219,"AAAAAH949o8=")</f>
        <v>#VALUE!</v>
      </c>
      <c r="EO3" t="e">
        <f>AND(Ischemia_singlenet_25percent_ou!B219,"AAAAAH949pA=")</f>
        <v>#VALUE!</v>
      </c>
      <c r="EP3">
        <f>IF(Ischemia_singlenet_25percent_ou!220:220,"AAAAAH949pE=",0)</f>
        <v>0</v>
      </c>
      <c r="EQ3" t="e">
        <f>AND(Ischemia_singlenet_25percent_ou!A220,"AAAAAH949pI=")</f>
        <v>#VALUE!</v>
      </c>
      <c r="ER3" t="e">
        <f>AND(Ischemia_singlenet_25percent_ou!B220,"AAAAAH949pM=")</f>
        <v>#VALUE!</v>
      </c>
      <c r="ES3">
        <f>IF(Ischemia_singlenet_25percent_ou!221:221,"AAAAAH949pQ=",0)</f>
        <v>0</v>
      </c>
      <c r="ET3" t="e">
        <f>AND(Ischemia_singlenet_25percent_ou!A221,"AAAAAH949pU=")</f>
        <v>#VALUE!</v>
      </c>
      <c r="EU3" t="e">
        <f>AND(Ischemia_singlenet_25percent_ou!B221,"AAAAAH949pY=")</f>
        <v>#VALUE!</v>
      </c>
      <c r="EV3">
        <f>IF(Ischemia_singlenet_25percent_ou!222:222,"AAAAAH949pc=",0)</f>
        <v>0</v>
      </c>
      <c r="EW3" t="e">
        <f>AND(Ischemia_singlenet_25percent_ou!A222,"AAAAAH949pg=")</f>
        <v>#VALUE!</v>
      </c>
      <c r="EX3" t="e">
        <f>AND(Ischemia_singlenet_25percent_ou!B222,"AAAAAH949pk=")</f>
        <v>#VALUE!</v>
      </c>
      <c r="EY3">
        <f>IF(Ischemia_singlenet_25percent_ou!223:223,"AAAAAH949po=",0)</f>
        <v>0</v>
      </c>
      <c r="EZ3" t="e">
        <f>AND(Ischemia_singlenet_25percent_ou!A223,"AAAAAH949ps=")</f>
        <v>#VALUE!</v>
      </c>
      <c r="FA3" t="e">
        <f>AND(Ischemia_singlenet_25percent_ou!B223,"AAAAAH949pw=")</f>
        <v>#VALUE!</v>
      </c>
      <c r="FB3">
        <f>IF(Ischemia_singlenet_25percent_ou!224:224,"AAAAAH949p0=",0)</f>
        <v>0</v>
      </c>
      <c r="FC3" t="e">
        <f>AND(Ischemia_singlenet_25percent_ou!A224,"AAAAAH949p4=")</f>
        <v>#VALUE!</v>
      </c>
      <c r="FD3" t="e">
        <f>AND(Ischemia_singlenet_25percent_ou!B224,"AAAAAH949p8=")</f>
        <v>#VALUE!</v>
      </c>
      <c r="FE3">
        <f>IF(Ischemia_singlenet_25percent_ou!225:225,"AAAAAH949qA=",0)</f>
        <v>0</v>
      </c>
      <c r="FF3" t="e">
        <f>AND(Ischemia_singlenet_25percent_ou!A225,"AAAAAH949qE=")</f>
        <v>#VALUE!</v>
      </c>
      <c r="FG3" t="e">
        <f>AND(Ischemia_singlenet_25percent_ou!B225,"AAAAAH949qI=")</f>
        <v>#VALUE!</v>
      </c>
      <c r="FH3">
        <f>IF(Ischemia_singlenet_25percent_ou!226:226,"AAAAAH949qM=",0)</f>
        <v>0</v>
      </c>
      <c r="FI3" t="e">
        <f>AND(Ischemia_singlenet_25percent_ou!A226,"AAAAAH949qQ=")</f>
        <v>#VALUE!</v>
      </c>
      <c r="FJ3" t="e">
        <f>AND(Ischemia_singlenet_25percent_ou!B226,"AAAAAH949qU=")</f>
        <v>#VALUE!</v>
      </c>
      <c r="FK3">
        <f>IF(Ischemia_singlenet_25percent_ou!227:227,"AAAAAH949qY=",0)</f>
        <v>0</v>
      </c>
      <c r="FL3" t="e">
        <f>AND(Ischemia_singlenet_25percent_ou!A227,"AAAAAH949qc=")</f>
        <v>#VALUE!</v>
      </c>
      <c r="FM3" t="e">
        <f>AND(Ischemia_singlenet_25percent_ou!B227,"AAAAAH949qg=")</f>
        <v>#VALUE!</v>
      </c>
      <c r="FN3">
        <f>IF(Ischemia_singlenet_25percent_ou!228:228,"AAAAAH949qk=",0)</f>
        <v>0</v>
      </c>
      <c r="FO3" t="e">
        <f>AND(Ischemia_singlenet_25percent_ou!A228,"AAAAAH949qo=")</f>
        <v>#VALUE!</v>
      </c>
      <c r="FP3" t="e">
        <f>AND(Ischemia_singlenet_25percent_ou!B228,"AAAAAH949qs=")</f>
        <v>#VALUE!</v>
      </c>
      <c r="FQ3">
        <f>IF(Ischemia_singlenet_25percent_ou!229:229,"AAAAAH949qw=",0)</f>
        <v>0</v>
      </c>
      <c r="FR3" t="e">
        <f>AND(Ischemia_singlenet_25percent_ou!A229,"AAAAAH949q0=")</f>
        <v>#VALUE!</v>
      </c>
      <c r="FS3" t="e">
        <f>AND(Ischemia_singlenet_25percent_ou!B229,"AAAAAH949q4=")</f>
        <v>#VALUE!</v>
      </c>
      <c r="FT3">
        <f>IF(Ischemia_singlenet_25percent_ou!230:230,"AAAAAH949q8=",0)</f>
        <v>0</v>
      </c>
      <c r="FU3" t="e">
        <f>AND(Ischemia_singlenet_25percent_ou!A230,"AAAAAH949rA=")</f>
        <v>#VALUE!</v>
      </c>
      <c r="FV3" t="e">
        <f>AND(Ischemia_singlenet_25percent_ou!B230,"AAAAAH949rE=")</f>
        <v>#VALUE!</v>
      </c>
      <c r="FW3">
        <f>IF(Ischemia_singlenet_25percent_ou!231:231,"AAAAAH949rI=",0)</f>
        <v>0</v>
      </c>
      <c r="FX3" t="e">
        <f>AND(Ischemia_singlenet_25percent_ou!A231,"AAAAAH949rM=")</f>
        <v>#VALUE!</v>
      </c>
      <c r="FY3" t="e">
        <f>AND(Ischemia_singlenet_25percent_ou!B231,"AAAAAH949rQ=")</f>
        <v>#VALUE!</v>
      </c>
      <c r="FZ3">
        <f>IF(Ischemia_singlenet_25percent_ou!232:232,"AAAAAH949rU=",0)</f>
        <v>0</v>
      </c>
      <c r="GA3" t="e">
        <f>AND(Ischemia_singlenet_25percent_ou!A232,"AAAAAH949rY=")</f>
        <v>#VALUE!</v>
      </c>
      <c r="GB3" t="e">
        <f>AND(Ischemia_singlenet_25percent_ou!B232,"AAAAAH949rc=")</f>
        <v>#VALUE!</v>
      </c>
      <c r="GC3">
        <f>IF(Ischemia_singlenet_25percent_ou!233:233,"AAAAAH949rg=",0)</f>
        <v>0</v>
      </c>
      <c r="GD3" t="e">
        <f>AND(Ischemia_singlenet_25percent_ou!A233,"AAAAAH949rk=")</f>
        <v>#VALUE!</v>
      </c>
      <c r="GE3" t="e">
        <f>AND(Ischemia_singlenet_25percent_ou!B233,"AAAAAH949ro=")</f>
        <v>#VALUE!</v>
      </c>
      <c r="GF3">
        <f>IF(Ischemia_singlenet_25percent_ou!234:234,"AAAAAH949rs=",0)</f>
        <v>0</v>
      </c>
      <c r="GG3" t="e">
        <f>AND(Ischemia_singlenet_25percent_ou!A234,"AAAAAH949rw=")</f>
        <v>#VALUE!</v>
      </c>
      <c r="GH3" t="e">
        <f>AND(Ischemia_singlenet_25percent_ou!B234,"AAAAAH949r0=")</f>
        <v>#VALUE!</v>
      </c>
      <c r="GI3">
        <f>IF(Ischemia_singlenet_25percent_ou!235:235,"AAAAAH949r4=",0)</f>
        <v>0</v>
      </c>
      <c r="GJ3" t="e">
        <f>AND(Ischemia_singlenet_25percent_ou!A235,"AAAAAH949r8=")</f>
        <v>#VALUE!</v>
      </c>
      <c r="GK3" t="e">
        <f>AND(Ischemia_singlenet_25percent_ou!B235,"AAAAAH949sA=")</f>
        <v>#VALUE!</v>
      </c>
      <c r="GL3">
        <f>IF(Ischemia_singlenet_25percent_ou!236:236,"AAAAAH949sE=",0)</f>
        <v>0</v>
      </c>
      <c r="GM3" t="e">
        <f>AND(Ischemia_singlenet_25percent_ou!A236,"AAAAAH949sI=")</f>
        <v>#VALUE!</v>
      </c>
      <c r="GN3" t="e">
        <f>AND(Ischemia_singlenet_25percent_ou!B236,"AAAAAH949sM=")</f>
        <v>#VALUE!</v>
      </c>
      <c r="GO3">
        <f>IF(Ischemia_singlenet_25percent_ou!237:237,"AAAAAH949sQ=",0)</f>
        <v>0</v>
      </c>
      <c r="GP3" t="e">
        <f>AND(Ischemia_singlenet_25percent_ou!A237,"AAAAAH949sU=")</f>
        <v>#VALUE!</v>
      </c>
      <c r="GQ3" t="e">
        <f>AND(Ischemia_singlenet_25percent_ou!B237,"AAAAAH949sY=")</f>
        <v>#VALUE!</v>
      </c>
      <c r="GR3">
        <f>IF(Ischemia_singlenet_25percent_ou!238:238,"AAAAAH949sc=",0)</f>
        <v>0</v>
      </c>
      <c r="GS3" t="e">
        <f>AND(Ischemia_singlenet_25percent_ou!A238,"AAAAAH949sg=")</f>
        <v>#VALUE!</v>
      </c>
      <c r="GT3" t="e">
        <f>AND(Ischemia_singlenet_25percent_ou!B238,"AAAAAH949sk=")</f>
        <v>#VALUE!</v>
      </c>
      <c r="GU3">
        <f>IF(Ischemia_singlenet_25percent_ou!239:239,"AAAAAH949so=",0)</f>
        <v>0</v>
      </c>
      <c r="GV3" t="e">
        <f>AND(Ischemia_singlenet_25percent_ou!A239,"AAAAAH949ss=")</f>
        <v>#VALUE!</v>
      </c>
      <c r="GW3" t="e">
        <f>AND(Ischemia_singlenet_25percent_ou!B239,"AAAAAH949sw=")</f>
        <v>#VALUE!</v>
      </c>
      <c r="GX3">
        <f>IF(Ischemia_singlenet_25percent_ou!240:240,"AAAAAH949s0=",0)</f>
        <v>0</v>
      </c>
      <c r="GY3" t="e">
        <f>AND(Ischemia_singlenet_25percent_ou!A240,"AAAAAH949s4=")</f>
        <v>#VALUE!</v>
      </c>
      <c r="GZ3" t="e">
        <f>AND(Ischemia_singlenet_25percent_ou!B240,"AAAAAH949s8=")</f>
        <v>#VALUE!</v>
      </c>
      <c r="HA3">
        <f>IF(Ischemia_singlenet_25percent_ou!241:241,"AAAAAH949tA=",0)</f>
        <v>0</v>
      </c>
      <c r="HB3" t="e">
        <f>AND(Ischemia_singlenet_25percent_ou!A241,"AAAAAH949tE=")</f>
        <v>#VALUE!</v>
      </c>
      <c r="HC3" t="e">
        <f>AND(Ischemia_singlenet_25percent_ou!B241,"AAAAAH949tI=")</f>
        <v>#VALUE!</v>
      </c>
      <c r="HD3">
        <f>IF(Ischemia_singlenet_25percent_ou!242:242,"AAAAAH949tM=",0)</f>
        <v>0</v>
      </c>
      <c r="HE3" t="e">
        <f>AND(Ischemia_singlenet_25percent_ou!A242,"AAAAAH949tQ=")</f>
        <v>#VALUE!</v>
      </c>
      <c r="HF3" t="e">
        <f>AND(Ischemia_singlenet_25percent_ou!B242,"AAAAAH949tU=")</f>
        <v>#VALUE!</v>
      </c>
      <c r="HG3">
        <f>IF(Ischemia_singlenet_25percent_ou!243:243,"AAAAAH949tY=",0)</f>
        <v>0</v>
      </c>
      <c r="HH3" t="e">
        <f>AND(Ischemia_singlenet_25percent_ou!A243,"AAAAAH949tc=")</f>
        <v>#VALUE!</v>
      </c>
      <c r="HI3" t="e">
        <f>AND(Ischemia_singlenet_25percent_ou!B243,"AAAAAH949tg=")</f>
        <v>#VALUE!</v>
      </c>
      <c r="HJ3">
        <f>IF(Ischemia_singlenet_25percent_ou!244:244,"AAAAAH949tk=",0)</f>
        <v>0</v>
      </c>
      <c r="HK3" t="e">
        <f>AND(Ischemia_singlenet_25percent_ou!A244,"AAAAAH949to=")</f>
        <v>#VALUE!</v>
      </c>
      <c r="HL3" t="e">
        <f>AND(Ischemia_singlenet_25percent_ou!B244,"AAAAAH949ts=")</f>
        <v>#VALUE!</v>
      </c>
      <c r="HM3">
        <f>IF(Ischemia_singlenet_25percent_ou!245:245,"AAAAAH949tw=",0)</f>
        <v>0</v>
      </c>
      <c r="HN3" t="e">
        <f>AND(Ischemia_singlenet_25percent_ou!A245,"AAAAAH949t0=")</f>
        <v>#VALUE!</v>
      </c>
      <c r="HO3" t="e">
        <f>AND(Ischemia_singlenet_25percent_ou!B245,"AAAAAH949t4=")</f>
        <v>#VALUE!</v>
      </c>
      <c r="HP3">
        <f>IF(Ischemia_singlenet_25percent_ou!246:246,"AAAAAH949t8=",0)</f>
        <v>0</v>
      </c>
      <c r="HQ3" t="e">
        <f>AND(Ischemia_singlenet_25percent_ou!A246,"AAAAAH949uA=")</f>
        <v>#VALUE!</v>
      </c>
      <c r="HR3" t="e">
        <f>AND(Ischemia_singlenet_25percent_ou!B246,"AAAAAH949uE=")</f>
        <v>#VALUE!</v>
      </c>
      <c r="HS3">
        <f>IF(Ischemia_singlenet_25percent_ou!247:247,"AAAAAH949uI=",0)</f>
        <v>0</v>
      </c>
      <c r="HT3" t="e">
        <f>AND(Ischemia_singlenet_25percent_ou!A247,"AAAAAH949uM=")</f>
        <v>#VALUE!</v>
      </c>
      <c r="HU3" t="e">
        <f>AND(Ischemia_singlenet_25percent_ou!B247,"AAAAAH949uQ=")</f>
        <v>#VALUE!</v>
      </c>
      <c r="HV3">
        <f>IF(Ischemia_singlenet_25percent_ou!248:248,"AAAAAH949uU=",0)</f>
        <v>0</v>
      </c>
      <c r="HW3" t="e">
        <f>AND(Ischemia_singlenet_25percent_ou!A248,"AAAAAH949uY=")</f>
        <v>#VALUE!</v>
      </c>
      <c r="HX3" t="e">
        <f>AND(Ischemia_singlenet_25percent_ou!B248,"AAAAAH949uc=")</f>
        <v>#VALUE!</v>
      </c>
      <c r="HY3">
        <f>IF(Ischemia_singlenet_25percent_ou!249:249,"AAAAAH949ug=",0)</f>
        <v>0</v>
      </c>
      <c r="HZ3" t="e">
        <f>AND(Ischemia_singlenet_25percent_ou!A249,"AAAAAH949uk=")</f>
        <v>#VALUE!</v>
      </c>
      <c r="IA3" t="e">
        <f>AND(Ischemia_singlenet_25percent_ou!B249,"AAAAAH949uo=")</f>
        <v>#VALUE!</v>
      </c>
      <c r="IB3">
        <f>IF(Ischemia_singlenet_25percent_ou!250:250,"AAAAAH949us=",0)</f>
        <v>0</v>
      </c>
      <c r="IC3" t="e">
        <f>AND(Ischemia_singlenet_25percent_ou!A250,"AAAAAH949uw=")</f>
        <v>#VALUE!</v>
      </c>
      <c r="ID3" t="e">
        <f>AND(Ischemia_singlenet_25percent_ou!B250,"AAAAAH949u0=")</f>
        <v>#VALUE!</v>
      </c>
      <c r="IE3">
        <f>IF(Ischemia_singlenet_25percent_ou!251:251,"AAAAAH949u4=",0)</f>
        <v>0</v>
      </c>
      <c r="IF3" t="e">
        <f>AND(Ischemia_singlenet_25percent_ou!A251,"AAAAAH949u8=")</f>
        <v>#VALUE!</v>
      </c>
      <c r="IG3" t="e">
        <f>AND(Ischemia_singlenet_25percent_ou!B251,"AAAAAH949vA=")</f>
        <v>#VALUE!</v>
      </c>
      <c r="IH3">
        <f>IF(Ischemia_singlenet_25percent_ou!252:252,"AAAAAH949vE=",0)</f>
        <v>0</v>
      </c>
      <c r="II3" t="e">
        <f>AND(Ischemia_singlenet_25percent_ou!A252,"AAAAAH949vI=")</f>
        <v>#VALUE!</v>
      </c>
      <c r="IJ3" t="e">
        <f>AND(Ischemia_singlenet_25percent_ou!B252,"AAAAAH949vM=")</f>
        <v>#VALUE!</v>
      </c>
      <c r="IK3">
        <f>IF(Ischemia_singlenet_25percent_ou!253:253,"AAAAAH949vQ=",0)</f>
        <v>0</v>
      </c>
      <c r="IL3" t="e">
        <f>AND(Ischemia_singlenet_25percent_ou!A253,"AAAAAH949vU=")</f>
        <v>#VALUE!</v>
      </c>
      <c r="IM3" t="e">
        <f>AND(Ischemia_singlenet_25percent_ou!B253,"AAAAAH949vY=")</f>
        <v>#VALUE!</v>
      </c>
      <c r="IN3">
        <f>IF(Ischemia_singlenet_25percent_ou!254:254,"AAAAAH949vc=",0)</f>
        <v>0</v>
      </c>
      <c r="IO3" t="e">
        <f>AND(Ischemia_singlenet_25percent_ou!A254,"AAAAAH949vg=")</f>
        <v>#VALUE!</v>
      </c>
      <c r="IP3" t="e">
        <f>AND(Ischemia_singlenet_25percent_ou!B254,"AAAAAH949vk=")</f>
        <v>#VALUE!</v>
      </c>
      <c r="IQ3">
        <f>IF(Ischemia_singlenet_25percent_ou!255:255,"AAAAAH949vo=",0)</f>
        <v>0</v>
      </c>
      <c r="IR3" t="e">
        <f>AND(Ischemia_singlenet_25percent_ou!A255,"AAAAAH949vs=")</f>
        <v>#VALUE!</v>
      </c>
      <c r="IS3" t="e">
        <f>AND(Ischemia_singlenet_25percent_ou!B255,"AAAAAH949vw=")</f>
        <v>#VALUE!</v>
      </c>
      <c r="IT3">
        <f>IF(Ischemia_singlenet_25percent_ou!256:256,"AAAAAH949v0=",0)</f>
        <v>0</v>
      </c>
      <c r="IU3" t="e">
        <f>AND(Ischemia_singlenet_25percent_ou!A256,"AAAAAH949v4=")</f>
        <v>#VALUE!</v>
      </c>
      <c r="IV3" t="e">
        <f>AND(Ischemia_singlenet_25percent_ou!B256,"AAAAAH949v8=")</f>
        <v>#VALUE!</v>
      </c>
    </row>
    <row r="4" spans="1:256">
      <c r="A4" t="e">
        <f>IF(Ischemia_singlenet_25percent_ou!257:257,"AAAAAC/vfQA=",0)</f>
        <v>#VALUE!</v>
      </c>
      <c r="B4" t="e">
        <f>AND(Ischemia_singlenet_25percent_ou!A257,"AAAAAC/vfQE=")</f>
        <v>#VALUE!</v>
      </c>
      <c r="C4" t="e">
        <f>AND(Ischemia_singlenet_25percent_ou!B257,"AAAAAC/vfQI=")</f>
        <v>#VALUE!</v>
      </c>
      <c r="D4">
        <f>IF(Ischemia_singlenet_25percent_ou!258:258,"AAAAAC/vfQM=",0)</f>
        <v>0</v>
      </c>
      <c r="E4" t="e">
        <f>AND(Ischemia_singlenet_25percent_ou!A258,"AAAAAC/vfQQ=")</f>
        <v>#VALUE!</v>
      </c>
      <c r="F4" t="e">
        <f>AND(Ischemia_singlenet_25percent_ou!B258,"AAAAAC/vfQU=")</f>
        <v>#VALUE!</v>
      </c>
      <c r="G4">
        <f>IF(Ischemia_singlenet_25percent_ou!259:259,"AAAAAC/vfQY=",0)</f>
        <v>0</v>
      </c>
      <c r="H4" t="e">
        <f>AND(Ischemia_singlenet_25percent_ou!A259,"AAAAAC/vfQc=")</f>
        <v>#VALUE!</v>
      </c>
      <c r="I4" t="e">
        <f>AND(Ischemia_singlenet_25percent_ou!B259,"AAAAAC/vfQg=")</f>
        <v>#VALUE!</v>
      </c>
      <c r="J4">
        <f>IF(Ischemia_singlenet_25percent_ou!260:260,"AAAAAC/vfQk=",0)</f>
        <v>0</v>
      </c>
      <c r="K4" t="e">
        <f>AND(Ischemia_singlenet_25percent_ou!A260,"AAAAAC/vfQo=")</f>
        <v>#VALUE!</v>
      </c>
      <c r="L4" t="e">
        <f>AND(Ischemia_singlenet_25percent_ou!B260,"AAAAAC/vfQs=")</f>
        <v>#VALUE!</v>
      </c>
      <c r="M4">
        <f>IF(Ischemia_singlenet_25percent_ou!261:261,"AAAAAC/vfQw=",0)</f>
        <v>0</v>
      </c>
      <c r="N4" t="e">
        <f>AND(Ischemia_singlenet_25percent_ou!A261,"AAAAAC/vfQ0=")</f>
        <v>#VALUE!</v>
      </c>
      <c r="O4" t="e">
        <f>AND(Ischemia_singlenet_25percent_ou!B261,"AAAAAC/vfQ4=")</f>
        <v>#VALUE!</v>
      </c>
      <c r="P4">
        <f>IF(Ischemia_singlenet_25percent_ou!262:262,"AAAAAC/vfQ8=",0)</f>
        <v>0</v>
      </c>
      <c r="Q4" t="e">
        <f>AND(Ischemia_singlenet_25percent_ou!A262,"AAAAAC/vfRA=")</f>
        <v>#VALUE!</v>
      </c>
      <c r="R4" t="e">
        <f>AND(Ischemia_singlenet_25percent_ou!B262,"AAAAAC/vfRE=")</f>
        <v>#VALUE!</v>
      </c>
      <c r="S4">
        <f>IF(Ischemia_singlenet_25percent_ou!263:263,"AAAAAC/vfRI=",0)</f>
        <v>0</v>
      </c>
      <c r="T4" t="e">
        <f>AND(Ischemia_singlenet_25percent_ou!A263,"AAAAAC/vfRM=")</f>
        <v>#VALUE!</v>
      </c>
      <c r="U4" t="e">
        <f>AND(Ischemia_singlenet_25percent_ou!B263,"AAAAAC/vfRQ=")</f>
        <v>#VALUE!</v>
      </c>
      <c r="V4">
        <f>IF(Ischemia_singlenet_25percent_ou!264:264,"AAAAAC/vfRU=",0)</f>
        <v>0</v>
      </c>
      <c r="W4" t="e">
        <f>AND(Ischemia_singlenet_25percent_ou!A264,"AAAAAC/vfRY=")</f>
        <v>#VALUE!</v>
      </c>
      <c r="X4" t="e">
        <f>AND(Ischemia_singlenet_25percent_ou!B264,"AAAAAC/vfRc=")</f>
        <v>#VALUE!</v>
      </c>
      <c r="Y4">
        <f>IF(Ischemia_singlenet_25percent_ou!265:265,"AAAAAC/vfRg=",0)</f>
        <v>0</v>
      </c>
      <c r="Z4" t="e">
        <f>AND(Ischemia_singlenet_25percent_ou!A265,"AAAAAC/vfRk=")</f>
        <v>#VALUE!</v>
      </c>
      <c r="AA4" t="e">
        <f>AND(Ischemia_singlenet_25percent_ou!B265,"AAAAAC/vfRo=")</f>
        <v>#VALUE!</v>
      </c>
      <c r="AB4">
        <f>IF(Ischemia_singlenet_25percent_ou!266:266,"AAAAAC/vfRs=",0)</f>
        <v>0</v>
      </c>
      <c r="AC4" t="e">
        <f>AND(Ischemia_singlenet_25percent_ou!A266,"AAAAAC/vfRw=")</f>
        <v>#VALUE!</v>
      </c>
      <c r="AD4" t="e">
        <f>AND(Ischemia_singlenet_25percent_ou!B266,"AAAAAC/vfR0=")</f>
        <v>#VALUE!</v>
      </c>
      <c r="AE4">
        <f>IF(Ischemia_singlenet_25percent_ou!267:267,"AAAAAC/vfR4=",0)</f>
        <v>0</v>
      </c>
      <c r="AF4" t="e">
        <f>AND(Ischemia_singlenet_25percent_ou!A267,"AAAAAC/vfR8=")</f>
        <v>#VALUE!</v>
      </c>
      <c r="AG4" t="e">
        <f>AND(Ischemia_singlenet_25percent_ou!B267,"AAAAAC/vfSA=")</f>
        <v>#VALUE!</v>
      </c>
      <c r="AH4">
        <f>IF(Ischemia_singlenet_25percent_ou!268:268,"AAAAAC/vfSE=",0)</f>
        <v>0</v>
      </c>
      <c r="AI4" t="e">
        <f>AND(Ischemia_singlenet_25percent_ou!A268,"AAAAAC/vfSI=")</f>
        <v>#VALUE!</v>
      </c>
      <c r="AJ4" t="e">
        <f>AND(Ischemia_singlenet_25percent_ou!B268,"AAAAAC/vfSM=")</f>
        <v>#VALUE!</v>
      </c>
      <c r="AK4">
        <f>IF(Ischemia_singlenet_25percent_ou!269:269,"AAAAAC/vfSQ=",0)</f>
        <v>0</v>
      </c>
      <c r="AL4" t="e">
        <f>AND(Ischemia_singlenet_25percent_ou!A269,"AAAAAC/vfSU=")</f>
        <v>#VALUE!</v>
      </c>
      <c r="AM4" t="e">
        <f>AND(Ischemia_singlenet_25percent_ou!B269,"AAAAAC/vfSY=")</f>
        <v>#VALUE!</v>
      </c>
      <c r="AN4">
        <f>IF(Ischemia_singlenet_25percent_ou!270:270,"AAAAAC/vfSc=",0)</f>
        <v>0</v>
      </c>
      <c r="AO4" t="e">
        <f>AND(Ischemia_singlenet_25percent_ou!A270,"AAAAAC/vfSg=")</f>
        <v>#VALUE!</v>
      </c>
      <c r="AP4" t="e">
        <f>AND(Ischemia_singlenet_25percent_ou!B270,"AAAAAC/vfSk=")</f>
        <v>#VALUE!</v>
      </c>
      <c r="AQ4">
        <f>IF(Ischemia_singlenet_25percent_ou!271:271,"AAAAAC/vfSo=",0)</f>
        <v>0</v>
      </c>
      <c r="AR4" t="e">
        <f>AND(Ischemia_singlenet_25percent_ou!A271,"AAAAAC/vfSs=")</f>
        <v>#VALUE!</v>
      </c>
      <c r="AS4" t="e">
        <f>AND(Ischemia_singlenet_25percent_ou!B271,"AAAAAC/vfSw=")</f>
        <v>#VALUE!</v>
      </c>
      <c r="AT4">
        <f>IF(Ischemia_singlenet_25percent_ou!272:272,"AAAAAC/vfS0=",0)</f>
        <v>0</v>
      </c>
      <c r="AU4" t="e">
        <f>AND(Ischemia_singlenet_25percent_ou!A272,"AAAAAC/vfS4=")</f>
        <v>#VALUE!</v>
      </c>
      <c r="AV4" t="e">
        <f>AND(Ischemia_singlenet_25percent_ou!B272,"AAAAAC/vfS8=")</f>
        <v>#VALUE!</v>
      </c>
      <c r="AW4">
        <f>IF(Ischemia_singlenet_25percent_ou!273:273,"AAAAAC/vfTA=",0)</f>
        <v>0</v>
      </c>
      <c r="AX4" t="e">
        <f>AND(Ischemia_singlenet_25percent_ou!A273,"AAAAAC/vfTE=")</f>
        <v>#VALUE!</v>
      </c>
      <c r="AY4" t="e">
        <f>AND(Ischemia_singlenet_25percent_ou!B273,"AAAAAC/vfTI=")</f>
        <v>#VALUE!</v>
      </c>
      <c r="AZ4">
        <f>IF(Ischemia_singlenet_25percent_ou!274:274,"AAAAAC/vfTM=",0)</f>
        <v>0</v>
      </c>
      <c r="BA4" t="e">
        <f>AND(Ischemia_singlenet_25percent_ou!A274,"AAAAAC/vfTQ=")</f>
        <v>#VALUE!</v>
      </c>
      <c r="BB4" t="e">
        <f>AND(Ischemia_singlenet_25percent_ou!B274,"AAAAAC/vfTU=")</f>
        <v>#VALUE!</v>
      </c>
      <c r="BC4">
        <f>IF(Ischemia_singlenet_25percent_ou!275:275,"AAAAAC/vfTY=",0)</f>
        <v>0</v>
      </c>
      <c r="BD4" t="e">
        <f>AND(Ischemia_singlenet_25percent_ou!A275,"AAAAAC/vfTc=")</f>
        <v>#VALUE!</v>
      </c>
      <c r="BE4" t="e">
        <f>AND(Ischemia_singlenet_25percent_ou!B275,"AAAAAC/vfTg=")</f>
        <v>#VALUE!</v>
      </c>
      <c r="BF4">
        <f>IF(Ischemia_singlenet_25percent_ou!276:276,"AAAAAC/vfTk=",0)</f>
        <v>0</v>
      </c>
      <c r="BG4" t="e">
        <f>AND(Ischemia_singlenet_25percent_ou!A276,"AAAAAC/vfTo=")</f>
        <v>#VALUE!</v>
      </c>
      <c r="BH4" t="e">
        <f>AND(Ischemia_singlenet_25percent_ou!B276,"AAAAAC/vfTs=")</f>
        <v>#VALUE!</v>
      </c>
      <c r="BI4">
        <f>IF(Ischemia_singlenet_25percent_ou!277:277,"AAAAAC/vfTw=",0)</f>
        <v>0</v>
      </c>
      <c r="BJ4" t="e">
        <f>AND(Ischemia_singlenet_25percent_ou!A277,"AAAAAC/vfT0=")</f>
        <v>#VALUE!</v>
      </c>
      <c r="BK4" t="e">
        <f>AND(Ischemia_singlenet_25percent_ou!B277,"AAAAAC/vfT4=")</f>
        <v>#VALUE!</v>
      </c>
      <c r="BL4">
        <f>IF(Ischemia_singlenet_25percent_ou!278:278,"AAAAAC/vfT8=",0)</f>
        <v>0</v>
      </c>
      <c r="BM4" t="e">
        <f>AND(Ischemia_singlenet_25percent_ou!A278,"AAAAAC/vfUA=")</f>
        <v>#VALUE!</v>
      </c>
      <c r="BN4" t="e">
        <f>AND(Ischemia_singlenet_25percent_ou!B278,"AAAAAC/vfUE=")</f>
        <v>#VALUE!</v>
      </c>
      <c r="BO4">
        <f>IF(Ischemia_singlenet_25percent_ou!279:279,"AAAAAC/vfUI=",0)</f>
        <v>0</v>
      </c>
      <c r="BP4" t="e">
        <f>AND(Ischemia_singlenet_25percent_ou!A279,"AAAAAC/vfUM=")</f>
        <v>#VALUE!</v>
      </c>
      <c r="BQ4" t="e">
        <f>AND(Ischemia_singlenet_25percent_ou!B279,"AAAAAC/vfUQ=")</f>
        <v>#VALUE!</v>
      </c>
      <c r="BR4">
        <f>IF(Ischemia_singlenet_25percent_ou!280:280,"AAAAAC/vfUU=",0)</f>
        <v>0</v>
      </c>
      <c r="BS4" t="e">
        <f>AND(Ischemia_singlenet_25percent_ou!A280,"AAAAAC/vfUY=")</f>
        <v>#VALUE!</v>
      </c>
      <c r="BT4" t="e">
        <f>AND(Ischemia_singlenet_25percent_ou!B280,"AAAAAC/vfUc=")</f>
        <v>#VALUE!</v>
      </c>
      <c r="BU4">
        <f>IF(Ischemia_singlenet_25percent_ou!281:281,"AAAAAC/vfUg=",0)</f>
        <v>0</v>
      </c>
      <c r="BV4" t="e">
        <f>AND(Ischemia_singlenet_25percent_ou!A281,"AAAAAC/vfUk=")</f>
        <v>#VALUE!</v>
      </c>
      <c r="BW4" t="e">
        <f>AND(Ischemia_singlenet_25percent_ou!B281,"AAAAAC/vfUo=")</f>
        <v>#VALUE!</v>
      </c>
      <c r="BX4">
        <f>IF(Ischemia_singlenet_25percent_ou!282:282,"AAAAAC/vfUs=",0)</f>
        <v>0</v>
      </c>
      <c r="BY4" t="e">
        <f>AND(Ischemia_singlenet_25percent_ou!A282,"AAAAAC/vfUw=")</f>
        <v>#VALUE!</v>
      </c>
      <c r="BZ4" t="e">
        <f>AND(Ischemia_singlenet_25percent_ou!B282,"AAAAAC/vfU0=")</f>
        <v>#VALUE!</v>
      </c>
      <c r="CA4">
        <f>IF(Ischemia_singlenet_25percent_ou!283:283,"AAAAAC/vfU4=",0)</f>
        <v>0</v>
      </c>
      <c r="CB4" t="e">
        <f>AND(Ischemia_singlenet_25percent_ou!A283,"AAAAAC/vfU8=")</f>
        <v>#VALUE!</v>
      </c>
      <c r="CC4" t="e">
        <f>AND(Ischemia_singlenet_25percent_ou!B283,"AAAAAC/vfVA=")</f>
        <v>#VALUE!</v>
      </c>
      <c r="CD4">
        <f>IF(Ischemia_singlenet_25percent_ou!284:284,"AAAAAC/vfVE=",0)</f>
        <v>0</v>
      </c>
      <c r="CE4" t="e">
        <f>AND(Ischemia_singlenet_25percent_ou!A284,"AAAAAC/vfVI=")</f>
        <v>#VALUE!</v>
      </c>
      <c r="CF4" t="e">
        <f>AND(Ischemia_singlenet_25percent_ou!B284,"AAAAAC/vfVM=")</f>
        <v>#VALUE!</v>
      </c>
      <c r="CG4">
        <f>IF(Ischemia_singlenet_25percent_ou!285:285,"AAAAAC/vfVQ=",0)</f>
        <v>0</v>
      </c>
      <c r="CH4" t="e">
        <f>AND(Ischemia_singlenet_25percent_ou!A285,"AAAAAC/vfVU=")</f>
        <v>#VALUE!</v>
      </c>
      <c r="CI4" t="e">
        <f>AND(Ischemia_singlenet_25percent_ou!B285,"AAAAAC/vfVY=")</f>
        <v>#VALUE!</v>
      </c>
      <c r="CJ4">
        <f>IF(Ischemia_singlenet_25percent_ou!286:286,"AAAAAC/vfVc=",0)</f>
        <v>0</v>
      </c>
      <c r="CK4" t="e">
        <f>AND(Ischemia_singlenet_25percent_ou!A286,"AAAAAC/vfVg=")</f>
        <v>#VALUE!</v>
      </c>
      <c r="CL4" t="e">
        <f>AND(Ischemia_singlenet_25percent_ou!B286,"AAAAAC/vfVk=")</f>
        <v>#VALUE!</v>
      </c>
      <c r="CM4">
        <f>IF(Ischemia_singlenet_25percent_ou!287:287,"AAAAAC/vfVo=",0)</f>
        <v>0</v>
      </c>
      <c r="CN4" t="e">
        <f>AND(Ischemia_singlenet_25percent_ou!A287,"AAAAAC/vfVs=")</f>
        <v>#VALUE!</v>
      </c>
      <c r="CO4" t="e">
        <f>AND(Ischemia_singlenet_25percent_ou!B287,"AAAAAC/vfVw=")</f>
        <v>#VALUE!</v>
      </c>
      <c r="CP4">
        <f>IF(Ischemia_singlenet_25percent_ou!288:288,"AAAAAC/vfV0=",0)</f>
        <v>0</v>
      </c>
      <c r="CQ4" t="e">
        <f>AND(Ischemia_singlenet_25percent_ou!A288,"AAAAAC/vfV4=")</f>
        <v>#VALUE!</v>
      </c>
      <c r="CR4" t="e">
        <f>AND(Ischemia_singlenet_25percent_ou!B288,"AAAAAC/vfV8=")</f>
        <v>#VALUE!</v>
      </c>
      <c r="CS4">
        <f>IF(Ischemia_singlenet_25percent_ou!289:289,"AAAAAC/vfWA=",0)</f>
        <v>0</v>
      </c>
      <c r="CT4" t="e">
        <f>AND(Ischemia_singlenet_25percent_ou!A289,"AAAAAC/vfWE=")</f>
        <v>#VALUE!</v>
      </c>
      <c r="CU4" t="e">
        <f>AND(Ischemia_singlenet_25percent_ou!B289,"AAAAAC/vfWI=")</f>
        <v>#VALUE!</v>
      </c>
      <c r="CV4">
        <f>IF(Ischemia_singlenet_25percent_ou!290:290,"AAAAAC/vfWM=",0)</f>
        <v>0</v>
      </c>
      <c r="CW4" t="e">
        <f>AND(Ischemia_singlenet_25percent_ou!A290,"AAAAAC/vfWQ=")</f>
        <v>#VALUE!</v>
      </c>
      <c r="CX4" t="e">
        <f>AND(Ischemia_singlenet_25percent_ou!B290,"AAAAAC/vfWU=")</f>
        <v>#VALUE!</v>
      </c>
      <c r="CY4">
        <f>IF(Ischemia_singlenet_25percent_ou!291:291,"AAAAAC/vfWY=",0)</f>
        <v>0</v>
      </c>
      <c r="CZ4" t="e">
        <f>AND(Ischemia_singlenet_25percent_ou!A291,"AAAAAC/vfWc=")</f>
        <v>#VALUE!</v>
      </c>
      <c r="DA4" t="e">
        <f>AND(Ischemia_singlenet_25percent_ou!B291,"AAAAAC/vfWg=")</f>
        <v>#VALUE!</v>
      </c>
      <c r="DB4">
        <f>IF(Ischemia_singlenet_25percent_ou!292:292,"AAAAAC/vfWk=",0)</f>
        <v>0</v>
      </c>
      <c r="DC4" t="e">
        <f>AND(Ischemia_singlenet_25percent_ou!A292,"AAAAAC/vfWo=")</f>
        <v>#VALUE!</v>
      </c>
      <c r="DD4" t="e">
        <f>AND(Ischemia_singlenet_25percent_ou!B292,"AAAAAC/vfWs=")</f>
        <v>#VALUE!</v>
      </c>
      <c r="DE4">
        <f>IF(Ischemia_singlenet_25percent_ou!293:293,"AAAAAC/vfWw=",0)</f>
        <v>0</v>
      </c>
      <c r="DF4" t="e">
        <f>AND(Ischemia_singlenet_25percent_ou!A293,"AAAAAC/vfW0=")</f>
        <v>#VALUE!</v>
      </c>
      <c r="DG4" t="e">
        <f>AND(Ischemia_singlenet_25percent_ou!B293,"AAAAAC/vfW4=")</f>
        <v>#VALUE!</v>
      </c>
      <c r="DH4">
        <f>IF(Ischemia_singlenet_25percent_ou!294:294,"AAAAAC/vfW8=",0)</f>
        <v>0</v>
      </c>
      <c r="DI4" t="e">
        <f>AND(Ischemia_singlenet_25percent_ou!A294,"AAAAAC/vfXA=")</f>
        <v>#VALUE!</v>
      </c>
      <c r="DJ4" t="e">
        <f>AND(Ischemia_singlenet_25percent_ou!B294,"AAAAAC/vfXE=")</f>
        <v>#VALUE!</v>
      </c>
      <c r="DK4">
        <f>IF(Ischemia_singlenet_25percent_ou!295:295,"AAAAAC/vfXI=",0)</f>
        <v>0</v>
      </c>
      <c r="DL4" t="e">
        <f>AND(Ischemia_singlenet_25percent_ou!A295,"AAAAAC/vfXM=")</f>
        <v>#VALUE!</v>
      </c>
      <c r="DM4" t="e">
        <f>AND(Ischemia_singlenet_25percent_ou!B295,"AAAAAC/vfXQ=")</f>
        <v>#VALUE!</v>
      </c>
      <c r="DN4">
        <f>IF(Ischemia_singlenet_25percent_ou!296:296,"AAAAAC/vfXU=",0)</f>
        <v>0</v>
      </c>
      <c r="DO4" t="e">
        <f>AND(Ischemia_singlenet_25percent_ou!A296,"AAAAAC/vfXY=")</f>
        <v>#VALUE!</v>
      </c>
      <c r="DP4" t="e">
        <f>AND(Ischemia_singlenet_25percent_ou!B296,"AAAAAC/vfXc=")</f>
        <v>#VALUE!</v>
      </c>
      <c r="DQ4">
        <f>IF(Ischemia_singlenet_25percent_ou!297:297,"AAAAAC/vfXg=",0)</f>
        <v>0</v>
      </c>
      <c r="DR4" t="e">
        <f>AND(Ischemia_singlenet_25percent_ou!A297,"AAAAAC/vfXk=")</f>
        <v>#VALUE!</v>
      </c>
      <c r="DS4" t="e">
        <f>AND(Ischemia_singlenet_25percent_ou!B297,"AAAAAC/vfXo=")</f>
        <v>#VALUE!</v>
      </c>
      <c r="DT4">
        <f>IF(Ischemia_singlenet_25percent_ou!298:298,"AAAAAC/vfXs=",0)</f>
        <v>0</v>
      </c>
      <c r="DU4" t="e">
        <f>AND(Ischemia_singlenet_25percent_ou!A298,"AAAAAC/vfXw=")</f>
        <v>#VALUE!</v>
      </c>
      <c r="DV4" t="e">
        <f>AND(Ischemia_singlenet_25percent_ou!B298,"AAAAAC/vfX0=")</f>
        <v>#VALUE!</v>
      </c>
      <c r="DW4">
        <f>IF(Ischemia_singlenet_25percent_ou!299:299,"AAAAAC/vfX4=",0)</f>
        <v>0</v>
      </c>
      <c r="DX4" t="e">
        <f>AND(Ischemia_singlenet_25percent_ou!A299,"AAAAAC/vfX8=")</f>
        <v>#VALUE!</v>
      </c>
      <c r="DY4" t="e">
        <f>AND(Ischemia_singlenet_25percent_ou!B299,"AAAAAC/vfYA=")</f>
        <v>#VALUE!</v>
      </c>
      <c r="DZ4">
        <f>IF(Ischemia_singlenet_25percent_ou!300:300,"AAAAAC/vfYE=",0)</f>
        <v>0</v>
      </c>
      <c r="EA4" t="e">
        <f>AND(Ischemia_singlenet_25percent_ou!A300,"AAAAAC/vfYI=")</f>
        <v>#VALUE!</v>
      </c>
      <c r="EB4" t="e">
        <f>AND(Ischemia_singlenet_25percent_ou!B300,"AAAAAC/vfYM=")</f>
        <v>#VALUE!</v>
      </c>
      <c r="EC4">
        <f>IF(Ischemia_singlenet_25percent_ou!301:301,"AAAAAC/vfYQ=",0)</f>
        <v>0</v>
      </c>
      <c r="ED4" t="e">
        <f>AND(Ischemia_singlenet_25percent_ou!A301,"AAAAAC/vfYU=")</f>
        <v>#VALUE!</v>
      </c>
      <c r="EE4" t="e">
        <f>AND(Ischemia_singlenet_25percent_ou!B301,"AAAAAC/vfYY=")</f>
        <v>#VALUE!</v>
      </c>
      <c r="EF4">
        <f>IF(Ischemia_singlenet_25percent_ou!302:302,"AAAAAC/vfYc=",0)</f>
        <v>0</v>
      </c>
      <c r="EG4" t="e">
        <f>AND(Ischemia_singlenet_25percent_ou!A302,"AAAAAC/vfYg=")</f>
        <v>#VALUE!</v>
      </c>
      <c r="EH4" t="e">
        <f>AND(Ischemia_singlenet_25percent_ou!B302,"AAAAAC/vfYk=")</f>
        <v>#VALUE!</v>
      </c>
      <c r="EI4">
        <f>IF(Ischemia_singlenet_25percent_ou!303:303,"AAAAAC/vfYo=",0)</f>
        <v>0</v>
      </c>
      <c r="EJ4" t="e">
        <f>AND(Ischemia_singlenet_25percent_ou!A303,"AAAAAC/vfYs=")</f>
        <v>#VALUE!</v>
      </c>
      <c r="EK4" t="e">
        <f>AND(Ischemia_singlenet_25percent_ou!B303,"AAAAAC/vfYw=")</f>
        <v>#VALUE!</v>
      </c>
      <c r="EL4">
        <f>IF(Ischemia_singlenet_25percent_ou!304:304,"AAAAAC/vfY0=",0)</f>
        <v>0</v>
      </c>
      <c r="EM4" t="e">
        <f>AND(Ischemia_singlenet_25percent_ou!A304,"AAAAAC/vfY4=")</f>
        <v>#VALUE!</v>
      </c>
      <c r="EN4" t="e">
        <f>AND(Ischemia_singlenet_25percent_ou!B304,"AAAAAC/vfY8=")</f>
        <v>#VALUE!</v>
      </c>
      <c r="EO4">
        <f>IF(Ischemia_singlenet_25percent_ou!305:305,"AAAAAC/vfZA=",0)</f>
        <v>0</v>
      </c>
      <c r="EP4" t="e">
        <f>AND(Ischemia_singlenet_25percent_ou!A305,"AAAAAC/vfZE=")</f>
        <v>#VALUE!</v>
      </c>
      <c r="EQ4" t="e">
        <f>AND(Ischemia_singlenet_25percent_ou!B305,"AAAAAC/vfZI=")</f>
        <v>#VALUE!</v>
      </c>
      <c r="ER4">
        <f>IF(Ischemia_singlenet_25percent_ou!306:306,"AAAAAC/vfZM=",0)</f>
        <v>0</v>
      </c>
      <c r="ES4" t="e">
        <f>AND(Ischemia_singlenet_25percent_ou!A306,"AAAAAC/vfZQ=")</f>
        <v>#VALUE!</v>
      </c>
      <c r="ET4" t="e">
        <f>AND(Ischemia_singlenet_25percent_ou!B306,"AAAAAC/vfZU=")</f>
        <v>#VALUE!</v>
      </c>
      <c r="EU4">
        <f>IF(Ischemia_singlenet_25percent_ou!307:307,"AAAAAC/vfZY=",0)</f>
        <v>0</v>
      </c>
      <c r="EV4" t="e">
        <f>AND(Ischemia_singlenet_25percent_ou!A307,"AAAAAC/vfZc=")</f>
        <v>#VALUE!</v>
      </c>
      <c r="EW4" t="e">
        <f>AND(Ischemia_singlenet_25percent_ou!B307,"AAAAAC/vfZg=")</f>
        <v>#VALUE!</v>
      </c>
      <c r="EX4">
        <f>IF(Ischemia_singlenet_25percent_ou!308:308,"AAAAAC/vfZk=",0)</f>
        <v>0</v>
      </c>
      <c r="EY4" t="e">
        <f>AND(Ischemia_singlenet_25percent_ou!A308,"AAAAAC/vfZo=")</f>
        <v>#VALUE!</v>
      </c>
      <c r="EZ4" t="e">
        <f>AND(Ischemia_singlenet_25percent_ou!B308,"AAAAAC/vfZs=")</f>
        <v>#VALUE!</v>
      </c>
      <c r="FA4">
        <f>IF(Ischemia_singlenet_25percent_ou!309:309,"AAAAAC/vfZw=",0)</f>
        <v>0</v>
      </c>
      <c r="FB4" t="e">
        <f>AND(Ischemia_singlenet_25percent_ou!A309,"AAAAAC/vfZ0=")</f>
        <v>#VALUE!</v>
      </c>
      <c r="FC4" t="e">
        <f>AND(Ischemia_singlenet_25percent_ou!B309,"AAAAAC/vfZ4=")</f>
        <v>#VALUE!</v>
      </c>
      <c r="FD4">
        <f>IF(Ischemia_singlenet_25percent_ou!310:310,"AAAAAC/vfZ8=",0)</f>
        <v>0</v>
      </c>
      <c r="FE4" t="e">
        <f>AND(Ischemia_singlenet_25percent_ou!A310,"AAAAAC/vfaA=")</f>
        <v>#VALUE!</v>
      </c>
      <c r="FF4" t="e">
        <f>AND(Ischemia_singlenet_25percent_ou!B310,"AAAAAC/vfaE=")</f>
        <v>#VALUE!</v>
      </c>
      <c r="FG4">
        <f>IF(Ischemia_singlenet_25percent_ou!311:311,"AAAAAC/vfaI=",0)</f>
        <v>0</v>
      </c>
      <c r="FH4" t="e">
        <f>AND(Ischemia_singlenet_25percent_ou!A311,"AAAAAC/vfaM=")</f>
        <v>#VALUE!</v>
      </c>
      <c r="FI4" t="e">
        <f>AND(Ischemia_singlenet_25percent_ou!B311,"AAAAAC/vfaQ=")</f>
        <v>#VALUE!</v>
      </c>
      <c r="FJ4">
        <f>IF(Ischemia_singlenet_25percent_ou!312:312,"AAAAAC/vfaU=",0)</f>
        <v>0</v>
      </c>
      <c r="FK4" t="e">
        <f>AND(Ischemia_singlenet_25percent_ou!A312,"AAAAAC/vfaY=")</f>
        <v>#VALUE!</v>
      </c>
      <c r="FL4" t="e">
        <f>AND(Ischemia_singlenet_25percent_ou!B312,"AAAAAC/vfac=")</f>
        <v>#VALUE!</v>
      </c>
      <c r="FM4">
        <f>IF(Ischemia_singlenet_25percent_ou!313:313,"AAAAAC/vfag=",0)</f>
        <v>0</v>
      </c>
      <c r="FN4" t="e">
        <f>AND(Ischemia_singlenet_25percent_ou!A313,"AAAAAC/vfak=")</f>
        <v>#VALUE!</v>
      </c>
      <c r="FO4" t="e">
        <f>AND(Ischemia_singlenet_25percent_ou!B313,"AAAAAC/vfao=")</f>
        <v>#VALUE!</v>
      </c>
      <c r="FP4">
        <f>IF(Ischemia_singlenet_25percent_ou!314:314,"AAAAAC/vfas=",0)</f>
        <v>0</v>
      </c>
      <c r="FQ4" t="e">
        <f>AND(Ischemia_singlenet_25percent_ou!A314,"AAAAAC/vfaw=")</f>
        <v>#VALUE!</v>
      </c>
      <c r="FR4" t="e">
        <f>AND(Ischemia_singlenet_25percent_ou!B314,"AAAAAC/vfa0=")</f>
        <v>#VALUE!</v>
      </c>
      <c r="FS4">
        <f>IF(Ischemia_singlenet_25percent_ou!315:315,"AAAAAC/vfa4=",0)</f>
        <v>0</v>
      </c>
      <c r="FT4" t="e">
        <f>AND(Ischemia_singlenet_25percent_ou!A315,"AAAAAC/vfa8=")</f>
        <v>#VALUE!</v>
      </c>
      <c r="FU4" t="e">
        <f>AND(Ischemia_singlenet_25percent_ou!B315,"AAAAAC/vfbA=")</f>
        <v>#VALUE!</v>
      </c>
      <c r="FV4">
        <f>IF(Ischemia_singlenet_25percent_ou!316:316,"AAAAAC/vfbE=",0)</f>
        <v>0</v>
      </c>
      <c r="FW4" t="e">
        <f>AND(Ischemia_singlenet_25percent_ou!A316,"AAAAAC/vfbI=")</f>
        <v>#VALUE!</v>
      </c>
      <c r="FX4" t="e">
        <f>AND(Ischemia_singlenet_25percent_ou!B316,"AAAAAC/vfbM=")</f>
        <v>#VALUE!</v>
      </c>
      <c r="FY4">
        <f>IF(Ischemia_singlenet_25percent_ou!317:317,"AAAAAC/vfbQ=",0)</f>
        <v>0</v>
      </c>
      <c r="FZ4" t="e">
        <f>AND(Ischemia_singlenet_25percent_ou!A317,"AAAAAC/vfbU=")</f>
        <v>#VALUE!</v>
      </c>
      <c r="GA4" t="e">
        <f>AND(Ischemia_singlenet_25percent_ou!B317,"AAAAAC/vfbY=")</f>
        <v>#VALUE!</v>
      </c>
      <c r="GB4">
        <f>IF(Ischemia_singlenet_25percent_ou!318:318,"AAAAAC/vfbc=",0)</f>
        <v>0</v>
      </c>
      <c r="GC4" t="e">
        <f>AND(Ischemia_singlenet_25percent_ou!A318,"AAAAAC/vfbg=")</f>
        <v>#VALUE!</v>
      </c>
      <c r="GD4" t="e">
        <f>AND(Ischemia_singlenet_25percent_ou!B318,"AAAAAC/vfbk=")</f>
        <v>#VALUE!</v>
      </c>
      <c r="GE4">
        <f>IF(Ischemia_singlenet_25percent_ou!319:319,"AAAAAC/vfbo=",0)</f>
        <v>0</v>
      </c>
      <c r="GF4" t="e">
        <f>AND(Ischemia_singlenet_25percent_ou!A319,"AAAAAC/vfbs=")</f>
        <v>#VALUE!</v>
      </c>
      <c r="GG4" t="e">
        <f>AND(Ischemia_singlenet_25percent_ou!B319,"AAAAAC/vfbw=")</f>
        <v>#VALUE!</v>
      </c>
      <c r="GH4">
        <f>IF(Ischemia_singlenet_25percent_ou!320:320,"AAAAAC/vfb0=",0)</f>
        <v>0</v>
      </c>
      <c r="GI4" t="e">
        <f>AND(Ischemia_singlenet_25percent_ou!A320,"AAAAAC/vfb4=")</f>
        <v>#VALUE!</v>
      </c>
      <c r="GJ4" t="e">
        <f>AND(Ischemia_singlenet_25percent_ou!B320,"AAAAAC/vfb8=")</f>
        <v>#VALUE!</v>
      </c>
      <c r="GK4">
        <f>IF(Ischemia_singlenet_25percent_ou!321:321,"AAAAAC/vfcA=",0)</f>
        <v>0</v>
      </c>
      <c r="GL4" t="e">
        <f>AND(Ischemia_singlenet_25percent_ou!A321,"AAAAAC/vfcE=")</f>
        <v>#VALUE!</v>
      </c>
      <c r="GM4" t="e">
        <f>AND(Ischemia_singlenet_25percent_ou!B321,"AAAAAC/vfcI=")</f>
        <v>#VALUE!</v>
      </c>
      <c r="GN4">
        <f>IF(Ischemia_singlenet_25percent_ou!322:322,"AAAAAC/vfcM=",0)</f>
        <v>0</v>
      </c>
      <c r="GO4" t="e">
        <f>AND(Ischemia_singlenet_25percent_ou!A322,"AAAAAC/vfcQ=")</f>
        <v>#VALUE!</v>
      </c>
      <c r="GP4" t="e">
        <f>AND(Ischemia_singlenet_25percent_ou!B322,"AAAAAC/vfcU=")</f>
        <v>#VALUE!</v>
      </c>
      <c r="GQ4">
        <f>IF(Ischemia_singlenet_25percent_ou!323:323,"AAAAAC/vfcY=",0)</f>
        <v>0</v>
      </c>
      <c r="GR4" t="e">
        <f>AND(Ischemia_singlenet_25percent_ou!A323,"AAAAAC/vfcc=")</f>
        <v>#VALUE!</v>
      </c>
      <c r="GS4" t="e">
        <f>AND(Ischemia_singlenet_25percent_ou!B323,"AAAAAC/vfcg=")</f>
        <v>#VALUE!</v>
      </c>
      <c r="GT4">
        <f>IF(Ischemia_singlenet_25percent_ou!324:324,"AAAAAC/vfck=",0)</f>
        <v>0</v>
      </c>
      <c r="GU4" t="e">
        <f>AND(Ischemia_singlenet_25percent_ou!A324,"AAAAAC/vfco=")</f>
        <v>#VALUE!</v>
      </c>
      <c r="GV4" t="e">
        <f>AND(Ischemia_singlenet_25percent_ou!B324,"AAAAAC/vfcs=")</f>
        <v>#VALUE!</v>
      </c>
      <c r="GW4">
        <f>IF(Ischemia_singlenet_25percent_ou!325:325,"AAAAAC/vfcw=",0)</f>
        <v>0</v>
      </c>
      <c r="GX4" t="e">
        <f>AND(Ischemia_singlenet_25percent_ou!A325,"AAAAAC/vfc0=")</f>
        <v>#VALUE!</v>
      </c>
      <c r="GY4" t="e">
        <f>AND(Ischemia_singlenet_25percent_ou!B325,"AAAAAC/vfc4=")</f>
        <v>#VALUE!</v>
      </c>
      <c r="GZ4">
        <f>IF(Ischemia_singlenet_25percent_ou!326:326,"AAAAAC/vfc8=",0)</f>
        <v>0</v>
      </c>
      <c r="HA4" t="e">
        <f>AND(Ischemia_singlenet_25percent_ou!A326,"AAAAAC/vfdA=")</f>
        <v>#VALUE!</v>
      </c>
      <c r="HB4" t="e">
        <f>AND(Ischemia_singlenet_25percent_ou!B326,"AAAAAC/vfdE=")</f>
        <v>#VALUE!</v>
      </c>
      <c r="HC4">
        <f>IF(Ischemia_singlenet_25percent_ou!327:327,"AAAAAC/vfdI=",0)</f>
        <v>0</v>
      </c>
      <c r="HD4" t="e">
        <f>AND(Ischemia_singlenet_25percent_ou!A327,"AAAAAC/vfdM=")</f>
        <v>#VALUE!</v>
      </c>
      <c r="HE4" t="e">
        <f>AND(Ischemia_singlenet_25percent_ou!B327,"AAAAAC/vfdQ=")</f>
        <v>#VALUE!</v>
      </c>
      <c r="HF4">
        <f>IF(Ischemia_singlenet_25percent_ou!328:328,"AAAAAC/vfdU=",0)</f>
        <v>0</v>
      </c>
      <c r="HG4" t="e">
        <f>AND(Ischemia_singlenet_25percent_ou!A328,"AAAAAC/vfdY=")</f>
        <v>#VALUE!</v>
      </c>
      <c r="HH4" t="e">
        <f>AND(Ischemia_singlenet_25percent_ou!B328,"AAAAAC/vfdc=")</f>
        <v>#VALUE!</v>
      </c>
      <c r="HI4">
        <f>IF(Ischemia_singlenet_25percent_ou!329:329,"AAAAAC/vfdg=",0)</f>
        <v>0</v>
      </c>
      <c r="HJ4" t="e">
        <f>AND(Ischemia_singlenet_25percent_ou!A329,"AAAAAC/vfdk=")</f>
        <v>#VALUE!</v>
      </c>
      <c r="HK4" t="e">
        <f>AND(Ischemia_singlenet_25percent_ou!B329,"AAAAAC/vfdo=")</f>
        <v>#VALUE!</v>
      </c>
      <c r="HL4">
        <f>IF(Ischemia_singlenet_25percent_ou!330:330,"AAAAAC/vfds=",0)</f>
        <v>0</v>
      </c>
      <c r="HM4" t="e">
        <f>AND(Ischemia_singlenet_25percent_ou!A330,"AAAAAC/vfdw=")</f>
        <v>#VALUE!</v>
      </c>
      <c r="HN4" t="e">
        <f>AND(Ischemia_singlenet_25percent_ou!B330,"AAAAAC/vfd0=")</f>
        <v>#VALUE!</v>
      </c>
      <c r="HO4">
        <f>IF(Ischemia_singlenet_25percent_ou!331:331,"AAAAAC/vfd4=",0)</f>
        <v>0</v>
      </c>
      <c r="HP4" t="e">
        <f>AND(Ischemia_singlenet_25percent_ou!A331,"AAAAAC/vfd8=")</f>
        <v>#VALUE!</v>
      </c>
      <c r="HQ4" t="e">
        <f>AND(Ischemia_singlenet_25percent_ou!B331,"AAAAAC/vfeA=")</f>
        <v>#VALUE!</v>
      </c>
      <c r="HR4">
        <f>IF(Ischemia_singlenet_25percent_ou!332:332,"AAAAAC/vfeE=",0)</f>
        <v>0</v>
      </c>
      <c r="HS4" t="e">
        <f>AND(Ischemia_singlenet_25percent_ou!A332,"AAAAAC/vfeI=")</f>
        <v>#VALUE!</v>
      </c>
      <c r="HT4" t="e">
        <f>AND(Ischemia_singlenet_25percent_ou!B332,"AAAAAC/vfeM=")</f>
        <v>#VALUE!</v>
      </c>
      <c r="HU4">
        <f>IF(Ischemia_singlenet_25percent_ou!333:333,"AAAAAC/vfeQ=",0)</f>
        <v>0</v>
      </c>
      <c r="HV4" t="e">
        <f>AND(Ischemia_singlenet_25percent_ou!A333,"AAAAAC/vfeU=")</f>
        <v>#VALUE!</v>
      </c>
      <c r="HW4" t="e">
        <f>AND(Ischemia_singlenet_25percent_ou!B333,"AAAAAC/vfeY=")</f>
        <v>#VALUE!</v>
      </c>
      <c r="HX4">
        <f>IF(Ischemia_singlenet_25percent_ou!334:334,"AAAAAC/vfec=",0)</f>
        <v>0</v>
      </c>
      <c r="HY4" t="e">
        <f>AND(Ischemia_singlenet_25percent_ou!A334,"AAAAAC/vfeg=")</f>
        <v>#VALUE!</v>
      </c>
      <c r="HZ4" t="e">
        <f>AND(Ischemia_singlenet_25percent_ou!B334,"AAAAAC/vfek=")</f>
        <v>#VALUE!</v>
      </c>
      <c r="IA4">
        <f>IF(Ischemia_singlenet_25percent_ou!335:335,"AAAAAC/vfeo=",0)</f>
        <v>0</v>
      </c>
      <c r="IB4" t="e">
        <f>AND(Ischemia_singlenet_25percent_ou!A335,"AAAAAC/vfes=")</f>
        <v>#VALUE!</v>
      </c>
      <c r="IC4" t="e">
        <f>AND(Ischemia_singlenet_25percent_ou!B335,"AAAAAC/vfew=")</f>
        <v>#VALUE!</v>
      </c>
      <c r="ID4">
        <f>IF(Ischemia_singlenet_25percent_ou!336:336,"AAAAAC/vfe0=",0)</f>
        <v>0</v>
      </c>
      <c r="IE4" t="e">
        <f>AND(Ischemia_singlenet_25percent_ou!A336,"AAAAAC/vfe4=")</f>
        <v>#VALUE!</v>
      </c>
      <c r="IF4" t="e">
        <f>AND(Ischemia_singlenet_25percent_ou!B336,"AAAAAC/vfe8=")</f>
        <v>#VALUE!</v>
      </c>
      <c r="IG4">
        <f>IF(Ischemia_singlenet_25percent_ou!337:337,"AAAAAC/vffA=",0)</f>
        <v>0</v>
      </c>
      <c r="IH4" t="e">
        <f>AND(Ischemia_singlenet_25percent_ou!A337,"AAAAAC/vffE=")</f>
        <v>#VALUE!</v>
      </c>
      <c r="II4" t="e">
        <f>AND(Ischemia_singlenet_25percent_ou!B337,"AAAAAC/vffI=")</f>
        <v>#VALUE!</v>
      </c>
      <c r="IJ4">
        <f>IF(Ischemia_singlenet_25percent_ou!338:338,"AAAAAC/vffM=",0)</f>
        <v>0</v>
      </c>
      <c r="IK4" t="e">
        <f>AND(Ischemia_singlenet_25percent_ou!A338,"AAAAAC/vffQ=")</f>
        <v>#VALUE!</v>
      </c>
      <c r="IL4" t="e">
        <f>AND(Ischemia_singlenet_25percent_ou!B338,"AAAAAC/vffU=")</f>
        <v>#VALUE!</v>
      </c>
      <c r="IM4">
        <f>IF(Ischemia_singlenet_25percent_ou!339:339,"AAAAAC/vffY=",0)</f>
        <v>0</v>
      </c>
      <c r="IN4" t="e">
        <f>AND(Ischemia_singlenet_25percent_ou!A339,"AAAAAC/vffc=")</f>
        <v>#VALUE!</v>
      </c>
      <c r="IO4" t="e">
        <f>AND(Ischemia_singlenet_25percent_ou!B339,"AAAAAC/vffg=")</f>
        <v>#VALUE!</v>
      </c>
      <c r="IP4">
        <f>IF(Ischemia_singlenet_25percent_ou!340:340,"AAAAAC/vffk=",0)</f>
        <v>0</v>
      </c>
      <c r="IQ4" t="e">
        <f>AND(Ischemia_singlenet_25percent_ou!A340,"AAAAAC/vffo=")</f>
        <v>#VALUE!</v>
      </c>
      <c r="IR4" t="e">
        <f>AND(Ischemia_singlenet_25percent_ou!B340,"AAAAAC/vffs=")</f>
        <v>#VALUE!</v>
      </c>
      <c r="IS4">
        <f>IF(Ischemia_singlenet_25percent_ou!341:341,"AAAAAC/vffw=",0)</f>
        <v>0</v>
      </c>
      <c r="IT4" t="e">
        <f>AND(Ischemia_singlenet_25percent_ou!A341,"AAAAAC/vff0=")</f>
        <v>#VALUE!</v>
      </c>
      <c r="IU4" t="e">
        <f>AND(Ischemia_singlenet_25percent_ou!B341,"AAAAAC/vff4=")</f>
        <v>#VALUE!</v>
      </c>
      <c r="IV4">
        <f>IF(Ischemia_singlenet_25percent_ou!342:342,"AAAAAC/vff8=",0)</f>
        <v>0</v>
      </c>
    </row>
    <row r="5" spans="1:256">
      <c r="A5" t="e">
        <f>AND(Ischemia_singlenet_25percent_ou!A342,"AAAAAD7C3wA=")</f>
        <v>#VALUE!</v>
      </c>
      <c r="B5" t="e">
        <f>AND(Ischemia_singlenet_25percent_ou!B342,"AAAAAD7C3wE=")</f>
        <v>#VALUE!</v>
      </c>
      <c r="C5">
        <f>IF(Ischemia_singlenet_25percent_ou!343:343,"AAAAAD7C3wI=",0)</f>
        <v>0</v>
      </c>
      <c r="D5" t="e">
        <f>AND(Ischemia_singlenet_25percent_ou!A343,"AAAAAD7C3wM=")</f>
        <v>#VALUE!</v>
      </c>
      <c r="E5" t="e">
        <f>AND(Ischemia_singlenet_25percent_ou!B343,"AAAAAD7C3wQ=")</f>
        <v>#VALUE!</v>
      </c>
      <c r="F5">
        <f>IF(Ischemia_singlenet_25percent_ou!344:344,"AAAAAD7C3wU=",0)</f>
        <v>0</v>
      </c>
      <c r="G5" t="e">
        <f>AND(Ischemia_singlenet_25percent_ou!A344,"AAAAAD7C3wY=")</f>
        <v>#VALUE!</v>
      </c>
      <c r="H5" t="e">
        <f>AND(Ischemia_singlenet_25percent_ou!B344,"AAAAAD7C3wc=")</f>
        <v>#VALUE!</v>
      </c>
      <c r="I5">
        <f>IF(Ischemia_singlenet_25percent_ou!345:345,"AAAAAD7C3wg=",0)</f>
        <v>0</v>
      </c>
      <c r="J5" t="e">
        <f>AND(Ischemia_singlenet_25percent_ou!A345,"AAAAAD7C3wk=")</f>
        <v>#VALUE!</v>
      </c>
      <c r="K5" t="e">
        <f>AND(Ischemia_singlenet_25percent_ou!B345,"AAAAAD7C3wo=")</f>
        <v>#VALUE!</v>
      </c>
      <c r="L5">
        <f>IF(Ischemia_singlenet_25percent_ou!346:346,"AAAAAD7C3ws=",0)</f>
        <v>0</v>
      </c>
      <c r="M5" t="e">
        <f>AND(Ischemia_singlenet_25percent_ou!A346,"AAAAAD7C3ww=")</f>
        <v>#VALUE!</v>
      </c>
      <c r="N5" t="e">
        <f>AND(Ischemia_singlenet_25percent_ou!B346,"AAAAAD7C3w0=")</f>
        <v>#VALUE!</v>
      </c>
      <c r="O5">
        <f>IF(Ischemia_singlenet_25percent_ou!347:347,"AAAAAD7C3w4=",0)</f>
        <v>0</v>
      </c>
      <c r="P5" t="e">
        <f>AND(Ischemia_singlenet_25percent_ou!A347,"AAAAAD7C3w8=")</f>
        <v>#VALUE!</v>
      </c>
      <c r="Q5" t="e">
        <f>AND(Ischemia_singlenet_25percent_ou!B347,"AAAAAD7C3xA=")</f>
        <v>#VALUE!</v>
      </c>
      <c r="R5">
        <f>IF(Ischemia_singlenet_25percent_ou!348:348,"AAAAAD7C3xE=",0)</f>
        <v>0</v>
      </c>
      <c r="S5" t="e">
        <f>AND(Ischemia_singlenet_25percent_ou!A348,"AAAAAD7C3xI=")</f>
        <v>#VALUE!</v>
      </c>
      <c r="T5" t="e">
        <f>AND(Ischemia_singlenet_25percent_ou!B348,"AAAAAD7C3xM=")</f>
        <v>#VALUE!</v>
      </c>
      <c r="U5">
        <f>IF(Ischemia_singlenet_25percent_ou!349:349,"AAAAAD7C3xQ=",0)</f>
        <v>0</v>
      </c>
      <c r="V5" t="e">
        <f>AND(Ischemia_singlenet_25percent_ou!A349,"AAAAAD7C3xU=")</f>
        <v>#VALUE!</v>
      </c>
      <c r="W5" t="e">
        <f>AND(Ischemia_singlenet_25percent_ou!B349,"AAAAAD7C3xY=")</f>
        <v>#VALUE!</v>
      </c>
      <c r="X5">
        <f>IF(Ischemia_singlenet_25percent_ou!350:350,"AAAAAD7C3xc=",0)</f>
        <v>0</v>
      </c>
      <c r="Y5" t="e">
        <f>AND(Ischemia_singlenet_25percent_ou!A350,"AAAAAD7C3xg=")</f>
        <v>#VALUE!</v>
      </c>
      <c r="Z5" t="e">
        <f>AND(Ischemia_singlenet_25percent_ou!B350,"AAAAAD7C3xk=")</f>
        <v>#VALUE!</v>
      </c>
      <c r="AA5">
        <f>IF(Ischemia_singlenet_25percent_ou!351:351,"AAAAAD7C3xo=",0)</f>
        <v>0</v>
      </c>
      <c r="AB5" t="e">
        <f>AND(Ischemia_singlenet_25percent_ou!A351,"AAAAAD7C3xs=")</f>
        <v>#VALUE!</v>
      </c>
      <c r="AC5" t="e">
        <f>AND(Ischemia_singlenet_25percent_ou!B351,"AAAAAD7C3xw=")</f>
        <v>#VALUE!</v>
      </c>
      <c r="AD5">
        <f>IF(Ischemia_singlenet_25percent_ou!352:352,"AAAAAD7C3x0=",0)</f>
        <v>0</v>
      </c>
      <c r="AE5" t="e">
        <f>AND(Ischemia_singlenet_25percent_ou!A352,"AAAAAD7C3x4=")</f>
        <v>#VALUE!</v>
      </c>
      <c r="AF5" t="e">
        <f>AND(Ischemia_singlenet_25percent_ou!B352,"AAAAAD7C3x8=")</f>
        <v>#VALUE!</v>
      </c>
      <c r="AG5">
        <f>IF(Ischemia_singlenet_25percent_ou!353:353,"AAAAAD7C3yA=",0)</f>
        <v>0</v>
      </c>
      <c r="AH5" t="e">
        <f>AND(Ischemia_singlenet_25percent_ou!A353,"AAAAAD7C3yE=")</f>
        <v>#VALUE!</v>
      </c>
      <c r="AI5" t="e">
        <f>AND(Ischemia_singlenet_25percent_ou!B353,"AAAAAD7C3yI=")</f>
        <v>#VALUE!</v>
      </c>
      <c r="AJ5">
        <f>IF(Ischemia_singlenet_25percent_ou!354:354,"AAAAAD7C3yM=",0)</f>
        <v>0</v>
      </c>
      <c r="AK5" t="e">
        <f>AND(Ischemia_singlenet_25percent_ou!A354,"AAAAAD7C3yQ=")</f>
        <v>#VALUE!</v>
      </c>
      <c r="AL5" t="e">
        <f>AND(Ischemia_singlenet_25percent_ou!B354,"AAAAAD7C3yU=")</f>
        <v>#VALUE!</v>
      </c>
      <c r="AM5">
        <f>IF(Ischemia_singlenet_25percent_ou!355:355,"AAAAAD7C3yY=",0)</f>
        <v>0</v>
      </c>
      <c r="AN5" t="e">
        <f>AND(Ischemia_singlenet_25percent_ou!A355,"AAAAAD7C3yc=")</f>
        <v>#VALUE!</v>
      </c>
      <c r="AO5" t="e">
        <f>AND(Ischemia_singlenet_25percent_ou!B355,"AAAAAD7C3yg=")</f>
        <v>#VALUE!</v>
      </c>
      <c r="AP5">
        <f>IF(Ischemia_singlenet_25percent_ou!356:356,"AAAAAD7C3yk=",0)</f>
        <v>0</v>
      </c>
      <c r="AQ5" t="e">
        <f>AND(Ischemia_singlenet_25percent_ou!A356,"AAAAAD7C3yo=")</f>
        <v>#VALUE!</v>
      </c>
      <c r="AR5" t="e">
        <f>AND(Ischemia_singlenet_25percent_ou!B356,"AAAAAD7C3ys=")</f>
        <v>#VALUE!</v>
      </c>
      <c r="AS5">
        <f>IF(Ischemia_singlenet_25percent_ou!357:357,"AAAAAD7C3yw=",0)</f>
        <v>0</v>
      </c>
      <c r="AT5" t="e">
        <f>AND(Ischemia_singlenet_25percent_ou!A357,"AAAAAD7C3y0=")</f>
        <v>#VALUE!</v>
      </c>
      <c r="AU5" t="e">
        <f>AND(Ischemia_singlenet_25percent_ou!B357,"AAAAAD7C3y4=")</f>
        <v>#VALUE!</v>
      </c>
      <c r="AV5">
        <f>IF(Ischemia_singlenet_25percent_ou!358:358,"AAAAAD7C3y8=",0)</f>
        <v>0</v>
      </c>
      <c r="AW5" t="e">
        <f>AND(Ischemia_singlenet_25percent_ou!A358,"AAAAAD7C3zA=")</f>
        <v>#VALUE!</v>
      </c>
      <c r="AX5" t="e">
        <f>AND(Ischemia_singlenet_25percent_ou!B358,"AAAAAD7C3zE=")</f>
        <v>#VALUE!</v>
      </c>
      <c r="AY5">
        <f>IF(Ischemia_singlenet_25percent_ou!359:359,"AAAAAD7C3zI=",0)</f>
        <v>0</v>
      </c>
      <c r="AZ5" t="e">
        <f>AND(Ischemia_singlenet_25percent_ou!A359,"AAAAAD7C3zM=")</f>
        <v>#VALUE!</v>
      </c>
      <c r="BA5" t="e">
        <f>AND(Ischemia_singlenet_25percent_ou!B359,"AAAAAD7C3zQ=")</f>
        <v>#VALUE!</v>
      </c>
      <c r="BB5">
        <f>IF(Ischemia_singlenet_25percent_ou!360:360,"AAAAAD7C3zU=",0)</f>
        <v>0</v>
      </c>
      <c r="BC5" t="e">
        <f>AND(Ischemia_singlenet_25percent_ou!A360,"AAAAAD7C3zY=")</f>
        <v>#VALUE!</v>
      </c>
      <c r="BD5" t="e">
        <f>AND(Ischemia_singlenet_25percent_ou!B360,"AAAAAD7C3zc=")</f>
        <v>#VALUE!</v>
      </c>
      <c r="BE5">
        <f>IF(Ischemia_singlenet_25percent_ou!361:361,"AAAAAD7C3zg=",0)</f>
        <v>0</v>
      </c>
      <c r="BF5" t="e">
        <f>AND(Ischemia_singlenet_25percent_ou!A361,"AAAAAD7C3zk=")</f>
        <v>#VALUE!</v>
      </c>
      <c r="BG5" t="e">
        <f>AND(Ischemia_singlenet_25percent_ou!B361,"AAAAAD7C3zo=")</f>
        <v>#VALUE!</v>
      </c>
      <c r="BH5">
        <f>IF(Ischemia_singlenet_25percent_ou!362:362,"AAAAAD7C3zs=",0)</f>
        <v>0</v>
      </c>
      <c r="BI5" t="e">
        <f>AND(Ischemia_singlenet_25percent_ou!A362,"AAAAAD7C3zw=")</f>
        <v>#VALUE!</v>
      </c>
      <c r="BJ5" t="e">
        <f>AND(Ischemia_singlenet_25percent_ou!B362,"AAAAAD7C3z0=")</f>
        <v>#VALUE!</v>
      </c>
      <c r="BK5">
        <f>IF(Ischemia_singlenet_25percent_ou!363:363,"AAAAAD7C3z4=",0)</f>
        <v>0</v>
      </c>
      <c r="BL5" t="e">
        <f>AND(Ischemia_singlenet_25percent_ou!A363,"AAAAAD7C3z8=")</f>
        <v>#VALUE!</v>
      </c>
      <c r="BM5" t="e">
        <f>AND(Ischemia_singlenet_25percent_ou!B363,"AAAAAD7C30A=")</f>
        <v>#VALUE!</v>
      </c>
      <c r="BN5">
        <f>IF(Ischemia_singlenet_25percent_ou!364:364,"AAAAAD7C30E=",0)</f>
        <v>0</v>
      </c>
      <c r="BO5" t="e">
        <f>AND(Ischemia_singlenet_25percent_ou!A364,"AAAAAD7C30I=")</f>
        <v>#VALUE!</v>
      </c>
      <c r="BP5" t="e">
        <f>AND(Ischemia_singlenet_25percent_ou!B364,"AAAAAD7C30M=")</f>
        <v>#VALUE!</v>
      </c>
      <c r="BQ5">
        <f>IF(Ischemia_singlenet_25percent_ou!365:365,"AAAAAD7C30Q=",0)</f>
        <v>0</v>
      </c>
      <c r="BR5" t="e">
        <f>AND(Ischemia_singlenet_25percent_ou!A365,"AAAAAD7C30U=")</f>
        <v>#VALUE!</v>
      </c>
      <c r="BS5" t="e">
        <f>AND(Ischemia_singlenet_25percent_ou!B365,"AAAAAD7C30Y=")</f>
        <v>#VALUE!</v>
      </c>
      <c r="BT5">
        <f>IF(Ischemia_singlenet_25percent_ou!366:366,"AAAAAD7C30c=",0)</f>
        <v>0</v>
      </c>
      <c r="BU5" t="e">
        <f>AND(Ischemia_singlenet_25percent_ou!A366,"AAAAAD7C30g=")</f>
        <v>#VALUE!</v>
      </c>
      <c r="BV5" t="e">
        <f>AND(Ischemia_singlenet_25percent_ou!B366,"AAAAAD7C30k=")</f>
        <v>#VALUE!</v>
      </c>
      <c r="BW5">
        <f>IF(Ischemia_singlenet_25percent_ou!367:367,"AAAAAD7C30o=",0)</f>
        <v>0</v>
      </c>
      <c r="BX5" t="e">
        <f>AND(Ischemia_singlenet_25percent_ou!A367,"AAAAAD7C30s=")</f>
        <v>#VALUE!</v>
      </c>
      <c r="BY5" t="e">
        <f>AND(Ischemia_singlenet_25percent_ou!B367,"AAAAAD7C30w=")</f>
        <v>#VALUE!</v>
      </c>
      <c r="BZ5">
        <f>IF(Ischemia_singlenet_25percent_ou!368:368,"AAAAAD7C300=",0)</f>
        <v>0</v>
      </c>
      <c r="CA5" t="e">
        <f>AND(Ischemia_singlenet_25percent_ou!A368,"AAAAAD7C304=")</f>
        <v>#VALUE!</v>
      </c>
      <c r="CB5" t="e">
        <f>AND(Ischemia_singlenet_25percent_ou!B368,"AAAAAD7C308=")</f>
        <v>#VALUE!</v>
      </c>
      <c r="CC5">
        <f>IF(Ischemia_singlenet_25percent_ou!369:369,"AAAAAD7C31A=",0)</f>
        <v>0</v>
      </c>
      <c r="CD5" t="e">
        <f>AND(Ischemia_singlenet_25percent_ou!A369,"AAAAAD7C31E=")</f>
        <v>#VALUE!</v>
      </c>
      <c r="CE5" t="e">
        <f>AND(Ischemia_singlenet_25percent_ou!B369,"AAAAAD7C31I=")</f>
        <v>#VALUE!</v>
      </c>
      <c r="CF5">
        <f>IF(Ischemia_singlenet_25percent_ou!370:370,"AAAAAD7C31M=",0)</f>
        <v>0</v>
      </c>
      <c r="CG5" t="e">
        <f>AND(Ischemia_singlenet_25percent_ou!A370,"AAAAAD7C31Q=")</f>
        <v>#VALUE!</v>
      </c>
      <c r="CH5" t="e">
        <f>AND(Ischemia_singlenet_25percent_ou!B370,"AAAAAD7C31U=")</f>
        <v>#VALUE!</v>
      </c>
      <c r="CI5">
        <f>IF(Ischemia_singlenet_25percent_ou!371:371,"AAAAAD7C31Y=",0)</f>
        <v>0</v>
      </c>
      <c r="CJ5" t="e">
        <f>AND(Ischemia_singlenet_25percent_ou!A371,"AAAAAD7C31c=")</f>
        <v>#VALUE!</v>
      </c>
      <c r="CK5" t="e">
        <f>AND(Ischemia_singlenet_25percent_ou!B371,"AAAAAD7C31g=")</f>
        <v>#VALUE!</v>
      </c>
      <c r="CL5">
        <f>IF(Ischemia_singlenet_25percent_ou!372:372,"AAAAAD7C31k=",0)</f>
        <v>0</v>
      </c>
      <c r="CM5" t="e">
        <f>AND(Ischemia_singlenet_25percent_ou!A372,"AAAAAD7C31o=")</f>
        <v>#VALUE!</v>
      </c>
      <c r="CN5" t="e">
        <f>AND(Ischemia_singlenet_25percent_ou!B372,"AAAAAD7C31s=")</f>
        <v>#VALUE!</v>
      </c>
      <c r="CO5">
        <f>IF(Ischemia_singlenet_25percent_ou!373:373,"AAAAAD7C31w=",0)</f>
        <v>0</v>
      </c>
      <c r="CP5" t="e">
        <f>AND(Ischemia_singlenet_25percent_ou!A373,"AAAAAD7C310=")</f>
        <v>#VALUE!</v>
      </c>
      <c r="CQ5" t="e">
        <f>AND(Ischemia_singlenet_25percent_ou!B373,"AAAAAD7C314=")</f>
        <v>#VALUE!</v>
      </c>
      <c r="CR5">
        <f>IF(Ischemia_singlenet_25percent_ou!374:374,"AAAAAD7C318=",0)</f>
        <v>0</v>
      </c>
      <c r="CS5" t="e">
        <f>AND(Ischemia_singlenet_25percent_ou!A374,"AAAAAD7C32A=")</f>
        <v>#VALUE!</v>
      </c>
      <c r="CT5" t="e">
        <f>AND(Ischemia_singlenet_25percent_ou!B374,"AAAAAD7C32E=")</f>
        <v>#VALUE!</v>
      </c>
      <c r="CU5">
        <f>IF(Ischemia_singlenet_25percent_ou!375:375,"AAAAAD7C32I=",0)</f>
        <v>0</v>
      </c>
      <c r="CV5" t="e">
        <f>AND(Ischemia_singlenet_25percent_ou!A375,"AAAAAD7C32M=")</f>
        <v>#VALUE!</v>
      </c>
      <c r="CW5" t="e">
        <f>AND(Ischemia_singlenet_25percent_ou!B375,"AAAAAD7C32Q=")</f>
        <v>#VALUE!</v>
      </c>
      <c r="CX5">
        <f>IF(Ischemia_singlenet_25percent_ou!376:376,"AAAAAD7C32U=",0)</f>
        <v>0</v>
      </c>
      <c r="CY5" t="e">
        <f>AND(Ischemia_singlenet_25percent_ou!A376,"AAAAAD7C32Y=")</f>
        <v>#VALUE!</v>
      </c>
      <c r="CZ5" t="e">
        <f>AND(Ischemia_singlenet_25percent_ou!B376,"AAAAAD7C32c=")</f>
        <v>#VALUE!</v>
      </c>
      <c r="DA5">
        <f>IF(Ischemia_singlenet_25percent_ou!377:377,"AAAAAD7C32g=",0)</f>
        <v>0</v>
      </c>
      <c r="DB5" t="e">
        <f>AND(Ischemia_singlenet_25percent_ou!A377,"AAAAAD7C32k=")</f>
        <v>#VALUE!</v>
      </c>
      <c r="DC5" t="e">
        <f>AND(Ischemia_singlenet_25percent_ou!B377,"AAAAAD7C32o=")</f>
        <v>#VALUE!</v>
      </c>
      <c r="DD5">
        <f>IF(Ischemia_singlenet_25percent_ou!378:378,"AAAAAD7C32s=",0)</f>
        <v>0</v>
      </c>
      <c r="DE5" t="e">
        <f>AND(Ischemia_singlenet_25percent_ou!A378,"AAAAAD7C32w=")</f>
        <v>#VALUE!</v>
      </c>
      <c r="DF5" t="e">
        <f>AND(Ischemia_singlenet_25percent_ou!B378,"AAAAAD7C320=")</f>
        <v>#VALUE!</v>
      </c>
      <c r="DG5">
        <f>IF(Ischemia_singlenet_25percent_ou!379:379,"AAAAAD7C324=",0)</f>
        <v>0</v>
      </c>
      <c r="DH5" t="e">
        <f>AND(Ischemia_singlenet_25percent_ou!A379,"AAAAAD7C328=")</f>
        <v>#VALUE!</v>
      </c>
      <c r="DI5" t="e">
        <f>AND(Ischemia_singlenet_25percent_ou!B379,"AAAAAD7C33A=")</f>
        <v>#VALUE!</v>
      </c>
      <c r="DJ5">
        <f>IF(Ischemia_singlenet_25percent_ou!380:380,"AAAAAD7C33E=",0)</f>
        <v>0</v>
      </c>
      <c r="DK5" t="e">
        <f>AND(Ischemia_singlenet_25percent_ou!A380,"AAAAAD7C33I=")</f>
        <v>#VALUE!</v>
      </c>
      <c r="DL5" t="e">
        <f>AND(Ischemia_singlenet_25percent_ou!B380,"AAAAAD7C33M=")</f>
        <v>#VALUE!</v>
      </c>
      <c r="DM5">
        <f>IF(Ischemia_singlenet_25percent_ou!381:381,"AAAAAD7C33Q=",0)</f>
        <v>0</v>
      </c>
      <c r="DN5" t="e">
        <f>AND(Ischemia_singlenet_25percent_ou!A381,"AAAAAD7C33U=")</f>
        <v>#VALUE!</v>
      </c>
      <c r="DO5" t="e">
        <f>AND(Ischemia_singlenet_25percent_ou!B381,"AAAAAD7C33Y=")</f>
        <v>#VALUE!</v>
      </c>
      <c r="DP5">
        <f>IF(Ischemia_singlenet_25percent_ou!382:382,"AAAAAD7C33c=",0)</f>
        <v>0</v>
      </c>
      <c r="DQ5" t="e">
        <f>AND(Ischemia_singlenet_25percent_ou!A382,"AAAAAD7C33g=")</f>
        <v>#VALUE!</v>
      </c>
      <c r="DR5" t="e">
        <f>AND(Ischemia_singlenet_25percent_ou!B382,"AAAAAD7C33k=")</f>
        <v>#VALUE!</v>
      </c>
      <c r="DS5">
        <f>IF(Ischemia_singlenet_25percent_ou!383:383,"AAAAAD7C33o=",0)</f>
        <v>0</v>
      </c>
      <c r="DT5" t="e">
        <f>AND(Ischemia_singlenet_25percent_ou!A383,"AAAAAD7C33s=")</f>
        <v>#VALUE!</v>
      </c>
      <c r="DU5" t="e">
        <f>AND(Ischemia_singlenet_25percent_ou!B383,"AAAAAD7C33w=")</f>
        <v>#VALUE!</v>
      </c>
      <c r="DV5">
        <f>IF(Ischemia_singlenet_25percent_ou!384:384,"AAAAAD7C330=",0)</f>
        <v>0</v>
      </c>
      <c r="DW5" t="e">
        <f>AND(Ischemia_singlenet_25percent_ou!A384,"AAAAAD7C334=")</f>
        <v>#VALUE!</v>
      </c>
      <c r="DX5" t="e">
        <f>AND(Ischemia_singlenet_25percent_ou!B384,"AAAAAD7C338=")</f>
        <v>#VALUE!</v>
      </c>
      <c r="DY5">
        <f>IF(Ischemia_singlenet_25percent_ou!385:385,"AAAAAD7C34A=",0)</f>
        <v>0</v>
      </c>
      <c r="DZ5" t="e">
        <f>AND(Ischemia_singlenet_25percent_ou!A385,"AAAAAD7C34E=")</f>
        <v>#VALUE!</v>
      </c>
      <c r="EA5" t="e">
        <f>AND(Ischemia_singlenet_25percent_ou!B385,"AAAAAD7C34I=")</f>
        <v>#VALUE!</v>
      </c>
      <c r="EB5">
        <f>IF(Ischemia_singlenet_25percent_ou!386:386,"AAAAAD7C34M=",0)</f>
        <v>0</v>
      </c>
      <c r="EC5" t="e">
        <f>AND(Ischemia_singlenet_25percent_ou!A386,"AAAAAD7C34Q=")</f>
        <v>#VALUE!</v>
      </c>
      <c r="ED5" t="e">
        <f>AND(Ischemia_singlenet_25percent_ou!B386,"AAAAAD7C34U=")</f>
        <v>#VALUE!</v>
      </c>
      <c r="EE5">
        <f>IF(Ischemia_singlenet_25percent_ou!387:387,"AAAAAD7C34Y=",0)</f>
        <v>0</v>
      </c>
      <c r="EF5" t="e">
        <f>AND(Ischemia_singlenet_25percent_ou!A387,"AAAAAD7C34c=")</f>
        <v>#VALUE!</v>
      </c>
      <c r="EG5" t="e">
        <f>AND(Ischemia_singlenet_25percent_ou!B387,"AAAAAD7C34g=")</f>
        <v>#VALUE!</v>
      </c>
      <c r="EH5">
        <f>IF(Ischemia_singlenet_25percent_ou!388:388,"AAAAAD7C34k=",0)</f>
        <v>0</v>
      </c>
      <c r="EI5" t="e">
        <f>AND(Ischemia_singlenet_25percent_ou!A388,"AAAAAD7C34o=")</f>
        <v>#VALUE!</v>
      </c>
      <c r="EJ5" t="e">
        <f>AND(Ischemia_singlenet_25percent_ou!B388,"AAAAAD7C34s=")</f>
        <v>#VALUE!</v>
      </c>
      <c r="EK5">
        <f>IF(Ischemia_singlenet_25percent_ou!389:389,"AAAAAD7C34w=",0)</f>
        <v>0</v>
      </c>
      <c r="EL5" t="e">
        <f>AND(Ischemia_singlenet_25percent_ou!A389,"AAAAAD7C340=")</f>
        <v>#VALUE!</v>
      </c>
      <c r="EM5" t="e">
        <f>AND(Ischemia_singlenet_25percent_ou!B389,"AAAAAD7C344=")</f>
        <v>#VALUE!</v>
      </c>
      <c r="EN5">
        <f>IF(Ischemia_singlenet_25percent_ou!390:390,"AAAAAD7C348=",0)</f>
        <v>0</v>
      </c>
      <c r="EO5" t="e">
        <f>AND(Ischemia_singlenet_25percent_ou!A390,"AAAAAD7C35A=")</f>
        <v>#VALUE!</v>
      </c>
      <c r="EP5" t="e">
        <f>AND(Ischemia_singlenet_25percent_ou!B390,"AAAAAD7C35E=")</f>
        <v>#VALUE!</v>
      </c>
      <c r="EQ5">
        <f>IF(Ischemia_singlenet_25percent_ou!391:391,"AAAAAD7C35I=",0)</f>
        <v>0</v>
      </c>
      <c r="ER5" t="e">
        <f>AND(Ischemia_singlenet_25percent_ou!A391,"AAAAAD7C35M=")</f>
        <v>#VALUE!</v>
      </c>
      <c r="ES5" t="e">
        <f>AND(Ischemia_singlenet_25percent_ou!B391,"AAAAAD7C35Q=")</f>
        <v>#VALUE!</v>
      </c>
      <c r="ET5">
        <f>IF(Ischemia_singlenet_25percent_ou!392:392,"AAAAAD7C35U=",0)</f>
        <v>0</v>
      </c>
      <c r="EU5" t="e">
        <f>AND(Ischemia_singlenet_25percent_ou!A392,"AAAAAD7C35Y=")</f>
        <v>#VALUE!</v>
      </c>
      <c r="EV5" t="e">
        <f>AND(Ischemia_singlenet_25percent_ou!B392,"AAAAAD7C35c=")</f>
        <v>#VALUE!</v>
      </c>
      <c r="EW5">
        <f>IF(Ischemia_singlenet_25percent_ou!393:393,"AAAAAD7C35g=",0)</f>
        <v>0</v>
      </c>
      <c r="EX5" t="e">
        <f>AND(Ischemia_singlenet_25percent_ou!A393,"AAAAAD7C35k=")</f>
        <v>#VALUE!</v>
      </c>
      <c r="EY5" t="e">
        <f>AND(Ischemia_singlenet_25percent_ou!B393,"AAAAAD7C35o=")</f>
        <v>#VALUE!</v>
      </c>
      <c r="EZ5">
        <f>IF(Ischemia_singlenet_25percent_ou!394:394,"AAAAAD7C35s=",0)</f>
        <v>0</v>
      </c>
      <c r="FA5" t="e">
        <f>AND(Ischemia_singlenet_25percent_ou!A394,"AAAAAD7C35w=")</f>
        <v>#VALUE!</v>
      </c>
      <c r="FB5" t="e">
        <f>AND(Ischemia_singlenet_25percent_ou!B394,"AAAAAD7C350=")</f>
        <v>#VALUE!</v>
      </c>
      <c r="FC5">
        <f>IF(Ischemia_singlenet_25percent_ou!395:395,"AAAAAD7C354=",0)</f>
        <v>0</v>
      </c>
      <c r="FD5" t="e">
        <f>AND(Ischemia_singlenet_25percent_ou!A395,"AAAAAD7C358=")</f>
        <v>#VALUE!</v>
      </c>
      <c r="FE5" t="e">
        <f>AND(Ischemia_singlenet_25percent_ou!B395,"AAAAAD7C36A=")</f>
        <v>#VALUE!</v>
      </c>
      <c r="FF5">
        <f>IF(Ischemia_singlenet_25percent_ou!396:396,"AAAAAD7C36E=",0)</f>
        <v>0</v>
      </c>
      <c r="FG5" t="e">
        <f>AND(Ischemia_singlenet_25percent_ou!A396,"AAAAAD7C36I=")</f>
        <v>#VALUE!</v>
      </c>
      <c r="FH5" t="e">
        <f>AND(Ischemia_singlenet_25percent_ou!B396,"AAAAAD7C36M=")</f>
        <v>#VALUE!</v>
      </c>
      <c r="FI5">
        <f>IF(Ischemia_singlenet_25percent_ou!397:397,"AAAAAD7C36Q=",0)</f>
        <v>0</v>
      </c>
      <c r="FJ5" t="e">
        <f>AND(Ischemia_singlenet_25percent_ou!A397,"AAAAAD7C36U=")</f>
        <v>#VALUE!</v>
      </c>
      <c r="FK5" t="e">
        <f>AND(Ischemia_singlenet_25percent_ou!B397,"AAAAAD7C36Y=")</f>
        <v>#VALUE!</v>
      </c>
      <c r="FL5">
        <f>IF(Ischemia_singlenet_25percent_ou!398:398,"AAAAAD7C36c=",0)</f>
        <v>0</v>
      </c>
      <c r="FM5" t="e">
        <f>AND(Ischemia_singlenet_25percent_ou!A398,"AAAAAD7C36g=")</f>
        <v>#VALUE!</v>
      </c>
      <c r="FN5" t="e">
        <f>AND(Ischemia_singlenet_25percent_ou!B398,"AAAAAD7C36k=")</f>
        <v>#VALUE!</v>
      </c>
      <c r="FO5">
        <f>IF(Ischemia_singlenet_25percent_ou!399:399,"AAAAAD7C36o=",0)</f>
        <v>0</v>
      </c>
      <c r="FP5" t="e">
        <f>AND(Ischemia_singlenet_25percent_ou!A399,"AAAAAD7C36s=")</f>
        <v>#VALUE!</v>
      </c>
      <c r="FQ5" t="e">
        <f>AND(Ischemia_singlenet_25percent_ou!B399,"AAAAAD7C36w=")</f>
        <v>#VALUE!</v>
      </c>
      <c r="FR5">
        <f>IF(Ischemia_singlenet_25percent_ou!400:400,"AAAAAD7C360=",0)</f>
        <v>0</v>
      </c>
      <c r="FS5" t="e">
        <f>AND(Ischemia_singlenet_25percent_ou!A400,"AAAAAD7C364=")</f>
        <v>#VALUE!</v>
      </c>
      <c r="FT5" t="e">
        <f>AND(Ischemia_singlenet_25percent_ou!B400,"AAAAAD7C368=")</f>
        <v>#VALUE!</v>
      </c>
      <c r="FU5">
        <f>IF(Ischemia_singlenet_25percent_ou!401:401,"AAAAAD7C37A=",0)</f>
        <v>0</v>
      </c>
      <c r="FV5" t="e">
        <f>AND(Ischemia_singlenet_25percent_ou!A401,"AAAAAD7C37E=")</f>
        <v>#VALUE!</v>
      </c>
      <c r="FW5" t="e">
        <f>AND(Ischemia_singlenet_25percent_ou!B401,"AAAAAD7C37I=")</f>
        <v>#VALUE!</v>
      </c>
      <c r="FX5">
        <f>IF(Ischemia_singlenet_25percent_ou!402:402,"AAAAAD7C37M=",0)</f>
        <v>0</v>
      </c>
      <c r="FY5" t="e">
        <f>AND(Ischemia_singlenet_25percent_ou!A402,"AAAAAD7C37Q=")</f>
        <v>#VALUE!</v>
      </c>
      <c r="FZ5" t="e">
        <f>AND(Ischemia_singlenet_25percent_ou!B402,"AAAAAD7C37U=")</f>
        <v>#VALUE!</v>
      </c>
      <c r="GA5">
        <f>IF(Ischemia_singlenet_25percent_ou!403:403,"AAAAAD7C37Y=",0)</f>
        <v>0</v>
      </c>
      <c r="GB5" t="e">
        <f>AND(Ischemia_singlenet_25percent_ou!A403,"AAAAAD7C37c=")</f>
        <v>#VALUE!</v>
      </c>
      <c r="GC5" t="e">
        <f>AND(Ischemia_singlenet_25percent_ou!B403,"AAAAAD7C37g=")</f>
        <v>#VALUE!</v>
      </c>
      <c r="GD5">
        <f>IF(Ischemia_singlenet_25percent_ou!404:404,"AAAAAD7C37k=",0)</f>
        <v>0</v>
      </c>
      <c r="GE5" t="e">
        <f>AND(Ischemia_singlenet_25percent_ou!A404,"AAAAAD7C37o=")</f>
        <v>#VALUE!</v>
      </c>
      <c r="GF5" t="e">
        <f>AND(Ischemia_singlenet_25percent_ou!B404,"AAAAAD7C37s=")</f>
        <v>#VALUE!</v>
      </c>
      <c r="GG5">
        <f>IF(Ischemia_singlenet_25percent_ou!405:405,"AAAAAD7C37w=",0)</f>
        <v>0</v>
      </c>
      <c r="GH5" t="e">
        <f>AND(Ischemia_singlenet_25percent_ou!A405,"AAAAAD7C370=")</f>
        <v>#VALUE!</v>
      </c>
      <c r="GI5" t="e">
        <f>AND(Ischemia_singlenet_25percent_ou!B405,"AAAAAD7C374=")</f>
        <v>#VALUE!</v>
      </c>
      <c r="GJ5">
        <f>IF(Ischemia_singlenet_25percent_ou!406:406,"AAAAAD7C378=",0)</f>
        <v>0</v>
      </c>
      <c r="GK5" t="e">
        <f>AND(Ischemia_singlenet_25percent_ou!A406,"AAAAAD7C38A=")</f>
        <v>#VALUE!</v>
      </c>
      <c r="GL5" t="e">
        <f>AND(Ischemia_singlenet_25percent_ou!B406,"AAAAAD7C38E=")</f>
        <v>#VALUE!</v>
      </c>
      <c r="GM5">
        <f>IF(Ischemia_singlenet_25percent_ou!407:407,"AAAAAD7C38I=",0)</f>
        <v>0</v>
      </c>
      <c r="GN5" t="e">
        <f>AND(Ischemia_singlenet_25percent_ou!A407,"AAAAAD7C38M=")</f>
        <v>#VALUE!</v>
      </c>
      <c r="GO5" t="e">
        <f>AND(Ischemia_singlenet_25percent_ou!B407,"AAAAAD7C38Q=")</f>
        <v>#VALUE!</v>
      </c>
      <c r="GP5">
        <f>IF(Ischemia_singlenet_25percent_ou!408:408,"AAAAAD7C38U=",0)</f>
        <v>0</v>
      </c>
      <c r="GQ5" t="e">
        <f>AND(Ischemia_singlenet_25percent_ou!A408,"AAAAAD7C38Y=")</f>
        <v>#VALUE!</v>
      </c>
      <c r="GR5" t="e">
        <f>AND(Ischemia_singlenet_25percent_ou!B408,"AAAAAD7C38c=")</f>
        <v>#VALUE!</v>
      </c>
      <c r="GS5">
        <f>IF(Ischemia_singlenet_25percent_ou!409:409,"AAAAAD7C38g=",0)</f>
        <v>0</v>
      </c>
      <c r="GT5" t="e">
        <f>AND(Ischemia_singlenet_25percent_ou!A409,"AAAAAD7C38k=")</f>
        <v>#VALUE!</v>
      </c>
      <c r="GU5" t="e">
        <f>AND(Ischemia_singlenet_25percent_ou!B409,"AAAAAD7C38o=")</f>
        <v>#VALUE!</v>
      </c>
      <c r="GV5">
        <f>IF(Ischemia_singlenet_25percent_ou!410:410,"AAAAAD7C38s=",0)</f>
        <v>0</v>
      </c>
      <c r="GW5" t="e">
        <f>AND(Ischemia_singlenet_25percent_ou!A410,"AAAAAD7C38w=")</f>
        <v>#VALUE!</v>
      </c>
      <c r="GX5" t="e">
        <f>AND(Ischemia_singlenet_25percent_ou!B410,"AAAAAD7C380=")</f>
        <v>#VALUE!</v>
      </c>
      <c r="GY5">
        <f>IF(Ischemia_singlenet_25percent_ou!411:411,"AAAAAD7C384=",0)</f>
        <v>0</v>
      </c>
      <c r="GZ5" t="e">
        <f>AND(Ischemia_singlenet_25percent_ou!A411,"AAAAAD7C388=")</f>
        <v>#VALUE!</v>
      </c>
      <c r="HA5" t="e">
        <f>AND(Ischemia_singlenet_25percent_ou!B411,"AAAAAD7C39A=")</f>
        <v>#VALUE!</v>
      </c>
      <c r="HB5">
        <f>IF(Ischemia_singlenet_25percent_ou!412:412,"AAAAAD7C39E=",0)</f>
        <v>0</v>
      </c>
      <c r="HC5" t="e">
        <f>AND(Ischemia_singlenet_25percent_ou!A412,"AAAAAD7C39I=")</f>
        <v>#VALUE!</v>
      </c>
      <c r="HD5" t="e">
        <f>AND(Ischemia_singlenet_25percent_ou!B412,"AAAAAD7C39M=")</f>
        <v>#VALUE!</v>
      </c>
      <c r="HE5">
        <f>IF(Ischemia_singlenet_25percent_ou!413:413,"AAAAAD7C39Q=",0)</f>
        <v>0</v>
      </c>
      <c r="HF5" t="e">
        <f>AND(Ischemia_singlenet_25percent_ou!A413,"AAAAAD7C39U=")</f>
        <v>#VALUE!</v>
      </c>
      <c r="HG5" t="e">
        <f>AND(Ischemia_singlenet_25percent_ou!B413,"AAAAAD7C39Y=")</f>
        <v>#VALUE!</v>
      </c>
      <c r="HH5">
        <f>IF(Ischemia_singlenet_25percent_ou!414:414,"AAAAAD7C39c=",0)</f>
        <v>0</v>
      </c>
      <c r="HI5" t="e">
        <f>AND(Ischemia_singlenet_25percent_ou!A414,"AAAAAD7C39g=")</f>
        <v>#VALUE!</v>
      </c>
      <c r="HJ5" t="e">
        <f>AND(Ischemia_singlenet_25percent_ou!B414,"AAAAAD7C39k=")</f>
        <v>#VALUE!</v>
      </c>
      <c r="HK5">
        <f>IF(Ischemia_singlenet_25percent_ou!415:415,"AAAAAD7C39o=",0)</f>
        <v>0</v>
      </c>
      <c r="HL5" t="e">
        <f>AND(Ischemia_singlenet_25percent_ou!A415,"AAAAAD7C39s=")</f>
        <v>#VALUE!</v>
      </c>
      <c r="HM5" t="e">
        <f>AND(Ischemia_singlenet_25percent_ou!B415,"AAAAAD7C39w=")</f>
        <v>#VALUE!</v>
      </c>
      <c r="HN5">
        <f>IF(Ischemia_singlenet_25percent_ou!416:416,"AAAAAD7C390=",0)</f>
        <v>0</v>
      </c>
      <c r="HO5" t="e">
        <f>AND(Ischemia_singlenet_25percent_ou!A416,"AAAAAD7C394=")</f>
        <v>#VALUE!</v>
      </c>
      <c r="HP5" t="e">
        <f>AND(Ischemia_singlenet_25percent_ou!B416,"AAAAAD7C398=")</f>
        <v>#VALUE!</v>
      </c>
      <c r="HQ5">
        <f>IF(Ischemia_singlenet_25percent_ou!417:417,"AAAAAD7C3+A=",0)</f>
        <v>0</v>
      </c>
      <c r="HR5" t="e">
        <f>AND(Ischemia_singlenet_25percent_ou!A417,"AAAAAD7C3+E=")</f>
        <v>#VALUE!</v>
      </c>
      <c r="HS5" t="e">
        <f>AND(Ischemia_singlenet_25percent_ou!B417,"AAAAAD7C3+I=")</f>
        <v>#VALUE!</v>
      </c>
      <c r="HT5">
        <f>IF(Ischemia_singlenet_25percent_ou!418:418,"AAAAAD7C3+M=",0)</f>
        <v>0</v>
      </c>
      <c r="HU5" t="e">
        <f>AND(Ischemia_singlenet_25percent_ou!A418,"AAAAAD7C3+Q=")</f>
        <v>#VALUE!</v>
      </c>
      <c r="HV5" t="e">
        <f>AND(Ischemia_singlenet_25percent_ou!B418,"AAAAAD7C3+U=")</f>
        <v>#VALUE!</v>
      </c>
      <c r="HW5">
        <f>IF(Ischemia_singlenet_25percent_ou!419:419,"AAAAAD7C3+Y=",0)</f>
        <v>0</v>
      </c>
      <c r="HX5" t="e">
        <f>AND(Ischemia_singlenet_25percent_ou!A419,"AAAAAD7C3+c=")</f>
        <v>#VALUE!</v>
      </c>
      <c r="HY5" t="e">
        <f>AND(Ischemia_singlenet_25percent_ou!B419,"AAAAAD7C3+g=")</f>
        <v>#VALUE!</v>
      </c>
      <c r="HZ5">
        <f>IF(Ischemia_singlenet_25percent_ou!420:420,"AAAAAD7C3+k=",0)</f>
        <v>0</v>
      </c>
      <c r="IA5" t="e">
        <f>AND(Ischemia_singlenet_25percent_ou!A420,"AAAAAD7C3+o=")</f>
        <v>#VALUE!</v>
      </c>
      <c r="IB5" t="e">
        <f>AND(Ischemia_singlenet_25percent_ou!B420,"AAAAAD7C3+s=")</f>
        <v>#VALUE!</v>
      </c>
      <c r="IC5">
        <f>IF(Ischemia_singlenet_25percent_ou!421:421,"AAAAAD7C3+w=",0)</f>
        <v>0</v>
      </c>
      <c r="ID5" t="e">
        <f>AND(Ischemia_singlenet_25percent_ou!A421,"AAAAAD7C3+0=")</f>
        <v>#VALUE!</v>
      </c>
      <c r="IE5" t="e">
        <f>AND(Ischemia_singlenet_25percent_ou!B421,"AAAAAD7C3+4=")</f>
        <v>#VALUE!</v>
      </c>
      <c r="IF5">
        <f>IF(Ischemia_singlenet_25percent_ou!422:422,"AAAAAD7C3+8=",0)</f>
        <v>0</v>
      </c>
      <c r="IG5" t="e">
        <f>AND(Ischemia_singlenet_25percent_ou!A422,"AAAAAD7C3/A=")</f>
        <v>#VALUE!</v>
      </c>
      <c r="IH5" t="e">
        <f>AND(Ischemia_singlenet_25percent_ou!B422,"AAAAAD7C3/E=")</f>
        <v>#VALUE!</v>
      </c>
      <c r="II5">
        <f>IF(Ischemia_singlenet_25percent_ou!423:423,"AAAAAD7C3/I=",0)</f>
        <v>0</v>
      </c>
      <c r="IJ5" t="e">
        <f>AND(Ischemia_singlenet_25percent_ou!A423,"AAAAAD7C3/M=")</f>
        <v>#VALUE!</v>
      </c>
      <c r="IK5" t="e">
        <f>AND(Ischemia_singlenet_25percent_ou!B423,"AAAAAD7C3/Q=")</f>
        <v>#VALUE!</v>
      </c>
      <c r="IL5">
        <f>IF(Ischemia_singlenet_25percent_ou!424:424,"AAAAAD7C3/U=",0)</f>
        <v>0</v>
      </c>
      <c r="IM5" t="e">
        <f>AND(Ischemia_singlenet_25percent_ou!A424,"AAAAAD7C3/Y=")</f>
        <v>#VALUE!</v>
      </c>
      <c r="IN5" t="e">
        <f>AND(Ischemia_singlenet_25percent_ou!B424,"AAAAAD7C3/c=")</f>
        <v>#VALUE!</v>
      </c>
      <c r="IO5">
        <f>IF(Ischemia_singlenet_25percent_ou!425:425,"AAAAAD7C3/g=",0)</f>
        <v>0</v>
      </c>
      <c r="IP5" t="e">
        <f>AND(Ischemia_singlenet_25percent_ou!A425,"AAAAAD7C3/k=")</f>
        <v>#VALUE!</v>
      </c>
      <c r="IQ5" t="e">
        <f>AND(Ischemia_singlenet_25percent_ou!B425,"AAAAAD7C3/o=")</f>
        <v>#VALUE!</v>
      </c>
      <c r="IR5">
        <f>IF(Ischemia_singlenet_25percent_ou!426:426,"AAAAAD7C3/s=",0)</f>
        <v>0</v>
      </c>
      <c r="IS5" t="e">
        <f>AND(Ischemia_singlenet_25percent_ou!A426,"AAAAAD7C3/w=")</f>
        <v>#VALUE!</v>
      </c>
      <c r="IT5" t="e">
        <f>AND(Ischemia_singlenet_25percent_ou!B426,"AAAAAD7C3/0=")</f>
        <v>#VALUE!</v>
      </c>
      <c r="IU5">
        <f>IF(Ischemia_singlenet_25percent_ou!427:427,"AAAAAD7C3/4=",0)</f>
        <v>0</v>
      </c>
      <c r="IV5" t="e">
        <f>AND(Ischemia_singlenet_25percent_ou!A427,"AAAAAD7C3/8=")</f>
        <v>#VALUE!</v>
      </c>
    </row>
    <row r="6" spans="1:256">
      <c r="A6" t="e">
        <f>AND(Ischemia_singlenet_25percent_ou!B427,"AAAAAH3/twA=")</f>
        <v>#VALUE!</v>
      </c>
      <c r="B6" t="e">
        <f>IF(Ischemia_singlenet_25percent_ou!428:428,"AAAAAH3/twE=",0)</f>
        <v>#VALUE!</v>
      </c>
      <c r="C6" t="e">
        <f>AND(Ischemia_singlenet_25percent_ou!A428,"AAAAAH3/twI=")</f>
        <v>#VALUE!</v>
      </c>
      <c r="D6" t="e">
        <f>AND(Ischemia_singlenet_25percent_ou!B428,"AAAAAH3/twM=")</f>
        <v>#VALUE!</v>
      </c>
      <c r="E6">
        <f>IF(Ischemia_singlenet_25percent_ou!429:429,"AAAAAH3/twQ=",0)</f>
        <v>0</v>
      </c>
      <c r="F6" t="e">
        <f>AND(Ischemia_singlenet_25percent_ou!A429,"AAAAAH3/twU=")</f>
        <v>#VALUE!</v>
      </c>
      <c r="G6" t="e">
        <f>AND(Ischemia_singlenet_25percent_ou!B429,"AAAAAH3/twY=")</f>
        <v>#VALUE!</v>
      </c>
      <c r="H6">
        <f>IF(Ischemia_singlenet_25percent_ou!430:430,"AAAAAH3/twc=",0)</f>
        <v>0</v>
      </c>
      <c r="I6" t="e">
        <f>AND(Ischemia_singlenet_25percent_ou!A430,"AAAAAH3/twg=")</f>
        <v>#VALUE!</v>
      </c>
      <c r="J6" t="e">
        <f>AND(Ischemia_singlenet_25percent_ou!B430,"AAAAAH3/twk=")</f>
        <v>#VALUE!</v>
      </c>
      <c r="K6">
        <f>IF(Ischemia_singlenet_25percent_ou!431:431,"AAAAAH3/two=",0)</f>
        <v>0</v>
      </c>
      <c r="L6" t="e">
        <f>AND(Ischemia_singlenet_25percent_ou!A431,"AAAAAH3/tws=")</f>
        <v>#VALUE!</v>
      </c>
      <c r="M6" t="e">
        <f>AND(Ischemia_singlenet_25percent_ou!B431,"AAAAAH3/tww=")</f>
        <v>#VALUE!</v>
      </c>
      <c r="N6">
        <f>IF(Ischemia_singlenet_25percent_ou!432:432,"AAAAAH3/tw0=",0)</f>
        <v>0</v>
      </c>
      <c r="O6" t="e">
        <f>AND(Ischemia_singlenet_25percent_ou!A432,"AAAAAH3/tw4=")</f>
        <v>#VALUE!</v>
      </c>
      <c r="P6" t="e">
        <f>AND(Ischemia_singlenet_25percent_ou!B432,"AAAAAH3/tw8=")</f>
        <v>#VALUE!</v>
      </c>
      <c r="Q6">
        <f>IF(Ischemia_singlenet_25percent_ou!433:433,"AAAAAH3/txA=",0)</f>
        <v>0</v>
      </c>
      <c r="R6" t="e">
        <f>AND(Ischemia_singlenet_25percent_ou!A433,"AAAAAH3/txE=")</f>
        <v>#VALUE!</v>
      </c>
      <c r="S6" t="e">
        <f>AND(Ischemia_singlenet_25percent_ou!B433,"AAAAAH3/txI=")</f>
        <v>#VALUE!</v>
      </c>
      <c r="T6">
        <f>IF(Ischemia_singlenet_25percent_ou!434:434,"AAAAAH3/txM=",0)</f>
        <v>0</v>
      </c>
      <c r="U6" t="e">
        <f>AND(Ischemia_singlenet_25percent_ou!A434,"AAAAAH3/txQ=")</f>
        <v>#VALUE!</v>
      </c>
      <c r="V6" t="e">
        <f>AND(Ischemia_singlenet_25percent_ou!B434,"AAAAAH3/txU=")</f>
        <v>#VALUE!</v>
      </c>
      <c r="W6">
        <f>IF(Ischemia_singlenet_25percent_ou!435:435,"AAAAAH3/txY=",0)</f>
        <v>0</v>
      </c>
      <c r="X6" t="e">
        <f>AND(Ischemia_singlenet_25percent_ou!A435,"AAAAAH3/txc=")</f>
        <v>#VALUE!</v>
      </c>
      <c r="Y6" t="e">
        <f>AND(Ischemia_singlenet_25percent_ou!B435,"AAAAAH3/txg=")</f>
        <v>#VALUE!</v>
      </c>
      <c r="Z6">
        <f>IF(Ischemia_singlenet_25percent_ou!436:436,"AAAAAH3/txk=",0)</f>
        <v>0</v>
      </c>
      <c r="AA6" t="e">
        <f>AND(Ischemia_singlenet_25percent_ou!A436,"AAAAAH3/txo=")</f>
        <v>#VALUE!</v>
      </c>
      <c r="AB6" t="e">
        <f>AND(Ischemia_singlenet_25percent_ou!B436,"AAAAAH3/txs=")</f>
        <v>#VALUE!</v>
      </c>
      <c r="AC6">
        <f>IF(Ischemia_singlenet_25percent_ou!437:437,"AAAAAH3/txw=",0)</f>
        <v>0</v>
      </c>
      <c r="AD6" t="e">
        <f>AND(Ischemia_singlenet_25percent_ou!A437,"AAAAAH3/tx0=")</f>
        <v>#VALUE!</v>
      </c>
      <c r="AE6" t="e">
        <f>AND(Ischemia_singlenet_25percent_ou!B437,"AAAAAH3/tx4=")</f>
        <v>#VALUE!</v>
      </c>
      <c r="AF6">
        <f>IF(Ischemia_singlenet_25percent_ou!438:438,"AAAAAH3/tx8=",0)</f>
        <v>0</v>
      </c>
      <c r="AG6" t="e">
        <f>AND(Ischemia_singlenet_25percent_ou!A438,"AAAAAH3/tyA=")</f>
        <v>#VALUE!</v>
      </c>
      <c r="AH6" t="e">
        <f>AND(Ischemia_singlenet_25percent_ou!B438,"AAAAAH3/tyE=")</f>
        <v>#VALUE!</v>
      </c>
      <c r="AI6">
        <f>IF(Ischemia_singlenet_25percent_ou!439:439,"AAAAAH3/tyI=",0)</f>
        <v>0</v>
      </c>
      <c r="AJ6" t="e">
        <f>AND(Ischemia_singlenet_25percent_ou!A439,"AAAAAH3/tyM=")</f>
        <v>#VALUE!</v>
      </c>
      <c r="AK6" t="e">
        <f>AND(Ischemia_singlenet_25percent_ou!B439,"AAAAAH3/tyQ=")</f>
        <v>#VALUE!</v>
      </c>
      <c r="AL6">
        <f>IF(Ischemia_singlenet_25percent_ou!440:440,"AAAAAH3/tyU=",0)</f>
        <v>0</v>
      </c>
      <c r="AM6" t="e">
        <f>AND(Ischemia_singlenet_25percent_ou!A440,"AAAAAH3/tyY=")</f>
        <v>#VALUE!</v>
      </c>
      <c r="AN6" t="e">
        <f>AND(Ischemia_singlenet_25percent_ou!B440,"AAAAAH3/tyc=")</f>
        <v>#VALUE!</v>
      </c>
      <c r="AO6">
        <f>IF(Ischemia_singlenet_25percent_ou!441:441,"AAAAAH3/tyg=",0)</f>
        <v>0</v>
      </c>
      <c r="AP6" t="e">
        <f>AND(Ischemia_singlenet_25percent_ou!A441,"AAAAAH3/tyk=")</f>
        <v>#VALUE!</v>
      </c>
      <c r="AQ6" t="e">
        <f>AND(Ischemia_singlenet_25percent_ou!B441,"AAAAAH3/tyo=")</f>
        <v>#VALUE!</v>
      </c>
      <c r="AR6">
        <f>IF(Ischemia_singlenet_25percent_ou!442:442,"AAAAAH3/tys=",0)</f>
        <v>0</v>
      </c>
      <c r="AS6" t="e">
        <f>AND(Ischemia_singlenet_25percent_ou!A442,"AAAAAH3/tyw=")</f>
        <v>#VALUE!</v>
      </c>
      <c r="AT6" t="e">
        <f>AND(Ischemia_singlenet_25percent_ou!B442,"AAAAAH3/ty0=")</f>
        <v>#VALUE!</v>
      </c>
      <c r="AU6">
        <f>IF(Ischemia_singlenet_25percent_ou!443:443,"AAAAAH3/ty4=",0)</f>
        <v>0</v>
      </c>
      <c r="AV6" t="e">
        <f>AND(Ischemia_singlenet_25percent_ou!A443,"AAAAAH3/ty8=")</f>
        <v>#VALUE!</v>
      </c>
      <c r="AW6" t="e">
        <f>AND(Ischemia_singlenet_25percent_ou!B443,"AAAAAH3/tzA=")</f>
        <v>#VALUE!</v>
      </c>
      <c r="AX6">
        <f>IF(Ischemia_singlenet_25percent_ou!444:444,"AAAAAH3/tzE=",0)</f>
        <v>0</v>
      </c>
      <c r="AY6" t="e">
        <f>AND(Ischemia_singlenet_25percent_ou!A444,"AAAAAH3/tzI=")</f>
        <v>#VALUE!</v>
      </c>
      <c r="AZ6" t="e">
        <f>AND(Ischemia_singlenet_25percent_ou!B444,"AAAAAH3/tzM=")</f>
        <v>#VALUE!</v>
      </c>
      <c r="BA6">
        <f>IF(Ischemia_singlenet_25percent_ou!445:445,"AAAAAH3/tzQ=",0)</f>
        <v>0</v>
      </c>
      <c r="BB6" t="e">
        <f>AND(Ischemia_singlenet_25percent_ou!A445,"AAAAAH3/tzU=")</f>
        <v>#VALUE!</v>
      </c>
      <c r="BC6" t="e">
        <f>AND(Ischemia_singlenet_25percent_ou!B445,"AAAAAH3/tzY=")</f>
        <v>#VALUE!</v>
      </c>
      <c r="BD6">
        <f>IF(Ischemia_singlenet_25percent_ou!446:446,"AAAAAH3/tzc=",0)</f>
        <v>0</v>
      </c>
      <c r="BE6" t="e">
        <f>AND(Ischemia_singlenet_25percent_ou!A446,"AAAAAH3/tzg=")</f>
        <v>#VALUE!</v>
      </c>
      <c r="BF6" t="e">
        <f>AND(Ischemia_singlenet_25percent_ou!B446,"AAAAAH3/tzk=")</f>
        <v>#VALUE!</v>
      </c>
      <c r="BG6">
        <f>IF(Ischemia_singlenet_25percent_ou!447:447,"AAAAAH3/tzo=",0)</f>
        <v>0</v>
      </c>
      <c r="BH6" t="e">
        <f>AND(Ischemia_singlenet_25percent_ou!A447,"AAAAAH3/tzs=")</f>
        <v>#VALUE!</v>
      </c>
      <c r="BI6" t="e">
        <f>AND(Ischemia_singlenet_25percent_ou!B447,"AAAAAH3/tzw=")</f>
        <v>#VALUE!</v>
      </c>
      <c r="BJ6">
        <f>IF(Ischemia_singlenet_25percent_ou!448:448,"AAAAAH3/tz0=",0)</f>
        <v>0</v>
      </c>
      <c r="BK6" t="e">
        <f>AND(Ischemia_singlenet_25percent_ou!A448,"AAAAAH3/tz4=")</f>
        <v>#VALUE!</v>
      </c>
      <c r="BL6" t="e">
        <f>AND(Ischemia_singlenet_25percent_ou!B448,"AAAAAH3/tz8=")</f>
        <v>#VALUE!</v>
      </c>
      <c r="BM6">
        <f>IF(Ischemia_singlenet_25percent_ou!449:449,"AAAAAH3/t0A=",0)</f>
        <v>0</v>
      </c>
      <c r="BN6" t="e">
        <f>AND(Ischemia_singlenet_25percent_ou!A449,"AAAAAH3/t0E=")</f>
        <v>#VALUE!</v>
      </c>
      <c r="BO6" t="e">
        <f>AND(Ischemia_singlenet_25percent_ou!B449,"AAAAAH3/t0I=")</f>
        <v>#VALUE!</v>
      </c>
      <c r="BP6">
        <f>IF(Ischemia_singlenet_25percent_ou!450:450,"AAAAAH3/t0M=",0)</f>
        <v>0</v>
      </c>
      <c r="BQ6" t="e">
        <f>AND(Ischemia_singlenet_25percent_ou!A450,"AAAAAH3/t0Q=")</f>
        <v>#VALUE!</v>
      </c>
      <c r="BR6" t="e">
        <f>AND(Ischemia_singlenet_25percent_ou!B450,"AAAAAH3/t0U=")</f>
        <v>#VALUE!</v>
      </c>
      <c r="BS6">
        <f>IF(Ischemia_singlenet_25percent_ou!451:451,"AAAAAH3/t0Y=",0)</f>
        <v>0</v>
      </c>
      <c r="BT6" t="e">
        <f>AND(Ischemia_singlenet_25percent_ou!A451,"AAAAAH3/t0c=")</f>
        <v>#VALUE!</v>
      </c>
      <c r="BU6" t="e">
        <f>AND(Ischemia_singlenet_25percent_ou!B451,"AAAAAH3/t0g=")</f>
        <v>#VALUE!</v>
      </c>
      <c r="BV6">
        <f>IF(Ischemia_singlenet_25percent_ou!452:452,"AAAAAH3/t0k=",0)</f>
        <v>0</v>
      </c>
      <c r="BW6" t="e">
        <f>AND(Ischemia_singlenet_25percent_ou!A452,"AAAAAH3/t0o=")</f>
        <v>#VALUE!</v>
      </c>
      <c r="BX6" t="e">
        <f>AND(Ischemia_singlenet_25percent_ou!B452,"AAAAAH3/t0s=")</f>
        <v>#VALUE!</v>
      </c>
      <c r="BY6">
        <f>IF(Ischemia_singlenet_25percent_ou!453:453,"AAAAAH3/t0w=",0)</f>
        <v>0</v>
      </c>
      <c r="BZ6" t="e">
        <f>AND(Ischemia_singlenet_25percent_ou!A453,"AAAAAH3/t00=")</f>
        <v>#VALUE!</v>
      </c>
      <c r="CA6" t="e">
        <f>AND(Ischemia_singlenet_25percent_ou!B453,"AAAAAH3/t04=")</f>
        <v>#VALUE!</v>
      </c>
      <c r="CB6">
        <f>IF(Ischemia_singlenet_25percent_ou!454:454,"AAAAAH3/t08=",0)</f>
        <v>0</v>
      </c>
      <c r="CC6" t="e">
        <f>AND(Ischemia_singlenet_25percent_ou!A454,"AAAAAH3/t1A=")</f>
        <v>#VALUE!</v>
      </c>
      <c r="CD6" t="e">
        <f>AND(Ischemia_singlenet_25percent_ou!B454,"AAAAAH3/t1E=")</f>
        <v>#VALUE!</v>
      </c>
      <c r="CE6">
        <f>IF(Ischemia_singlenet_25percent_ou!455:455,"AAAAAH3/t1I=",0)</f>
        <v>0</v>
      </c>
      <c r="CF6" t="e">
        <f>AND(Ischemia_singlenet_25percent_ou!A455,"AAAAAH3/t1M=")</f>
        <v>#VALUE!</v>
      </c>
      <c r="CG6" t="e">
        <f>AND(Ischemia_singlenet_25percent_ou!B455,"AAAAAH3/t1Q=")</f>
        <v>#VALUE!</v>
      </c>
      <c r="CH6">
        <f>IF(Ischemia_singlenet_25percent_ou!456:456,"AAAAAH3/t1U=",0)</f>
        <v>0</v>
      </c>
      <c r="CI6" t="e">
        <f>AND(Ischemia_singlenet_25percent_ou!A456,"AAAAAH3/t1Y=")</f>
        <v>#VALUE!</v>
      </c>
      <c r="CJ6" t="e">
        <f>AND(Ischemia_singlenet_25percent_ou!B456,"AAAAAH3/t1c=")</f>
        <v>#VALUE!</v>
      </c>
      <c r="CK6">
        <f>IF(Ischemia_singlenet_25percent_ou!457:457,"AAAAAH3/t1g=",0)</f>
        <v>0</v>
      </c>
      <c r="CL6" t="e">
        <f>AND(Ischemia_singlenet_25percent_ou!A457,"AAAAAH3/t1k=")</f>
        <v>#VALUE!</v>
      </c>
      <c r="CM6" t="e">
        <f>AND(Ischemia_singlenet_25percent_ou!B457,"AAAAAH3/t1o=")</f>
        <v>#VALUE!</v>
      </c>
      <c r="CN6">
        <f>IF(Ischemia_singlenet_25percent_ou!458:458,"AAAAAH3/t1s=",0)</f>
        <v>0</v>
      </c>
      <c r="CO6" t="e">
        <f>AND(Ischemia_singlenet_25percent_ou!A458,"AAAAAH3/t1w=")</f>
        <v>#VALUE!</v>
      </c>
      <c r="CP6" t="e">
        <f>AND(Ischemia_singlenet_25percent_ou!B458,"AAAAAH3/t10=")</f>
        <v>#VALUE!</v>
      </c>
      <c r="CQ6">
        <f>IF(Ischemia_singlenet_25percent_ou!459:459,"AAAAAH3/t14=",0)</f>
        <v>0</v>
      </c>
      <c r="CR6" t="e">
        <f>AND(Ischemia_singlenet_25percent_ou!A459,"AAAAAH3/t18=")</f>
        <v>#VALUE!</v>
      </c>
      <c r="CS6" t="e">
        <f>AND(Ischemia_singlenet_25percent_ou!B459,"AAAAAH3/t2A=")</f>
        <v>#VALUE!</v>
      </c>
      <c r="CT6">
        <f>IF(Ischemia_singlenet_25percent_ou!460:460,"AAAAAH3/t2E=",0)</f>
        <v>0</v>
      </c>
      <c r="CU6" t="e">
        <f>AND(Ischemia_singlenet_25percent_ou!A460,"AAAAAH3/t2I=")</f>
        <v>#VALUE!</v>
      </c>
      <c r="CV6" t="e">
        <f>AND(Ischemia_singlenet_25percent_ou!B460,"AAAAAH3/t2M=")</f>
        <v>#VALUE!</v>
      </c>
      <c r="CW6">
        <f>IF(Ischemia_singlenet_25percent_ou!461:461,"AAAAAH3/t2Q=",0)</f>
        <v>0</v>
      </c>
      <c r="CX6" t="e">
        <f>AND(Ischemia_singlenet_25percent_ou!A461,"AAAAAH3/t2U=")</f>
        <v>#VALUE!</v>
      </c>
      <c r="CY6" t="e">
        <f>AND(Ischemia_singlenet_25percent_ou!B461,"AAAAAH3/t2Y=")</f>
        <v>#VALUE!</v>
      </c>
      <c r="CZ6">
        <f>IF(Ischemia_singlenet_25percent_ou!462:462,"AAAAAH3/t2c=",0)</f>
        <v>0</v>
      </c>
      <c r="DA6" t="e">
        <f>AND(Ischemia_singlenet_25percent_ou!A462,"AAAAAH3/t2g=")</f>
        <v>#VALUE!</v>
      </c>
      <c r="DB6" t="e">
        <f>AND(Ischemia_singlenet_25percent_ou!B462,"AAAAAH3/t2k=")</f>
        <v>#VALUE!</v>
      </c>
      <c r="DC6">
        <f>IF(Ischemia_singlenet_25percent_ou!463:463,"AAAAAH3/t2o=",0)</f>
        <v>0</v>
      </c>
      <c r="DD6" t="e">
        <f>AND(Ischemia_singlenet_25percent_ou!A463,"AAAAAH3/t2s=")</f>
        <v>#VALUE!</v>
      </c>
      <c r="DE6" t="e">
        <f>AND(Ischemia_singlenet_25percent_ou!B463,"AAAAAH3/t2w=")</f>
        <v>#VALUE!</v>
      </c>
      <c r="DF6">
        <f>IF(Ischemia_singlenet_25percent_ou!464:464,"AAAAAH3/t20=",0)</f>
        <v>0</v>
      </c>
      <c r="DG6" t="e">
        <f>AND(Ischemia_singlenet_25percent_ou!A464,"AAAAAH3/t24=")</f>
        <v>#VALUE!</v>
      </c>
      <c r="DH6" t="e">
        <f>AND(Ischemia_singlenet_25percent_ou!B464,"AAAAAH3/t28=")</f>
        <v>#VALUE!</v>
      </c>
      <c r="DI6">
        <f>IF(Ischemia_singlenet_25percent_ou!465:465,"AAAAAH3/t3A=",0)</f>
        <v>0</v>
      </c>
      <c r="DJ6" t="e">
        <f>AND(Ischemia_singlenet_25percent_ou!A465,"AAAAAH3/t3E=")</f>
        <v>#VALUE!</v>
      </c>
      <c r="DK6" t="e">
        <f>AND(Ischemia_singlenet_25percent_ou!B465,"AAAAAH3/t3I=")</f>
        <v>#VALUE!</v>
      </c>
      <c r="DL6">
        <f>IF(Ischemia_singlenet_25percent_ou!466:466,"AAAAAH3/t3M=",0)</f>
        <v>0</v>
      </c>
      <c r="DM6" t="e">
        <f>AND(Ischemia_singlenet_25percent_ou!A466,"AAAAAH3/t3Q=")</f>
        <v>#VALUE!</v>
      </c>
      <c r="DN6" t="e">
        <f>AND(Ischemia_singlenet_25percent_ou!B466,"AAAAAH3/t3U=")</f>
        <v>#VALUE!</v>
      </c>
      <c r="DO6">
        <f>IF(Ischemia_singlenet_25percent_ou!467:467,"AAAAAH3/t3Y=",0)</f>
        <v>0</v>
      </c>
      <c r="DP6" t="e">
        <f>AND(Ischemia_singlenet_25percent_ou!A467,"AAAAAH3/t3c=")</f>
        <v>#VALUE!</v>
      </c>
      <c r="DQ6" t="e">
        <f>AND(Ischemia_singlenet_25percent_ou!B467,"AAAAAH3/t3g=")</f>
        <v>#VALUE!</v>
      </c>
      <c r="DR6">
        <f>IF(Ischemia_singlenet_25percent_ou!468:468,"AAAAAH3/t3k=",0)</f>
        <v>0</v>
      </c>
      <c r="DS6" t="e">
        <f>AND(Ischemia_singlenet_25percent_ou!A468,"AAAAAH3/t3o=")</f>
        <v>#VALUE!</v>
      </c>
      <c r="DT6" t="e">
        <f>AND(Ischemia_singlenet_25percent_ou!B468,"AAAAAH3/t3s=")</f>
        <v>#VALUE!</v>
      </c>
      <c r="DU6">
        <f>IF(Ischemia_singlenet_25percent_ou!469:469,"AAAAAH3/t3w=",0)</f>
        <v>0</v>
      </c>
      <c r="DV6" t="e">
        <f>AND(Ischemia_singlenet_25percent_ou!A469,"AAAAAH3/t30=")</f>
        <v>#VALUE!</v>
      </c>
      <c r="DW6" t="e">
        <f>AND(Ischemia_singlenet_25percent_ou!B469,"AAAAAH3/t34=")</f>
        <v>#VALUE!</v>
      </c>
      <c r="DX6">
        <f>IF(Ischemia_singlenet_25percent_ou!470:470,"AAAAAH3/t38=",0)</f>
        <v>0</v>
      </c>
      <c r="DY6" t="e">
        <f>AND(Ischemia_singlenet_25percent_ou!A470,"AAAAAH3/t4A=")</f>
        <v>#VALUE!</v>
      </c>
      <c r="DZ6" t="e">
        <f>AND(Ischemia_singlenet_25percent_ou!B470,"AAAAAH3/t4E=")</f>
        <v>#VALUE!</v>
      </c>
      <c r="EA6">
        <f>IF(Ischemia_singlenet_25percent_ou!471:471,"AAAAAH3/t4I=",0)</f>
        <v>0</v>
      </c>
      <c r="EB6" t="e">
        <f>AND(Ischemia_singlenet_25percent_ou!A471,"AAAAAH3/t4M=")</f>
        <v>#VALUE!</v>
      </c>
      <c r="EC6" t="e">
        <f>AND(Ischemia_singlenet_25percent_ou!B471,"AAAAAH3/t4Q=")</f>
        <v>#VALUE!</v>
      </c>
      <c r="ED6">
        <f>IF(Ischemia_singlenet_25percent_ou!472:472,"AAAAAH3/t4U=",0)</f>
        <v>0</v>
      </c>
      <c r="EE6" t="e">
        <f>AND(Ischemia_singlenet_25percent_ou!A472,"AAAAAH3/t4Y=")</f>
        <v>#VALUE!</v>
      </c>
      <c r="EF6" t="e">
        <f>AND(Ischemia_singlenet_25percent_ou!B472,"AAAAAH3/t4c=")</f>
        <v>#VALUE!</v>
      </c>
      <c r="EG6">
        <f>IF(Ischemia_singlenet_25percent_ou!473:473,"AAAAAH3/t4g=",0)</f>
        <v>0</v>
      </c>
      <c r="EH6" t="e">
        <f>AND(Ischemia_singlenet_25percent_ou!A473,"AAAAAH3/t4k=")</f>
        <v>#VALUE!</v>
      </c>
      <c r="EI6" t="e">
        <f>AND(Ischemia_singlenet_25percent_ou!B473,"AAAAAH3/t4o=")</f>
        <v>#VALUE!</v>
      </c>
      <c r="EJ6">
        <f>IF(Ischemia_singlenet_25percent_ou!474:474,"AAAAAH3/t4s=",0)</f>
        <v>0</v>
      </c>
      <c r="EK6" t="e">
        <f>AND(Ischemia_singlenet_25percent_ou!A474,"AAAAAH3/t4w=")</f>
        <v>#VALUE!</v>
      </c>
      <c r="EL6" t="e">
        <f>AND(Ischemia_singlenet_25percent_ou!B474,"AAAAAH3/t40=")</f>
        <v>#VALUE!</v>
      </c>
      <c r="EM6">
        <f>IF(Ischemia_singlenet_25percent_ou!475:475,"AAAAAH3/t44=",0)</f>
        <v>0</v>
      </c>
      <c r="EN6" t="e">
        <f>AND(Ischemia_singlenet_25percent_ou!A475,"AAAAAH3/t48=")</f>
        <v>#VALUE!</v>
      </c>
      <c r="EO6" t="e">
        <f>AND(Ischemia_singlenet_25percent_ou!B475,"AAAAAH3/t5A=")</f>
        <v>#VALUE!</v>
      </c>
      <c r="EP6">
        <f>IF(Ischemia_singlenet_25percent_ou!476:476,"AAAAAH3/t5E=",0)</f>
        <v>0</v>
      </c>
      <c r="EQ6" t="e">
        <f>AND(Ischemia_singlenet_25percent_ou!A476,"AAAAAH3/t5I=")</f>
        <v>#VALUE!</v>
      </c>
      <c r="ER6" t="e">
        <f>AND(Ischemia_singlenet_25percent_ou!B476,"AAAAAH3/t5M=")</f>
        <v>#VALUE!</v>
      </c>
      <c r="ES6">
        <f>IF(Ischemia_singlenet_25percent_ou!477:477,"AAAAAH3/t5Q=",0)</f>
        <v>0</v>
      </c>
      <c r="ET6" t="e">
        <f>AND(Ischemia_singlenet_25percent_ou!A477,"AAAAAH3/t5U=")</f>
        <v>#VALUE!</v>
      </c>
      <c r="EU6" t="e">
        <f>AND(Ischemia_singlenet_25percent_ou!B477,"AAAAAH3/t5Y=")</f>
        <v>#VALUE!</v>
      </c>
      <c r="EV6">
        <f>IF(Ischemia_singlenet_25percent_ou!478:478,"AAAAAH3/t5c=",0)</f>
        <v>0</v>
      </c>
      <c r="EW6" t="e">
        <f>AND(Ischemia_singlenet_25percent_ou!A478,"AAAAAH3/t5g=")</f>
        <v>#VALUE!</v>
      </c>
      <c r="EX6" t="e">
        <f>AND(Ischemia_singlenet_25percent_ou!B478,"AAAAAH3/t5k=")</f>
        <v>#VALUE!</v>
      </c>
      <c r="EY6">
        <f>IF(Ischemia_singlenet_25percent_ou!479:479,"AAAAAH3/t5o=",0)</f>
        <v>0</v>
      </c>
      <c r="EZ6" t="e">
        <f>AND(Ischemia_singlenet_25percent_ou!A479,"AAAAAH3/t5s=")</f>
        <v>#VALUE!</v>
      </c>
      <c r="FA6" t="e">
        <f>AND(Ischemia_singlenet_25percent_ou!B479,"AAAAAH3/t5w=")</f>
        <v>#VALUE!</v>
      </c>
      <c r="FB6">
        <f>IF(Ischemia_singlenet_25percent_ou!480:480,"AAAAAH3/t50=",0)</f>
        <v>0</v>
      </c>
      <c r="FC6" t="e">
        <f>AND(Ischemia_singlenet_25percent_ou!A480,"AAAAAH3/t54=")</f>
        <v>#VALUE!</v>
      </c>
      <c r="FD6" t="e">
        <f>AND(Ischemia_singlenet_25percent_ou!B480,"AAAAAH3/t58=")</f>
        <v>#VALUE!</v>
      </c>
      <c r="FE6">
        <f>IF(Ischemia_singlenet_25percent_ou!481:481,"AAAAAH3/t6A=",0)</f>
        <v>0</v>
      </c>
      <c r="FF6" t="e">
        <f>AND(Ischemia_singlenet_25percent_ou!A481,"AAAAAH3/t6E=")</f>
        <v>#VALUE!</v>
      </c>
      <c r="FG6" t="e">
        <f>AND(Ischemia_singlenet_25percent_ou!B481,"AAAAAH3/t6I=")</f>
        <v>#VALUE!</v>
      </c>
      <c r="FH6">
        <f>IF(Ischemia_singlenet_25percent_ou!482:482,"AAAAAH3/t6M=",0)</f>
        <v>0</v>
      </c>
      <c r="FI6" t="e">
        <f>AND(Ischemia_singlenet_25percent_ou!A482,"AAAAAH3/t6Q=")</f>
        <v>#VALUE!</v>
      </c>
      <c r="FJ6" t="e">
        <f>AND(Ischemia_singlenet_25percent_ou!B482,"AAAAAH3/t6U=")</f>
        <v>#VALUE!</v>
      </c>
      <c r="FK6">
        <f>IF(Ischemia_singlenet_25percent_ou!483:483,"AAAAAH3/t6Y=",0)</f>
        <v>0</v>
      </c>
      <c r="FL6" t="e">
        <f>AND(Ischemia_singlenet_25percent_ou!A483,"AAAAAH3/t6c=")</f>
        <v>#VALUE!</v>
      </c>
      <c r="FM6" t="e">
        <f>AND(Ischemia_singlenet_25percent_ou!B483,"AAAAAH3/t6g=")</f>
        <v>#VALUE!</v>
      </c>
      <c r="FN6">
        <f>IF(Ischemia_singlenet_25percent_ou!484:484,"AAAAAH3/t6k=",0)</f>
        <v>0</v>
      </c>
      <c r="FO6" t="e">
        <f>AND(Ischemia_singlenet_25percent_ou!A484,"AAAAAH3/t6o=")</f>
        <v>#VALUE!</v>
      </c>
      <c r="FP6" t="e">
        <f>AND(Ischemia_singlenet_25percent_ou!B484,"AAAAAH3/t6s=")</f>
        <v>#VALUE!</v>
      </c>
      <c r="FQ6">
        <f>IF(Ischemia_singlenet_25percent_ou!485:485,"AAAAAH3/t6w=",0)</f>
        <v>0</v>
      </c>
      <c r="FR6" t="e">
        <f>AND(Ischemia_singlenet_25percent_ou!A485,"AAAAAH3/t60=")</f>
        <v>#VALUE!</v>
      </c>
      <c r="FS6" t="e">
        <f>AND(Ischemia_singlenet_25percent_ou!B485,"AAAAAH3/t64=")</f>
        <v>#VALUE!</v>
      </c>
      <c r="FT6">
        <f>IF(Ischemia_singlenet_25percent_ou!486:486,"AAAAAH3/t68=",0)</f>
        <v>0</v>
      </c>
      <c r="FU6" t="e">
        <f>AND(Ischemia_singlenet_25percent_ou!A486,"AAAAAH3/t7A=")</f>
        <v>#VALUE!</v>
      </c>
      <c r="FV6" t="e">
        <f>AND(Ischemia_singlenet_25percent_ou!B486,"AAAAAH3/t7E=")</f>
        <v>#VALUE!</v>
      </c>
      <c r="FW6">
        <f>IF(Ischemia_singlenet_25percent_ou!487:487,"AAAAAH3/t7I=",0)</f>
        <v>0</v>
      </c>
      <c r="FX6" t="e">
        <f>AND(Ischemia_singlenet_25percent_ou!A487,"AAAAAH3/t7M=")</f>
        <v>#VALUE!</v>
      </c>
      <c r="FY6" t="e">
        <f>AND(Ischemia_singlenet_25percent_ou!B487,"AAAAAH3/t7Q=")</f>
        <v>#VALUE!</v>
      </c>
      <c r="FZ6">
        <f>IF(Ischemia_singlenet_25percent_ou!488:488,"AAAAAH3/t7U=",0)</f>
        <v>0</v>
      </c>
      <c r="GA6" t="e">
        <f>AND(Ischemia_singlenet_25percent_ou!A488,"AAAAAH3/t7Y=")</f>
        <v>#VALUE!</v>
      </c>
      <c r="GB6" t="e">
        <f>AND(Ischemia_singlenet_25percent_ou!B488,"AAAAAH3/t7c=")</f>
        <v>#VALUE!</v>
      </c>
      <c r="GC6">
        <f>IF(Ischemia_singlenet_25percent_ou!489:489,"AAAAAH3/t7g=",0)</f>
        <v>0</v>
      </c>
      <c r="GD6" t="e">
        <f>AND(Ischemia_singlenet_25percent_ou!A489,"AAAAAH3/t7k=")</f>
        <v>#VALUE!</v>
      </c>
      <c r="GE6" t="e">
        <f>AND(Ischemia_singlenet_25percent_ou!B489,"AAAAAH3/t7o=")</f>
        <v>#VALUE!</v>
      </c>
      <c r="GF6">
        <f>IF(Ischemia_singlenet_25percent_ou!490:490,"AAAAAH3/t7s=",0)</f>
        <v>0</v>
      </c>
      <c r="GG6" t="e">
        <f>AND(Ischemia_singlenet_25percent_ou!A490,"AAAAAH3/t7w=")</f>
        <v>#VALUE!</v>
      </c>
      <c r="GH6" t="e">
        <f>AND(Ischemia_singlenet_25percent_ou!B490,"AAAAAH3/t70=")</f>
        <v>#VALUE!</v>
      </c>
      <c r="GI6">
        <f>IF(Ischemia_singlenet_25percent_ou!491:491,"AAAAAH3/t74=",0)</f>
        <v>0</v>
      </c>
      <c r="GJ6" t="e">
        <f>AND(Ischemia_singlenet_25percent_ou!A491,"AAAAAH3/t78=")</f>
        <v>#VALUE!</v>
      </c>
      <c r="GK6" t="e">
        <f>AND(Ischemia_singlenet_25percent_ou!B491,"AAAAAH3/t8A=")</f>
        <v>#VALUE!</v>
      </c>
      <c r="GL6">
        <f>IF(Ischemia_singlenet_25percent_ou!492:492,"AAAAAH3/t8E=",0)</f>
        <v>0</v>
      </c>
      <c r="GM6" t="e">
        <f>AND(Ischemia_singlenet_25percent_ou!A492,"AAAAAH3/t8I=")</f>
        <v>#VALUE!</v>
      </c>
      <c r="GN6" t="e">
        <f>AND(Ischemia_singlenet_25percent_ou!B492,"AAAAAH3/t8M=")</f>
        <v>#VALUE!</v>
      </c>
      <c r="GO6">
        <f>IF(Ischemia_singlenet_25percent_ou!493:493,"AAAAAH3/t8Q=",0)</f>
        <v>0</v>
      </c>
      <c r="GP6" t="e">
        <f>AND(Ischemia_singlenet_25percent_ou!A493,"AAAAAH3/t8U=")</f>
        <v>#VALUE!</v>
      </c>
      <c r="GQ6" t="e">
        <f>AND(Ischemia_singlenet_25percent_ou!B493,"AAAAAH3/t8Y=")</f>
        <v>#VALUE!</v>
      </c>
      <c r="GR6">
        <f>IF(Ischemia_singlenet_25percent_ou!494:494,"AAAAAH3/t8c=",0)</f>
        <v>0</v>
      </c>
      <c r="GS6" t="e">
        <f>AND(Ischemia_singlenet_25percent_ou!A494,"AAAAAH3/t8g=")</f>
        <v>#VALUE!</v>
      </c>
      <c r="GT6" t="e">
        <f>AND(Ischemia_singlenet_25percent_ou!B494,"AAAAAH3/t8k=")</f>
        <v>#VALUE!</v>
      </c>
      <c r="GU6">
        <f>IF(Ischemia_singlenet_25percent_ou!495:495,"AAAAAH3/t8o=",0)</f>
        <v>0</v>
      </c>
      <c r="GV6" t="e">
        <f>AND(Ischemia_singlenet_25percent_ou!A495,"AAAAAH3/t8s=")</f>
        <v>#VALUE!</v>
      </c>
      <c r="GW6" t="e">
        <f>AND(Ischemia_singlenet_25percent_ou!B495,"AAAAAH3/t8w=")</f>
        <v>#VALUE!</v>
      </c>
      <c r="GX6">
        <f>IF(Ischemia_singlenet_25percent_ou!496:496,"AAAAAH3/t80=",0)</f>
        <v>0</v>
      </c>
      <c r="GY6" t="e">
        <f>AND(Ischemia_singlenet_25percent_ou!A496,"AAAAAH3/t84=")</f>
        <v>#VALUE!</v>
      </c>
      <c r="GZ6" t="e">
        <f>AND(Ischemia_singlenet_25percent_ou!B496,"AAAAAH3/t88=")</f>
        <v>#VALUE!</v>
      </c>
      <c r="HA6">
        <f>IF(Ischemia_singlenet_25percent_ou!497:497,"AAAAAH3/t9A=",0)</f>
        <v>0</v>
      </c>
      <c r="HB6" t="e">
        <f>AND(Ischemia_singlenet_25percent_ou!A497,"AAAAAH3/t9E=")</f>
        <v>#VALUE!</v>
      </c>
      <c r="HC6" t="e">
        <f>AND(Ischemia_singlenet_25percent_ou!B497,"AAAAAH3/t9I=")</f>
        <v>#VALUE!</v>
      </c>
      <c r="HD6">
        <f>IF(Ischemia_singlenet_25percent_ou!498:498,"AAAAAH3/t9M=",0)</f>
        <v>0</v>
      </c>
      <c r="HE6" t="e">
        <f>AND(Ischemia_singlenet_25percent_ou!A498,"AAAAAH3/t9Q=")</f>
        <v>#VALUE!</v>
      </c>
      <c r="HF6" t="e">
        <f>AND(Ischemia_singlenet_25percent_ou!B498,"AAAAAH3/t9U=")</f>
        <v>#VALUE!</v>
      </c>
      <c r="HG6">
        <f>IF(Ischemia_singlenet_25percent_ou!499:499,"AAAAAH3/t9Y=",0)</f>
        <v>0</v>
      </c>
      <c r="HH6" t="e">
        <f>AND(Ischemia_singlenet_25percent_ou!A499,"AAAAAH3/t9c=")</f>
        <v>#VALUE!</v>
      </c>
      <c r="HI6" t="e">
        <f>AND(Ischemia_singlenet_25percent_ou!B499,"AAAAAH3/t9g=")</f>
        <v>#VALUE!</v>
      </c>
      <c r="HJ6">
        <f>IF(Ischemia_singlenet_25percent_ou!500:500,"AAAAAH3/t9k=",0)</f>
        <v>0</v>
      </c>
      <c r="HK6" t="e">
        <f>AND(Ischemia_singlenet_25percent_ou!A500,"AAAAAH3/t9o=")</f>
        <v>#VALUE!</v>
      </c>
      <c r="HL6" t="e">
        <f>AND(Ischemia_singlenet_25percent_ou!B500,"AAAAAH3/t9s=")</f>
        <v>#VALUE!</v>
      </c>
      <c r="HM6">
        <f>IF(Ischemia_singlenet_25percent_ou!501:501,"AAAAAH3/t9w=",0)</f>
        <v>0</v>
      </c>
      <c r="HN6" t="e">
        <f>AND(Ischemia_singlenet_25percent_ou!A501,"AAAAAH3/t90=")</f>
        <v>#VALUE!</v>
      </c>
      <c r="HO6" t="e">
        <f>AND(Ischemia_singlenet_25percent_ou!B501,"AAAAAH3/t94=")</f>
        <v>#VALUE!</v>
      </c>
      <c r="HP6">
        <f>IF(Ischemia_singlenet_25percent_ou!502:502,"AAAAAH3/t98=",0)</f>
        <v>0</v>
      </c>
      <c r="HQ6" t="e">
        <f>AND(Ischemia_singlenet_25percent_ou!A502,"AAAAAH3/t+A=")</f>
        <v>#VALUE!</v>
      </c>
      <c r="HR6" t="e">
        <f>AND(Ischemia_singlenet_25percent_ou!B502,"AAAAAH3/t+E=")</f>
        <v>#VALUE!</v>
      </c>
      <c r="HS6">
        <f>IF(Ischemia_singlenet_25percent_ou!503:503,"AAAAAH3/t+I=",0)</f>
        <v>0</v>
      </c>
      <c r="HT6" t="e">
        <f>AND(Ischemia_singlenet_25percent_ou!A503,"AAAAAH3/t+M=")</f>
        <v>#VALUE!</v>
      </c>
      <c r="HU6" t="e">
        <f>AND(Ischemia_singlenet_25percent_ou!B503,"AAAAAH3/t+Q=")</f>
        <v>#VALUE!</v>
      </c>
      <c r="HV6">
        <f>IF(Ischemia_singlenet_25percent_ou!504:504,"AAAAAH3/t+U=",0)</f>
        <v>0</v>
      </c>
      <c r="HW6" t="e">
        <f>AND(Ischemia_singlenet_25percent_ou!A504,"AAAAAH3/t+Y=")</f>
        <v>#VALUE!</v>
      </c>
      <c r="HX6" t="e">
        <f>AND(Ischemia_singlenet_25percent_ou!B504,"AAAAAH3/t+c=")</f>
        <v>#VALUE!</v>
      </c>
      <c r="HY6">
        <f>IF(Ischemia_singlenet_25percent_ou!505:505,"AAAAAH3/t+g=",0)</f>
        <v>0</v>
      </c>
      <c r="HZ6" t="e">
        <f>AND(Ischemia_singlenet_25percent_ou!A505,"AAAAAH3/t+k=")</f>
        <v>#VALUE!</v>
      </c>
      <c r="IA6" t="e">
        <f>AND(Ischemia_singlenet_25percent_ou!B505,"AAAAAH3/t+o=")</f>
        <v>#VALUE!</v>
      </c>
      <c r="IB6">
        <f>IF(Ischemia_singlenet_25percent_ou!506:506,"AAAAAH3/t+s=",0)</f>
        <v>0</v>
      </c>
      <c r="IC6" t="e">
        <f>AND(Ischemia_singlenet_25percent_ou!A506,"AAAAAH3/t+w=")</f>
        <v>#VALUE!</v>
      </c>
      <c r="ID6" t="e">
        <f>AND(Ischemia_singlenet_25percent_ou!B506,"AAAAAH3/t+0=")</f>
        <v>#VALUE!</v>
      </c>
      <c r="IE6">
        <f>IF(Ischemia_singlenet_25percent_ou!507:507,"AAAAAH3/t+4=",0)</f>
        <v>0</v>
      </c>
      <c r="IF6" t="e">
        <f>AND(Ischemia_singlenet_25percent_ou!A507,"AAAAAH3/t+8=")</f>
        <v>#VALUE!</v>
      </c>
      <c r="IG6" t="e">
        <f>AND(Ischemia_singlenet_25percent_ou!B507,"AAAAAH3/t/A=")</f>
        <v>#VALUE!</v>
      </c>
      <c r="IH6">
        <f>IF(Ischemia_singlenet_25percent_ou!508:508,"AAAAAH3/t/E=",0)</f>
        <v>0</v>
      </c>
      <c r="II6" t="e">
        <f>AND(Ischemia_singlenet_25percent_ou!A508,"AAAAAH3/t/I=")</f>
        <v>#VALUE!</v>
      </c>
      <c r="IJ6" t="e">
        <f>AND(Ischemia_singlenet_25percent_ou!B508,"AAAAAH3/t/M=")</f>
        <v>#VALUE!</v>
      </c>
      <c r="IK6">
        <f>IF(Ischemia_singlenet_25percent_ou!509:509,"AAAAAH3/t/Q=",0)</f>
        <v>0</v>
      </c>
      <c r="IL6" t="e">
        <f>AND(Ischemia_singlenet_25percent_ou!A509,"AAAAAH3/t/U=")</f>
        <v>#VALUE!</v>
      </c>
      <c r="IM6" t="e">
        <f>AND(Ischemia_singlenet_25percent_ou!B509,"AAAAAH3/t/Y=")</f>
        <v>#VALUE!</v>
      </c>
      <c r="IN6">
        <f>IF(Ischemia_singlenet_25percent_ou!510:510,"AAAAAH3/t/c=",0)</f>
        <v>0</v>
      </c>
      <c r="IO6" t="e">
        <f>AND(Ischemia_singlenet_25percent_ou!A510,"AAAAAH3/t/g=")</f>
        <v>#VALUE!</v>
      </c>
      <c r="IP6" t="e">
        <f>AND(Ischemia_singlenet_25percent_ou!B510,"AAAAAH3/t/k=")</f>
        <v>#VALUE!</v>
      </c>
      <c r="IQ6">
        <f>IF(Ischemia_singlenet_25percent_ou!511:511,"AAAAAH3/t/o=",0)</f>
        <v>0</v>
      </c>
      <c r="IR6" t="e">
        <f>AND(Ischemia_singlenet_25percent_ou!A511,"AAAAAH3/t/s=")</f>
        <v>#VALUE!</v>
      </c>
      <c r="IS6" t="e">
        <f>AND(Ischemia_singlenet_25percent_ou!B511,"AAAAAH3/t/w=")</f>
        <v>#VALUE!</v>
      </c>
      <c r="IT6">
        <f>IF(Ischemia_singlenet_25percent_ou!512:512,"AAAAAH3/t/0=",0)</f>
        <v>0</v>
      </c>
      <c r="IU6" t="e">
        <f>AND(Ischemia_singlenet_25percent_ou!A512,"AAAAAH3/t/4=")</f>
        <v>#VALUE!</v>
      </c>
      <c r="IV6" t="e">
        <f>AND(Ischemia_singlenet_25percent_ou!B512,"AAAAAH3/t/8=")</f>
        <v>#VALUE!</v>
      </c>
    </row>
    <row r="7" spans="1:256">
      <c r="A7" t="e">
        <f>IF(Ischemia_singlenet_25percent_ou!513:513,"AAAAAGH++QA=",0)</f>
        <v>#VALUE!</v>
      </c>
      <c r="B7" t="e">
        <f>AND(Ischemia_singlenet_25percent_ou!A513,"AAAAAGH++QE=")</f>
        <v>#VALUE!</v>
      </c>
      <c r="C7" t="e">
        <f>AND(Ischemia_singlenet_25percent_ou!B513,"AAAAAGH++QI=")</f>
        <v>#VALUE!</v>
      </c>
      <c r="D7">
        <f>IF(Ischemia_singlenet_25percent_ou!514:514,"AAAAAGH++QM=",0)</f>
        <v>0</v>
      </c>
      <c r="E7" t="e">
        <f>AND(Ischemia_singlenet_25percent_ou!A514,"AAAAAGH++QQ=")</f>
        <v>#VALUE!</v>
      </c>
      <c r="F7" t="e">
        <f>AND(Ischemia_singlenet_25percent_ou!B514,"AAAAAGH++QU=")</f>
        <v>#VALUE!</v>
      </c>
      <c r="G7">
        <f>IF(Ischemia_singlenet_25percent_ou!515:515,"AAAAAGH++QY=",0)</f>
        <v>0</v>
      </c>
      <c r="H7" t="e">
        <f>AND(Ischemia_singlenet_25percent_ou!A515,"AAAAAGH++Qc=")</f>
        <v>#VALUE!</v>
      </c>
      <c r="I7" t="e">
        <f>AND(Ischemia_singlenet_25percent_ou!B515,"AAAAAGH++Qg=")</f>
        <v>#VALUE!</v>
      </c>
      <c r="J7">
        <f>IF(Ischemia_singlenet_25percent_ou!516:516,"AAAAAGH++Qk=",0)</f>
        <v>0</v>
      </c>
      <c r="K7" t="e">
        <f>AND(Ischemia_singlenet_25percent_ou!A516,"AAAAAGH++Qo=")</f>
        <v>#VALUE!</v>
      </c>
      <c r="L7" t="e">
        <f>AND(Ischemia_singlenet_25percent_ou!B516,"AAAAAGH++Qs=")</f>
        <v>#VALUE!</v>
      </c>
      <c r="M7">
        <f>IF(Ischemia_singlenet_25percent_ou!517:517,"AAAAAGH++Qw=",0)</f>
        <v>0</v>
      </c>
      <c r="N7" t="e">
        <f>AND(Ischemia_singlenet_25percent_ou!A517,"AAAAAGH++Q0=")</f>
        <v>#VALUE!</v>
      </c>
      <c r="O7" t="e">
        <f>AND(Ischemia_singlenet_25percent_ou!B517,"AAAAAGH++Q4=")</f>
        <v>#VALUE!</v>
      </c>
      <c r="P7">
        <f>IF(Ischemia_singlenet_25percent_ou!518:518,"AAAAAGH++Q8=",0)</f>
        <v>0</v>
      </c>
      <c r="Q7" t="e">
        <f>AND(Ischemia_singlenet_25percent_ou!A518,"AAAAAGH++RA=")</f>
        <v>#VALUE!</v>
      </c>
      <c r="R7" t="e">
        <f>AND(Ischemia_singlenet_25percent_ou!B518,"AAAAAGH++RE=")</f>
        <v>#VALUE!</v>
      </c>
      <c r="S7">
        <f>IF(Ischemia_singlenet_25percent_ou!519:519,"AAAAAGH++RI=",0)</f>
        <v>0</v>
      </c>
      <c r="T7" t="e">
        <f>AND(Ischemia_singlenet_25percent_ou!A519,"AAAAAGH++RM=")</f>
        <v>#VALUE!</v>
      </c>
      <c r="U7" t="e">
        <f>AND(Ischemia_singlenet_25percent_ou!B519,"AAAAAGH++RQ=")</f>
        <v>#VALUE!</v>
      </c>
      <c r="V7">
        <f>IF(Ischemia_singlenet_25percent_ou!520:520,"AAAAAGH++RU=",0)</f>
        <v>0</v>
      </c>
      <c r="W7" t="e">
        <f>AND(Ischemia_singlenet_25percent_ou!A520,"AAAAAGH++RY=")</f>
        <v>#VALUE!</v>
      </c>
      <c r="X7" t="e">
        <f>AND(Ischemia_singlenet_25percent_ou!B520,"AAAAAGH++Rc=")</f>
        <v>#VALUE!</v>
      </c>
      <c r="Y7">
        <f>IF(Ischemia_singlenet_25percent_ou!521:521,"AAAAAGH++Rg=",0)</f>
        <v>0</v>
      </c>
      <c r="Z7" t="e">
        <f>AND(Ischemia_singlenet_25percent_ou!A521,"AAAAAGH++Rk=")</f>
        <v>#VALUE!</v>
      </c>
      <c r="AA7" t="e">
        <f>AND(Ischemia_singlenet_25percent_ou!B521,"AAAAAGH++Ro=")</f>
        <v>#VALUE!</v>
      </c>
      <c r="AB7">
        <f>IF(Ischemia_singlenet_25percent_ou!522:522,"AAAAAGH++Rs=",0)</f>
        <v>0</v>
      </c>
      <c r="AC7" t="e">
        <f>AND(Ischemia_singlenet_25percent_ou!A522,"AAAAAGH++Rw=")</f>
        <v>#VALUE!</v>
      </c>
      <c r="AD7" t="e">
        <f>AND(Ischemia_singlenet_25percent_ou!B522,"AAAAAGH++R0=")</f>
        <v>#VALUE!</v>
      </c>
      <c r="AE7">
        <f>IF(Ischemia_singlenet_25percent_ou!523:523,"AAAAAGH++R4=",0)</f>
        <v>0</v>
      </c>
      <c r="AF7" t="e">
        <f>AND(Ischemia_singlenet_25percent_ou!A523,"AAAAAGH++R8=")</f>
        <v>#VALUE!</v>
      </c>
      <c r="AG7" t="e">
        <f>AND(Ischemia_singlenet_25percent_ou!B523,"AAAAAGH++SA=")</f>
        <v>#VALUE!</v>
      </c>
      <c r="AH7">
        <f>IF(Ischemia_singlenet_25percent_ou!524:524,"AAAAAGH++SE=",0)</f>
        <v>0</v>
      </c>
      <c r="AI7" t="e">
        <f>AND(Ischemia_singlenet_25percent_ou!A524,"AAAAAGH++SI=")</f>
        <v>#VALUE!</v>
      </c>
      <c r="AJ7" t="e">
        <f>AND(Ischemia_singlenet_25percent_ou!B524,"AAAAAGH++SM=")</f>
        <v>#VALUE!</v>
      </c>
      <c r="AK7">
        <f>IF(Ischemia_singlenet_25percent_ou!525:525,"AAAAAGH++SQ=",0)</f>
        <v>0</v>
      </c>
      <c r="AL7" t="e">
        <f>AND(Ischemia_singlenet_25percent_ou!A525,"AAAAAGH++SU=")</f>
        <v>#VALUE!</v>
      </c>
      <c r="AM7" t="e">
        <f>AND(Ischemia_singlenet_25percent_ou!B525,"AAAAAGH++SY=")</f>
        <v>#VALUE!</v>
      </c>
      <c r="AN7">
        <f>IF(Ischemia_singlenet_25percent_ou!526:526,"AAAAAGH++Sc=",0)</f>
        <v>0</v>
      </c>
      <c r="AO7" t="e">
        <f>AND(Ischemia_singlenet_25percent_ou!A526,"AAAAAGH++Sg=")</f>
        <v>#VALUE!</v>
      </c>
      <c r="AP7" t="e">
        <f>AND(Ischemia_singlenet_25percent_ou!B526,"AAAAAGH++Sk=")</f>
        <v>#VALUE!</v>
      </c>
      <c r="AQ7">
        <f>IF(Ischemia_singlenet_25percent_ou!527:527,"AAAAAGH++So=",0)</f>
        <v>0</v>
      </c>
      <c r="AR7" t="e">
        <f>AND(Ischemia_singlenet_25percent_ou!A527,"AAAAAGH++Ss=")</f>
        <v>#VALUE!</v>
      </c>
      <c r="AS7" t="e">
        <f>AND(Ischemia_singlenet_25percent_ou!B527,"AAAAAGH++Sw=")</f>
        <v>#VALUE!</v>
      </c>
      <c r="AT7">
        <f>IF(Ischemia_singlenet_25percent_ou!528:528,"AAAAAGH++S0=",0)</f>
        <v>0</v>
      </c>
      <c r="AU7" t="e">
        <f>AND(Ischemia_singlenet_25percent_ou!A528,"AAAAAGH++S4=")</f>
        <v>#VALUE!</v>
      </c>
      <c r="AV7" t="e">
        <f>AND(Ischemia_singlenet_25percent_ou!B528,"AAAAAGH++S8=")</f>
        <v>#VALUE!</v>
      </c>
      <c r="AW7">
        <f>IF(Ischemia_singlenet_25percent_ou!529:529,"AAAAAGH++TA=",0)</f>
        <v>0</v>
      </c>
      <c r="AX7" t="e">
        <f>AND(Ischemia_singlenet_25percent_ou!A529,"AAAAAGH++TE=")</f>
        <v>#VALUE!</v>
      </c>
      <c r="AY7" t="e">
        <f>AND(Ischemia_singlenet_25percent_ou!B529,"AAAAAGH++TI=")</f>
        <v>#VALUE!</v>
      </c>
      <c r="AZ7">
        <f>IF(Ischemia_singlenet_25percent_ou!530:530,"AAAAAGH++TM=",0)</f>
        <v>0</v>
      </c>
      <c r="BA7" t="e">
        <f>AND(Ischemia_singlenet_25percent_ou!A530,"AAAAAGH++TQ=")</f>
        <v>#VALUE!</v>
      </c>
      <c r="BB7" t="e">
        <f>AND(Ischemia_singlenet_25percent_ou!B530,"AAAAAGH++TU=")</f>
        <v>#VALUE!</v>
      </c>
      <c r="BC7">
        <f>IF(Ischemia_singlenet_25percent_ou!531:531,"AAAAAGH++TY=",0)</f>
        <v>0</v>
      </c>
      <c r="BD7" t="e">
        <f>AND(Ischemia_singlenet_25percent_ou!A531,"AAAAAGH++Tc=")</f>
        <v>#VALUE!</v>
      </c>
      <c r="BE7" t="e">
        <f>AND(Ischemia_singlenet_25percent_ou!B531,"AAAAAGH++Tg=")</f>
        <v>#VALUE!</v>
      </c>
      <c r="BF7">
        <f>IF(Ischemia_singlenet_25percent_ou!532:532,"AAAAAGH++Tk=",0)</f>
        <v>0</v>
      </c>
      <c r="BG7" t="e">
        <f>AND(Ischemia_singlenet_25percent_ou!A532,"AAAAAGH++To=")</f>
        <v>#VALUE!</v>
      </c>
      <c r="BH7" t="e">
        <f>AND(Ischemia_singlenet_25percent_ou!B532,"AAAAAGH++Ts=")</f>
        <v>#VALUE!</v>
      </c>
      <c r="BI7">
        <f>IF(Ischemia_singlenet_25percent_ou!533:533,"AAAAAGH++Tw=",0)</f>
        <v>0</v>
      </c>
      <c r="BJ7" t="e">
        <f>AND(Ischemia_singlenet_25percent_ou!A533,"AAAAAGH++T0=")</f>
        <v>#VALUE!</v>
      </c>
      <c r="BK7" t="e">
        <f>AND(Ischemia_singlenet_25percent_ou!B533,"AAAAAGH++T4=")</f>
        <v>#VALUE!</v>
      </c>
      <c r="BL7">
        <f>IF(Ischemia_singlenet_25percent_ou!534:534,"AAAAAGH++T8=",0)</f>
        <v>0</v>
      </c>
      <c r="BM7" t="e">
        <f>AND(Ischemia_singlenet_25percent_ou!A534,"AAAAAGH++UA=")</f>
        <v>#VALUE!</v>
      </c>
      <c r="BN7" t="e">
        <f>AND(Ischemia_singlenet_25percent_ou!B534,"AAAAAGH++UE=")</f>
        <v>#VALUE!</v>
      </c>
      <c r="BO7">
        <f>IF(Ischemia_singlenet_25percent_ou!535:535,"AAAAAGH++UI=",0)</f>
        <v>0</v>
      </c>
      <c r="BP7" t="e">
        <f>AND(Ischemia_singlenet_25percent_ou!A535,"AAAAAGH++UM=")</f>
        <v>#VALUE!</v>
      </c>
      <c r="BQ7" t="e">
        <f>AND(Ischemia_singlenet_25percent_ou!B535,"AAAAAGH++UQ=")</f>
        <v>#VALUE!</v>
      </c>
      <c r="BR7">
        <f>IF(Ischemia_singlenet_25percent_ou!536:536,"AAAAAGH++UU=",0)</f>
        <v>0</v>
      </c>
      <c r="BS7" t="e">
        <f>AND(Ischemia_singlenet_25percent_ou!A536,"AAAAAGH++UY=")</f>
        <v>#VALUE!</v>
      </c>
      <c r="BT7" t="e">
        <f>AND(Ischemia_singlenet_25percent_ou!B536,"AAAAAGH++Uc=")</f>
        <v>#VALUE!</v>
      </c>
      <c r="BU7">
        <f>IF(Ischemia_singlenet_25percent_ou!537:537,"AAAAAGH++Ug=",0)</f>
        <v>0</v>
      </c>
      <c r="BV7" t="e">
        <f>AND(Ischemia_singlenet_25percent_ou!A537,"AAAAAGH++Uk=")</f>
        <v>#VALUE!</v>
      </c>
      <c r="BW7" t="e">
        <f>AND(Ischemia_singlenet_25percent_ou!B537,"AAAAAGH++Uo=")</f>
        <v>#VALUE!</v>
      </c>
      <c r="BX7">
        <f>IF(Ischemia_singlenet_25percent_ou!538:538,"AAAAAGH++Us=",0)</f>
        <v>0</v>
      </c>
      <c r="BY7" t="e">
        <f>AND(Ischemia_singlenet_25percent_ou!A538,"AAAAAGH++Uw=")</f>
        <v>#VALUE!</v>
      </c>
      <c r="BZ7" t="e">
        <f>AND(Ischemia_singlenet_25percent_ou!B538,"AAAAAGH++U0=")</f>
        <v>#VALUE!</v>
      </c>
      <c r="CA7">
        <f>IF(Ischemia_singlenet_25percent_ou!539:539,"AAAAAGH++U4=",0)</f>
        <v>0</v>
      </c>
      <c r="CB7" t="e">
        <f>AND(Ischemia_singlenet_25percent_ou!A539,"AAAAAGH++U8=")</f>
        <v>#VALUE!</v>
      </c>
      <c r="CC7" t="e">
        <f>AND(Ischemia_singlenet_25percent_ou!B539,"AAAAAGH++VA=")</f>
        <v>#VALUE!</v>
      </c>
      <c r="CD7">
        <f>IF(Ischemia_singlenet_25percent_ou!540:540,"AAAAAGH++VE=",0)</f>
        <v>0</v>
      </c>
      <c r="CE7" t="e">
        <f>AND(Ischemia_singlenet_25percent_ou!A540,"AAAAAGH++VI=")</f>
        <v>#VALUE!</v>
      </c>
      <c r="CF7" t="e">
        <f>AND(Ischemia_singlenet_25percent_ou!B540,"AAAAAGH++VM=")</f>
        <v>#VALUE!</v>
      </c>
      <c r="CG7">
        <f>IF(Ischemia_singlenet_25percent_ou!541:541,"AAAAAGH++VQ=",0)</f>
        <v>0</v>
      </c>
      <c r="CH7" t="e">
        <f>AND(Ischemia_singlenet_25percent_ou!A541,"AAAAAGH++VU=")</f>
        <v>#VALUE!</v>
      </c>
      <c r="CI7" t="e">
        <f>AND(Ischemia_singlenet_25percent_ou!B541,"AAAAAGH++VY=")</f>
        <v>#VALUE!</v>
      </c>
      <c r="CJ7">
        <f>IF(Ischemia_singlenet_25percent_ou!542:542,"AAAAAGH++Vc=",0)</f>
        <v>0</v>
      </c>
      <c r="CK7" t="e">
        <f>AND(Ischemia_singlenet_25percent_ou!A542,"AAAAAGH++Vg=")</f>
        <v>#VALUE!</v>
      </c>
      <c r="CL7" t="e">
        <f>AND(Ischemia_singlenet_25percent_ou!B542,"AAAAAGH++Vk=")</f>
        <v>#VALUE!</v>
      </c>
      <c r="CM7">
        <f>IF(Ischemia_singlenet_25percent_ou!543:543,"AAAAAGH++Vo=",0)</f>
        <v>0</v>
      </c>
      <c r="CN7" t="e">
        <f>AND(Ischemia_singlenet_25percent_ou!A543,"AAAAAGH++Vs=")</f>
        <v>#VALUE!</v>
      </c>
      <c r="CO7" t="e">
        <f>AND(Ischemia_singlenet_25percent_ou!B543,"AAAAAGH++Vw=")</f>
        <v>#VALUE!</v>
      </c>
      <c r="CP7">
        <f>IF(Ischemia_singlenet_25percent_ou!544:544,"AAAAAGH++V0=",0)</f>
        <v>0</v>
      </c>
      <c r="CQ7" t="e">
        <f>AND(Ischemia_singlenet_25percent_ou!A544,"AAAAAGH++V4=")</f>
        <v>#VALUE!</v>
      </c>
      <c r="CR7" t="e">
        <f>AND(Ischemia_singlenet_25percent_ou!B544,"AAAAAGH++V8=")</f>
        <v>#VALUE!</v>
      </c>
      <c r="CS7">
        <f>IF(Ischemia_singlenet_25percent_ou!545:545,"AAAAAGH++WA=",0)</f>
        <v>0</v>
      </c>
      <c r="CT7" t="e">
        <f>AND(Ischemia_singlenet_25percent_ou!A545,"AAAAAGH++WE=")</f>
        <v>#VALUE!</v>
      </c>
      <c r="CU7" t="e">
        <f>AND(Ischemia_singlenet_25percent_ou!B545,"AAAAAGH++WI=")</f>
        <v>#VALUE!</v>
      </c>
      <c r="CV7">
        <f>IF(Ischemia_singlenet_25percent_ou!546:546,"AAAAAGH++WM=",0)</f>
        <v>0</v>
      </c>
      <c r="CW7" t="e">
        <f>AND(Ischemia_singlenet_25percent_ou!A546,"AAAAAGH++WQ=")</f>
        <v>#VALUE!</v>
      </c>
      <c r="CX7" t="e">
        <f>AND(Ischemia_singlenet_25percent_ou!B546,"AAAAAGH++WU=")</f>
        <v>#VALUE!</v>
      </c>
      <c r="CY7">
        <f>IF(Ischemia_singlenet_25percent_ou!547:547,"AAAAAGH++WY=",0)</f>
        <v>0</v>
      </c>
      <c r="CZ7" t="e">
        <f>AND(Ischemia_singlenet_25percent_ou!A547,"AAAAAGH++Wc=")</f>
        <v>#VALUE!</v>
      </c>
      <c r="DA7" t="e">
        <f>AND(Ischemia_singlenet_25percent_ou!B547,"AAAAAGH++Wg=")</f>
        <v>#VALUE!</v>
      </c>
      <c r="DB7">
        <f>IF(Ischemia_singlenet_25percent_ou!548:548,"AAAAAGH++Wk=",0)</f>
        <v>0</v>
      </c>
      <c r="DC7" t="e">
        <f>AND(Ischemia_singlenet_25percent_ou!A548,"AAAAAGH++Wo=")</f>
        <v>#VALUE!</v>
      </c>
      <c r="DD7" t="e">
        <f>AND(Ischemia_singlenet_25percent_ou!B548,"AAAAAGH++Ws=")</f>
        <v>#VALUE!</v>
      </c>
      <c r="DE7">
        <f>IF(Ischemia_singlenet_25percent_ou!549:549,"AAAAAGH++Ww=",0)</f>
        <v>0</v>
      </c>
      <c r="DF7" t="e">
        <f>AND(Ischemia_singlenet_25percent_ou!A549,"AAAAAGH++W0=")</f>
        <v>#VALUE!</v>
      </c>
      <c r="DG7" t="e">
        <f>AND(Ischemia_singlenet_25percent_ou!B549,"AAAAAGH++W4=")</f>
        <v>#VALUE!</v>
      </c>
      <c r="DH7">
        <f>IF(Ischemia_singlenet_25percent_ou!550:550,"AAAAAGH++W8=",0)</f>
        <v>0</v>
      </c>
      <c r="DI7" t="e">
        <f>AND(Ischemia_singlenet_25percent_ou!A550,"AAAAAGH++XA=")</f>
        <v>#VALUE!</v>
      </c>
      <c r="DJ7" t="e">
        <f>AND(Ischemia_singlenet_25percent_ou!B550,"AAAAAGH++XE=")</f>
        <v>#VALUE!</v>
      </c>
      <c r="DK7">
        <f>IF(Ischemia_singlenet_25percent_ou!551:551,"AAAAAGH++XI=",0)</f>
        <v>0</v>
      </c>
      <c r="DL7" t="e">
        <f>AND(Ischemia_singlenet_25percent_ou!A551,"AAAAAGH++XM=")</f>
        <v>#VALUE!</v>
      </c>
      <c r="DM7" t="e">
        <f>AND(Ischemia_singlenet_25percent_ou!B551,"AAAAAGH++XQ=")</f>
        <v>#VALUE!</v>
      </c>
      <c r="DN7">
        <f>IF(Ischemia_singlenet_25percent_ou!552:552,"AAAAAGH++XU=",0)</f>
        <v>0</v>
      </c>
      <c r="DO7" t="e">
        <f>AND(Ischemia_singlenet_25percent_ou!A552,"AAAAAGH++XY=")</f>
        <v>#VALUE!</v>
      </c>
      <c r="DP7" t="e">
        <f>AND(Ischemia_singlenet_25percent_ou!B552,"AAAAAGH++Xc=")</f>
        <v>#VALUE!</v>
      </c>
      <c r="DQ7">
        <f>IF(Ischemia_singlenet_25percent_ou!553:553,"AAAAAGH++Xg=",0)</f>
        <v>0</v>
      </c>
      <c r="DR7" t="e">
        <f>AND(Ischemia_singlenet_25percent_ou!A553,"AAAAAGH++Xk=")</f>
        <v>#VALUE!</v>
      </c>
      <c r="DS7" t="e">
        <f>AND(Ischemia_singlenet_25percent_ou!B553,"AAAAAGH++Xo=")</f>
        <v>#VALUE!</v>
      </c>
      <c r="DT7">
        <f>IF(Ischemia_singlenet_25percent_ou!554:554,"AAAAAGH++Xs=",0)</f>
        <v>0</v>
      </c>
      <c r="DU7" t="e">
        <f>AND(Ischemia_singlenet_25percent_ou!A554,"AAAAAGH++Xw=")</f>
        <v>#VALUE!</v>
      </c>
      <c r="DV7" t="e">
        <f>AND(Ischemia_singlenet_25percent_ou!B554,"AAAAAGH++X0=")</f>
        <v>#VALUE!</v>
      </c>
      <c r="DW7">
        <f>IF(Ischemia_singlenet_25percent_ou!555:555,"AAAAAGH++X4=",0)</f>
        <v>0</v>
      </c>
      <c r="DX7" t="e">
        <f>AND(Ischemia_singlenet_25percent_ou!A555,"AAAAAGH++X8=")</f>
        <v>#VALUE!</v>
      </c>
      <c r="DY7" t="e">
        <f>AND(Ischemia_singlenet_25percent_ou!B555,"AAAAAGH++YA=")</f>
        <v>#VALUE!</v>
      </c>
      <c r="DZ7">
        <f>IF(Ischemia_singlenet_25percent_ou!556:556,"AAAAAGH++YE=",0)</f>
        <v>0</v>
      </c>
      <c r="EA7" t="e">
        <f>AND(Ischemia_singlenet_25percent_ou!A556,"AAAAAGH++YI=")</f>
        <v>#VALUE!</v>
      </c>
      <c r="EB7" t="e">
        <f>AND(Ischemia_singlenet_25percent_ou!B556,"AAAAAGH++YM=")</f>
        <v>#VALUE!</v>
      </c>
      <c r="EC7">
        <f>IF(Ischemia_singlenet_25percent_ou!557:557,"AAAAAGH++YQ=",0)</f>
        <v>0</v>
      </c>
      <c r="ED7" t="e">
        <f>AND(Ischemia_singlenet_25percent_ou!A557,"AAAAAGH++YU=")</f>
        <v>#VALUE!</v>
      </c>
      <c r="EE7" t="e">
        <f>AND(Ischemia_singlenet_25percent_ou!B557,"AAAAAGH++YY=")</f>
        <v>#VALUE!</v>
      </c>
      <c r="EF7">
        <f>IF(Ischemia_singlenet_25percent_ou!558:558,"AAAAAGH++Yc=",0)</f>
        <v>0</v>
      </c>
      <c r="EG7" t="e">
        <f>AND(Ischemia_singlenet_25percent_ou!A558,"AAAAAGH++Yg=")</f>
        <v>#VALUE!</v>
      </c>
      <c r="EH7" t="e">
        <f>AND(Ischemia_singlenet_25percent_ou!B558,"AAAAAGH++Yk=")</f>
        <v>#VALUE!</v>
      </c>
      <c r="EI7">
        <f>IF(Ischemia_singlenet_25percent_ou!559:559,"AAAAAGH++Yo=",0)</f>
        <v>0</v>
      </c>
      <c r="EJ7" t="e">
        <f>AND(Ischemia_singlenet_25percent_ou!A559,"AAAAAGH++Ys=")</f>
        <v>#VALUE!</v>
      </c>
      <c r="EK7" t="e">
        <f>AND(Ischemia_singlenet_25percent_ou!B559,"AAAAAGH++Yw=")</f>
        <v>#VALUE!</v>
      </c>
      <c r="EL7">
        <f>IF(Ischemia_singlenet_25percent_ou!560:560,"AAAAAGH++Y0=",0)</f>
        <v>0</v>
      </c>
      <c r="EM7" t="e">
        <f>AND(Ischemia_singlenet_25percent_ou!A560,"AAAAAGH++Y4=")</f>
        <v>#VALUE!</v>
      </c>
      <c r="EN7" t="e">
        <f>AND(Ischemia_singlenet_25percent_ou!B560,"AAAAAGH++Y8=")</f>
        <v>#VALUE!</v>
      </c>
      <c r="EO7">
        <f>IF(Ischemia_singlenet_25percent_ou!561:561,"AAAAAGH++ZA=",0)</f>
        <v>0</v>
      </c>
      <c r="EP7" t="e">
        <f>AND(Ischemia_singlenet_25percent_ou!A561,"AAAAAGH++ZE=")</f>
        <v>#VALUE!</v>
      </c>
      <c r="EQ7" t="e">
        <f>AND(Ischemia_singlenet_25percent_ou!B561,"AAAAAGH++ZI=")</f>
        <v>#VALUE!</v>
      </c>
      <c r="ER7">
        <f>IF(Ischemia_singlenet_25percent_ou!562:562,"AAAAAGH++ZM=",0)</f>
        <v>0</v>
      </c>
      <c r="ES7" t="e">
        <f>AND(Ischemia_singlenet_25percent_ou!A562,"AAAAAGH++ZQ=")</f>
        <v>#VALUE!</v>
      </c>
      <c r="ET7" t="e">
        <f>AND(Ischemia_singlenet_25percent_ou!B562,"AAAAAGH++ZU=")</f>
        <v>#VALUE!</v>
      </c>
      <c r="EU7">
        <f>IF(Ischemia_singlenet_25percent_ou!563:563,"AAAAAGH++ZY=",0)</f>
        <v>0</v>
      </c>
      <c r="EV7" t="e">
        <f>AND(Ischemia_singlenet_25percent_ou!A563,"AAAAAGH++Zc=")</f>
        <v>#VALUE!</v>
      </c>
      <c r="EW7" t="e">
        <f>AND(Ischemia_singlenet_25percent_ou!B563,"AAAAAGH++Zg=")</f>
        <v>#VALUE!</v>
      </c>
      <c r="EX7">
        <f>IF(Ischemia_singlenet_25percent_ou!564:564,"AAAAAGH++Zk=",0)</f>
        <v>0</v>
      </c>
      <c r="EY7" t="e">
        <f>AND(Ischemia_singlenet_25percent_ou!A564,"AAAAAGH++Zo=")</f>
        <v>#VALUE!</v>
      </c>
      <c r="EZ7" t="e">
        <f>AND(Ischemia_singlenet_25percent_ou!B564,"AAAAAGH++Zs=")</f>
        <v>#VALUE!</v>
      </c>
      <c r="FA7">
        <f>IF(Ischemia_singlenet_25percent_ou!565:565,"AAAAAGH++Zw=",0)</f>
        <v>0</v>
      </c>
      <c r="FB7" t="e">
        <f>AND(Ischemia_singlenet_25percent_ou!A565,"AAAAAGH++Z0=")</f>
        <v>#VALUE!</v>
      </c>
      <c r="FC7" t="e">
        <f>AND(Ischemia_singlenet_25percent_ou!B565,"AAAAAGH++Z4=")</f>
        <v>#VALUE!</v>
      </c>
      <c r="FD7">
        <f>IF(Ischemia_singlenet_25percent_ou!566:566,"AAAAAGH++Z8=",0)</f>
        <v>0</v>
      </c>
      <c r="FE7" t="e">
        <f>AND(Ischemia_singlenet_25percent_ou!A566,"AAAAAGH++aA=")</f>
        <v>#VALUE!</v>
      </c>
      <c r="FF7" t="e">
        <f>AND(Ischemia_singlenet_25percent_ou!B566,"AAAAAGH++aE=")</f>
        <v>#VALUE!</v>
      </c>
      <c r="FG7">
        <f>IF(Ischemia_singlenet_25percent_ou!567:567,"AAAAAGH++aI=",0)</f>
        <v>0</v>
      </c>
      <c r="FH7" t="e">
        <f>AND(Ischemia_singlenet_25percent_ou!A567,"AAAAAGH++aM=")</f>
        <v>#VALUE!</v>
      </c>
      <c r="FI7" t="e">
        <f>AND(Ischemia_singlenet_25percent_ou!B567,"AAAAAGH++aQ=")</f>
        <v>#VALUE!</v>
      </c>
      <c r="FJ7">
        <f>IF(Ischemia_singlenet_25percent_ou!568:568,"AAAAAGH++aU=",0)</f>
        <v>0</v>
      </c>
      <c r="FK7" t="e">
        <f>AND(Ischemia_singlenet_25percent_ou!A568,"AAAAAGH++aY=")</f>
        <v>#VALUE!</v>
      </c>
      <c r="FL7" t="e">
        <f>AND(Ischemia_singlenet_25percent_ou!B568,"AAAAAGH++ac=")</f>
        <v>#VALUE!</v>
      </c>
      <c r="FM7">
        <f>IF(Ischemia_singlenet_25percent_ou!569:569,"AAAAAGH++ag=",0)</f>
        <v>0</v>
      </c>
      <c r="FN7" t="e">
        <f>AND(Ischemia_singlenet_25percent_ou!A569,"AAAAAGH++ak=")</f>
        <v>#VALUE!</v>
      </c>
      <c r="FO7" t="e">
        <f>AND(Ischemia_singlenet_25percent_ou!B569,"AAAAAGH++ao=")</f>
        <v>#VALUE!</v>
      </c>
      <c r="FP7">
        <f>IF(Ischemia_singlenet_25percent_ou!570:570,"AAAAAGH++as=",0)</f>
        <v>0</v>
      </c>
      <c r="FQ7" t="e">
        <f>AND(Ischemia_singlenet_25percent_ou!A570,"AAAAAGH++aw=")</f>
        <v>#VALUE!</v>
      </c>
      <c r="FR7" t="e">
        <f>AND(Ischemia_singlenet_25percent_ou!B570,"AAAAAGH++a0=")</f>
        <v>#VALUE!</v>
      </c>
      <c r="FS7">
        <f>IF(Ischemia_singlenet_25percent_ou!571:571,"AAAAAGH++a4=",0)</f>
        <v>0</v>
      </c>
      <c r="FT7" t="e">
        <f>AND(Ischemia_singlenet_25percent_ou!A571,"AAAAAGH++a8=")</f>
        <v>#VALUE!</v>
      </c>
      <c r="FU7" t="e">
        <f>AND(Ischemia_singlenet_25percent_ou!B571,"AAAAAGH++bA=")</f>
        <v>#VALUE!</v>
      </c>
      <c r="FV7">
        <f>IF(Ischemia_singlenet_25percent_ou!572:572,"AAAAAGH++bE=",0)</f>
        <v>0</v>
      </c>
      <c r="FW7" t="e">
        <f>AND(Ischemia_singlenet_25percent_ou!A572,"AAAAAGH++bI=")</f>
        <v>#VALUE!</v>
      </c>
      <c r="FX7" t="e">
        <f>AND(Ischemia_singlenet_25percent_ou!B572,"AAAAAGH++bM=")</f>
        <v>#VALUE!</v>
      </c>
      <c r="FY7">
        <f>IF(Ischemia_singlenet_25percent_ou!573:573,"AAAAAGH++bQ=",0)</f>
        <v>0</v>
      </c>
      <c r="FZ7" t="e">
        <f>AND(Ischemia_singlenet_25percent_ou!A573,"AAAAAGH++bU=")</f>
        <v>#VALUE!</v>
      </c>
      <c r="GA7" t="e">
        <f>AND(Ischemia_singlenet_25percent_ou!B573,"AAAAAGH++bY=")</f>
        <v>#VALUE!</v>
      </c>
      <c r="GB7">
        <f>IF(Ischemia_singlenet_25percent_ou!574:574,"AAAAAGH++bc=",0)</f>
        <v>0</v>
      </c>
      <c r="GC7" t="e">
        <f>AND(Ischemia_singlenet_25percent_ou!A574,"AAAAAGH++bg=")</f>
        <v>#VALUE!</v>
      </c>
      <c r="GD7" t="e">
        <f>AND(Ischemia_singlenet_25percent_ou!B574,"AAAAAGH++bk=")</f>
        <v>#VALUE!</v>
      </c>
      <c r="GE7">
        <f>IF(Ischemia_singlenet_25percent_ou!575:575,"AAAAAGH++bo=",0)</f>
        <v>0</v>
      </c>
      <c r="GF7" t="e">
        <f>AND(Ischemia_singlenet_25percent_ou!A575,"AAAAAGH++bs=")</f>
        <v>#VALUE!</v>
      </c>
      <c r="GG7" t="e">
        <f>AND(Ischemia_singlenet_25percent_ou!B575,"AAAAAGH++bw=")</f>
        <v>#VALUE!</v>
      </c>
      <c r="GH7">
        <f>IF(Ischemia_singlenet_25percent_ou!576:576,"AAAAAGH++b0=",0)</f>
        <v>0</v>
      </c>
      <c r="GI7" t="e">
        <f>AND(Ischemia_singlenet_25percent_ou!A576,"AAAAAGH++b4=")</f>
        <v>#VALUE!</v>
      </c>
      <c r="GJ7" t="e">
        <f>AND(Ischemia_singlenet_25percent_ou!B576,"AAAAAGH++b8=")</f>
        <v>#VALUE!</v>
      </c>
      <c r="GK7">
        <f>IF(Ischemia_singlenet_25percent_ou!577:577,"AAAAAGH++cA=",0)</f>
        <v>0</v>
      </c>
      <c r="GL7" t="e">
        <f>AND(Ischemia_singlenet_25percent_ou!A577,"AAAAAGH++cE=")</f>
        <v>#VALUE!</v>
      </c>
      <c r="GM7" t="e">
        <f>AND(Ischemia_singlenet_25percent_ou!B577,"AAAAAGH++cI=")</f>
        <v>#VALUE!</v>
      </c>
      <c r="GN7">
        <f>IF(Ischemia_singlenet_25percent_ou!578:578,"AAAAAGH++cM=",0)</f>
        <v>0</v>
      </c>
      <c r="GO7" t="e">
        <f>AND(Ischemia_singlenet_25percent_ou!A578,"AAAAAGH++cQ=")</f>
        <v>#VALUE!</v>
      </c>
      <c r="GP7" t="e">
        <f>AND(Ischemia_singlenet_25percent_ou!B578,"AAAAAGH++cU=")</f>
        <v>#VALUE!</v>
      </c>
      <c r="GQ7">
        <f>IF(Ischemia_singlenet_25percent_ou!579:579,"AAAAAGH++cY=",0)</f>
        <v>0</v>
      </c>
      <c r="GR7" t="e">
        <f>AND(Ischemia_singlenet_25percent_ou!A579,"AAAAAGH++cc=")</f>
        <v>#VALUE!</v>
      </c>
      <c r="GS7" t="e">
        <f>AND(Ischemia_singlenet_25percent_ou!B579,"AAAAAGH++cg=")</f>
        <v>#VALUE!</v>
      </c>
      <c r="GT7">
        <f>IF(Ischemia_singlenet_25percent_ou!580:580,"AAAAAGH++ck=",0)</f>
        <v>0</v>
      </c>
      <c r="GU7" t="e">
        <f>AND(Ischemia_singlenet_25percent_ou!A580,"AAAAAGH++co=")</f>
        <v>#VALUE!</v>
      </c>
      <c r="GV7" t="e">
        <f>AND(Ischemia_singlenet_25percent_ou!B580,"AAAAAGH++cs=")</f>
        <v>#VALUE!</v>
      </c>
      <c r="GW7">
        <f>IF(Ischemia_singlenet_25percent_ou!581:581,"AAAAAGH++cw=",0)</f>
        <v>0</v>
      </c>
      <c r="GX7" t="e">
        <f>AND(Ischemia_singlenet_25percent_ou!A581,"AAAAAGH++c0=")</f>
        <v>#VALUE!</v>
      </c>
      <c r="GY7" t="e">
        <f>AND(Ischemia_singlenet_25percent_ou!B581,"AAAAAGH++c4=")</f>
        <v>#VALUE!</v>
      </c>
      <c r="GZ7">
        <f>IF(Ischemia_singlenet_25percent_ou!582:582,"AAAAAGH++c8=",0)</f>
        <v>0</v>
      </c>
      <c r="HA7" t="e">
        <f>AND(Ischemia_singlenet_25percent_ou!A582,"AAAAAGH++dA=")</f>
        <v>#VALUE!</v>
      </c>
      <c r="HB7" t="e">
        <f>AND(Ischemia_singlenet_25percent_ou!B582,"AAAAAGH++dE=")</f>
        <v>#VALUE!</v>
      </c>
      <c r="HC7">
        <f>IF(Ischemia_singlenet_25percent_ou!583:583,"AAAAAGH++dI=",0)</f>
        <v>0</v>
      </c>
      <c r="HD7" t="e">
        <f>AND(Ischemia_singlenet_25percent_ou!A583,"AAAAAGH++dM=")</f>
        <v>#VALUE!</v>
      </c>
      <c r="HE7" t="e">
        <f>AND(Ischemia_singlenet_25percent_ou!B583,"AAAAAGH++dQ=")</f>
        <v>#VALUE!</v>
      </c>
      <c r="HF7">
        <f>IF(Ischemia_singlenet_25percent_ou!584:584,"AAAAAGH++dU=",0)</f>
        <v>0</v>
      </c>
      <c r="HG7" t="e">
        <f>AND(Ischemia_singlenet_25percent_ou!A584,"AAAAAGH++dY=")</f>
        <v>#VALUE!</v>
      </c>
      <c r="HH7" t="e">
        <f>AND(Ischemia_singlenet_25percent_ou!B584,"AAAAAGH++dc=")</f>
        <v>#VALUE!</v>
      </c>
      <c r="HI7">
        <f>IF(Ischemia_singlenet_25percent_ou!585:585,"AAAAAGH++dg=",0)</f>
        <v>0</v>
      </c>
      <c r="HJ7" t="e">
        <f>AND(Ischemia_singlenet_25percent_ou!A585,"AAAAAGH++dk=")</f>
        <v>#VALUE!</v>
      </c>
      <c r="HK7" t="e">
        <f>AND(Ischemia_singlenet_25percent_ou!B585,"AAAAAGH++do=")</f>
        <v>#VALUE!</v>
      </c>
      <c r="HL7">
        <f>IF(Ischemia_singlenet_25percent_ou!586:586,"AAAAAGH++ds=",0)</f>
        <v>0</v>
      </c>
      <c r="HM7" t="e">
        <f>AND(Ischemia_singlenet_25percent_ou!A586,"AAAAAGH++dw=")</f>
        <v>#VALUE!</v>
      </c>
      <c r="HN7" t="e">
        <f>AND(Ischemia_singlenet_25percent_ou!B586,"AAAAAGH++d0=")</f>
        <v>#VALUE!</v>
      </c>
      <c r="HO7">
        <f>IF(Ischemia_singlenet_25percent_ou!587:587,"AAAAAGH++d4=",0)</f>
        <v>0</v>
      </c>
      <c r="HP7" t="e">
        <f>AND(Ischemia_singlenet_25percent_ou!A587,"AAAAAGH++d8=")</f>
        <v>#VALUE!</v>
      </c>
      <c r="HQ7" t="e">
        <f>AND(Ischemia_singlenet_25percent_ou!B587,"AAAAAGH++eA=")</f>
        <v>#VALUE!</v>
      </c>
      <c r="HR7">
        <f>IF(Ischemia_singlenet_25percent_ou!588:588,"AAAAAGH++eE=",0)</f>
        <v>0</v>
      </c>
      <c r="HS7" t="e">
        <f>AND(Ischemia_singlenet_25percent_ou!A588,"AAAAAGH++eI=")</f>
        <v>#VALUE!</v>
      </c>
      <c r="HT7" t="e">
        <f>AND(Ischemia_singlenet_25percent_ou!B588,"AAAAAGH++eM=")</f>
        <v>#VALUE!</v>
      </c>
      <c r="HU7">
        <f>IF(Ischemia_singlenet_25percent_ou!589:589,"AAAAAGH++eQ=",0)</f>
        <v>0</v>
      </c>
      <c r="HV7" t="e">
        <f>AND(Ischemia_singlenet_25percent_ou!A589,"AAAAAGH++eU=")</f>
        <v>#VALUE!</v>
      </c>
      <c r="HW7" t="e">
        <f>AND(Ischemia_singlenet_25percent_ou!B589,"AAAAAGH++eY=")</f>
        <v>#VALUE!</v>
      </c>
      <c r="HX7">
        <f>IF(Ischemia_singlenet_25percent_ou!590:590,"AAAAAGH++ec=",0)</f>
        <v>0</v>
      </c>
      <c r="HY7" t="e">
        <f>AND(Ischemia_singlenet_25percent_ou!A590,"AAAAAGH++eg=")</f>
        <v>#VALUE!</v>
      </c>
      <c r="HZ7" t="e">
        <f>AND(Ischemia_singlenet_25percent_ou!B590,"AAAAAGH++ek=")</f>
        <v>#VALUE!</v>
      </c>
      <c r="IA7">
        <f>IF(Ischemia_singlenet_25percent_ou!591:591,"AAAAAGH++eo=",0)</f>
        <v>0</v>
      </c>
      <c r="IB7" t="e">
        <f>AND(Ischemia_singlenet_25percent_ou!A591,"AAAAAGH++es=")</f>
        <v>#VALUE!</v>
      </c>
      <c r="IC7" t="e">
        <f>AND(Ischemia_singlenet_25percent_ou!B591,"AAAAAGH++ew=")</f>
        <v>#VALUE!</v>
      </c>
      <c r="ID7">
        <f>IF(Ischemia_singlenet_25percent_ou!592:592,"AAAAAGH++e0=",0)</f>
        <v>0</v>
      </c>
      <c r="IE7" t="e">
        <f>AND(Ischemia_singlenet_25percent_ou!A592,"AAAAAGH++e4=")</f>
        <v>#VALUE!</v>
      </c>
      <c r="IF7" t="e">
        <f>AND(Ischemia_singlenet_25percent_ou!B592,"AAAAAGH++e8=")</f>
        <v>#VALUE!</v>
      </c>
      <c r="IG7">
        <f>IF(Ischemia_singlenet_25percent_ou!593:593,"AAAAAGH++fA=",0)</f>
        <v>0</v>
      </c>
      <c r="IH7" t="e">
        <f>AND(Ischemia_singlenet_25percent_ou!A593,"AAAAAGH++fE=")</f>
        <v>#VALUE!</v>
      </c>
      <c r="II7" t="e">
        <f>AND(Ischemia_singlenet_25percent_ou!B593,"AAAAAGH++fI=")</f>
        <v>#VALUE!</v>
      </c>
      <c r="IJ7">
        <f>IF(Ischemia_singlenet_25percent_ou!594:594,"AAAAAGH++fM=",0)</f>
        <v>0</v>
      </c>
      <c r="IK7" t="e">
        <f>AND(Ischemia_singlenet_25percent_ou!A594,"AAAAAGH++fQ=")</f>
        <v>#VALUE!</v>
      </c>
      <c r="IL7" t="e">
        <f>AND(Ischemia_singlenet_25percent_ou!B594,"AAAAAGH++fU=")</f>
        <v>#VALUE!</v>
      </c>
      <c r="IM7">
        <f>IF(Ischemia_singlenet_25percent_ou!595:595,"AAAAAGH++fY=",0)</f>
        <v>0</v>
      </c>
      <c r="IN7" t="e">
        <f>AND(Ischemia_singlenet_25percent_ou!A595,"AAAAAGH++fc=")</f>
        <v>#VALUE!</v>
      </c>
      <c r="IO7" t="e">
        <f>AND(Ischemia_singlenet_25percent_ou!B595,"AAAAAGH++fg=")</f>
        <v>#VALUE!</v>
      </c>
      <c r="IP7">
        <f>IF(Ischemia_singlenet_25percent_ou!596:596,"AAAAAGH++fk=",0)</f>
        <v>0</v>
      </c>
      <c r="IQ7" t="e">
        <f>AND(Ischemia_singlenet_25percent_ou!A596,"AAAAAGH++fo=")</f>
        <v>#VALUE!</v>
      </c>
      <c r="IR7" t="e">
        <f>AND(Ischemia_singlenet_25percent_ou!B596,"AAAAAGH++fs=")</f>
        <v>#VALUE!</v>
      </c>
      <c r="IS7">
        <f>IF(Ischemia_singlenet_25percent_ou!597:597,"AAAAAGH++fw=",0)</f>
        <v>0</v>
      </c>
      <c r="IT7" t="e">
        <f>AND(Ischemia_singlenet_25percent_ou!A597,"AAAAAGH++f0=")</f>
        <v>#VALUE!</v>
      </c>
      <c r="IU7" t="e">
        <f>AND(Ischemia_singlenet_25percent_ou!B597,"AAAAAGH++f4=")</f>
        <v>#VALUE!</v>
      </c>
      <c r="IV7">
        <f>IF(Ischemia_singlenet_25percent_ou!598:598,"AAAAAGH++f8=",0)</f>
        <v>0</v>
      </c>
    </row>
    <row r="8" spans="1:256">
      <c r="A8" t="e">
        <f>AND(Ischemia_singlenet_25percent_ou!A598,"AAAAAD537gA=")</f>
        <v>#VALUE!</v>
      </c>
      <c r="B8" t="e">
        <f>AND(Ischemia_singlenet_25percent_ou!B598,"AAAAAD537gE=")</f>
        <v>#VALUE!</v>
      </c>
      <c r="C8">
        <f>IF(Ischemia_singlenet_25percent_ou!599:599,"AAAAAD537gI=",0)</f>
        <v>0</v>
      </c>
      <c r="D8" t="e">
        <f>AND(Ischemia_singlenet_25percent_ou!A599,"AAAAAD537gM=")</f>
        <v>#VALUE!</v>
      </c>
      <c r="E8" t="e">
        <f>AND(Ischemia_singlenet_25percent_ou!B599,"AAAAAD537gQ=")</f>
        <v>#VALUE!</v>
      </c>
      <c r="F8">
        <f>IF(Ischemia_singlenet_25percent_ou!600:600,"AAAAAD537gU=",0)</f>
        <v>0</v>
      </c>
      <c r="G8" t="e">
        <f>AND(Ischemia_singlenet_25percent_ou!A600,"AAAAAD537gY=")</f>
        <v>#VALUE!</v>
      </c>
      <c r="H8" t="e">
        <f>AND(Ischemia_singlenet_25percent_ou!B600,"AAAAAD537gc=")</f>
        <v>#VALUE!</v>
      </c>
      <c r="I8">
        <f>IF(Ischemia_singlenet_25percent_ou!601:601,"AAAAAD537gg=",0)</f>
        <v>0</v>
      </c>
      <c r="J8" t="e">
        <f>AND(Ischemia_singlenet_25percent_ou!A601,"AAAAAD537gk=")</f>
        <v>#VALUE!</v>
      </c>
      <c r="K8" t="e">
        <f>AND(Ischemia_singlenet_25percent_ou!B601,"AAAAAD537go=")</f>
        <v>#VALUE!</v>
      </c>
      <c r="L8">
        <f>IF(Ischemia_singlenet_25percent_ou!602:602,"AAAAAD537gs=",0)</f>
        <v>0</v>
      </c>
      <c r="M8" t="e">
        <f>AND(Ischemia_singlenet_25percent_ou!A602,"AAAAAD537gw=")</f>
        <v>#VALUE!</v>
      </c>
      <c r="N8" t="e">
        <f>AND(Ischemia_singlenet_25percent_ou!B602,"AAAAAD537g0=")</f>
        <v>#VALUE!</v>
      </c>
      <c r="O8">
        <f>IF(Ischemia_singlenet_25percent_ou!603:603,"AAAAAD537g4=",0)</f>
        <v>0</v>
      </c>
      <c r="P8" t="e">
        <f>AND(Ischemia_singlenet_25percent_ou!A603,"AAAAAD537g8=")</f>
        <v>#VALUE!</v>
      </c>
      <c r="Q8" t="e">
        <f>AND(Ischemia_singlenet_25percent_ou!B603,"AAAAAD537hA=")</f>
        <v>#VALUE!</v>
      </c>
      <c r="R8">
        <f>IF(Ischemia_singlenet_25percent_ou!604:604,"AAAAAD537hE=",0)</f>
        <v>0</v>
      </c>
      <c r="S8" t="e">
        <f>AND(Ischemia_singlenet_25percent_ou!A604,"AAAAAD537hI=")</f>
        <v>#VALUE!</v>
      </c>
      <c r="T8" t="e">
        <f>AND(Ischemia_singlenet_25percent_ou!B604,"AAAAAD537hM=")</f>
        <v>#VALUE!</v>
      </c>
      <c r="U8">
        <f>IF(Ischemia_singlenet_25percent_ou!605:605,"AAAAAD537hQ=",0)</f>
        <v>0</v>
      </c>
      <c r="V8" t="e">
        <f>AND(Ischemia_singlenet_25percent_ou!A605,"AAAAAD537hU=")</f>
        <v>#VALUE!</v>
      </c>
      <c r="W8" t="e">
        <f>AND(Ischemia_singlenet_25percent_ou!B605,"AAAAAD537hY=")</f>
        <v>#VALUE!</v>
      </c>
      <c r="X8">
        <f>IF(Ischemia_singlenet_25percent_ou!606:606,"AAAAAD537hc=",0)</f>
        <v>0</v>
      </c>
      <c r="Y8" t="e">
        <f>AND(Ischemia_singlenet_25percent_ou!A606,"AAAAAD537hg=")</f>
        <v>#VALUE!</v>
      </c>
      <c r="Z8" t="e">
        <f>AND(Ischemia_singlenet_25percent_ou!B606,"AAAAAD537hk=")</f>
        <v>#VALUE!</v>
      </c>
      <c r="AA8">
        <f>IF(Ischemia_singlenet_25percent_ou!607:607,"AAAAAD537ho=",0)</f>
        <v>0</v>
      </c>
      <c r="AB8" t="e">
        <f>AND(Ischemia_singlenet_25percent_ou!A607,"AAAAAD537hs=")</f>
        <v>#VALUE!</v>
      </c>
      <c r="AC8" t="e">
        <f>AND(Ischemia_singlenet_25percent_ou!B607,"AAAAAD537hw=")</f>
        <v>#VALUE!</v>
      </c>
      <c r="AD8">
        <f>IF(Ischemia_singlenet_25percent_ou!608:608,"AAAAAD537h0=",0)</f>
        <v>0</v>
      </c>
      <c r="AE8" t="e">
        <f>AND(Ischemia_singlenet_25percent_ou!A608,"AAAAAD537h4=")</f>
        <v>#VALUE!</v>
      </c>
      <c r="AF8" t="e">
        <f>AND(Ischemia_singlenet_25percent_ou!B608,"AAAAAD537h8=")</f>
        <v>#VALUE!</v>
      </c>
      <c r="AG8">
        <f>IF(Ischemia_singlenet_25percent_ou!609:609,"AAAAAD537iA=",0)</f>
        <v>0</v>
      </c>
      <c r="AH8" t="e">
        <f>AND(Ischemia_singlenet_25percent_ou!A609,"AAAAAD537iE=")</f>
        <v>#VALUE!</v>
      </c>
      <c r="AI8" t="e">
        <f>AND(Ischemia_singlenet_25percent_ou!B609,"AAAAAD537iI=")</f>
        <v>#VALUE!</v>
      </c>
      <c r="AJ8">
        <f>IF(Ischemia_singlenet_25percent_ou!610:610,"AAAAAD537iM=",0)</f>
        <v>0</v>
      </c>
      <c r="AK8" t="e">
        <f>AND(Ischemia_singlenet_25percent_ou!A610,"AAAAAD537iQ=")</f>
        <v>#VALUE!</v>
      </c>
      <c r="AL8" t="e">
        <f>AND(Ischemia_singlenet_25percent_ou!B610,"AAAAAD537iU=")</f>
        <v>#VALUE!</v>
      </c>
      <c r="AM8">
        <f>IF(Ischemia_singlenet_25percent_ou!611:611,"AAAAAD537iY=",0)</f>
        <v>0</v>
      </c>
      <c r="AN8" t="e">
        <f>AND(Ischemia_singlenet_25percent_ou!A611,"AAAAAD537ic=")</f>
        <v>#VALUE!</v>
      </c>
      <c r="AO8" t="e">
        <f>AND(Ischemia_singlenet_25percent_ou!B611,"AAAAAD537ig=")</f>
        <v>#VALUE!</v>
      </c>
      <c r="AP8">
        <f>IF(Ischemia_singlenet_25percent_ou!612:612,"AAAAAD537ik=",0)</f>
        <v>0</v>
      </c>
      <c r="AQ8" t="e">
        <f>AND(Ischemia_singlenet_25percent_ou!A612,"AAAAAD537io=")</f>
        <v>#VALUE!</v>
      </c>
      <c r="AR8" t="e">
        <f>AND(Ischemia_singlenet_25percent_ou!B612,"AAAAAD537is=")</f>
        <v>#VALUE!</v>
      </c>
      <c r="AS8">
        <f>IF(Ischemia_singlenet_25percent_ou!613:613,"AAAAAD537iw=",0)</f>
        <v>0</v>
      </c>
      <c r="AT8" t="e">
        <f>AND(Ischemia_singlenet_25percent_ou!A613,"AAAAAD537i0=")</f>
        <v>#VALUE!</v>
      </c>
      <c r="AU8" t="e">
        <f>AND(Ischemia_singlenet_25percent_ou!B613,"AAAAAD537i4=")</f>
        <v>#VALUE!</v>
      </c>
      <c r="AV8">
        <f>IF(Ischemia_singlenet_25percent_ou!614:614,"AAAAAD537i8=",0)</f>
        <v>0</v>
      </c>
      <c r="AW8" t="e">
        <f>AND(Ischemia_singlenet_25percent_ou!A614,"AAAAAD537jA=")</f>
        <v>#VALUE!</v>
      </c>
      <c r="AX8" t="e">
        <f>AND(Ischemia_singlenet_25percent_ou!B614,"AAAAAD537jE=")</f>
        <v>#VALUE!</v>
      </c>
      <c r="AY8">
        <f>IF(Ischemia_singlenet_25percent_ou!615:615,"AAAAAD537jI=",0)</f>
        <v>0</v>
      </c>
      <c r="AZ8" t="e">
        <f>AND(Ischemia_singlenet_25percent_ou!A615,"AAAAAD537jM=")</f>
        <v>#VALUE!</v>
      </c>
      <c r="BA8" t="e">
        <f>AND(Ischemia_singlenet_25percent_ou!B615,"AAAAAD537jQ=")</f>
        <v>#VALUE!</v>
      </c>
      <c r="BB8">
        <f>IF(Ischemia_singlenet_25percent_ou!616:616,"AAAAAD537jU=",0)</f>
        <v>0</v>
      </c>
      <c r="BC8" t="e">
        <f>AND(Ischemia_singlenet_25percent_ou!A616,"AAAAAD537jY=")</f>
        <v>#VALUE!</v>
      </c>
      <c r="BD8" t="e">
        <f>AND(Ischemia_singlenet_25percent_ou!B616,"AAAAAD537jc=")</f>
        <v>#VALUE!</v>
      </c>
      <c r="BE8">
        <f>IF(Ischemia_singlenet_25percent_ou!617:617,"AAAAAD537jg=",0)</f>
        <v>0</v>
      </c>
      <c r="BF8" t="e">
        <f>AND(Ischemia_singlenet_25percent_ou!A617,"AAAAAD537jk=")</f>
        <v>#VALUE!</v>
      </c>
      <c r="BG8" t="e">
        <f>AND(Ischemia_singlenet_25percent_ou!B617,"AAAAAD537jo=")</f>
        <v>#VALUE!</v>
      </c>
      <c r="BH8">
        <f>IF(Ischemia_singlenet_25percent_ou!618:618,"AAAAAD537js=",0)</f>
        <v>0</v>
      </c>
      <c r="BI8" t="e">
        <f>AND(Ischemia_singlenet_25percent_ou!A618,"AAAAAD537jw=")</f>
        <v>#VALUE!</v>
      </c>
      <c r="BJ8" t="e">
        <f>AND(Ischemia_singlenet_25percent_ou!B618,"AAAAAD537j0=")</f>
        <v>#VALUE!</v>
      </c>
      <c r="BK8">
        <f>IF(Ischemia_singlenet_25percent_ou!619:619,"AAAAAD537j4=",0)</f>
        <v>0</v>
      </c>
      <c r="BL8" t="e">
        <f>AND(Ischemia_singlenet_25percent_ou!A619,"AAAAAD537j8=")</f>
        <v>#VALUE!</v>
      </c>
      <c r="BM8" t="e">
        <f>AND(Ischemia_singlenet_25percent_ou!B619,"AAAAAD537kA=")</f>
        <v>#VALUE!</v>
      </c>
      <c r="BN8">
        <f>IF(Ischemia_singlenet_25percent_ou!620:620,"AAAAAD537kE=",0)</f>
        <v>0</v>
      </c>
      <c r="BO8" t="e">
        <f>AND(Ischemia_singlenet_25percent_ou!A620,"AAAAAD537kI=")</f>
        <v>#VALUE!</v>
      </c>
      <c r="BP8" t="e">
        <f>AND(Ischemia_singlenet_25percent_ou!B620,"AAAAAD537kM=")</f>
        <v>#VALUE!</v>
      </c>
      <c r="BQ8">
        <f>IF(Ischemia_singlenet_25percent_ou!621:621,"AAAAAD537kQ=",0)</f>
        <v>0</v>
      </c>
      <c r="BR8" t="e">
        <f>AND(Ischemia_singlenet_25percent_ou!A621,"AAAAAD537kU=")</f>
        <v>#VALUE!</v>
      </c>
      <c r="BS8" t="e">
        <f>AND(Ischemia_singlenet_25percent_ou!B621,"AAAAAD537kY=")</f>
        <v>#VALUE!</v>
      </c>
      <c r="BT8">
        <f>IF(Ischemia_singlenet_25percent_ou!622:622,"AAAAAD537kc=",0)</f>
        <v>0</v>
      </c>
      <c r="BU8" t="e">
        <f>AND(Ischemia_singlenet_25percent_ou!A622,"AAAAAD537kg=")</f>
        <v>#VALUE!</v>
      </c>
      <c r="BV8" t="e">
        <f>AND(Ischemia_singlenet_25percent_ou!B622,"AAAAAD537kk=")</f>
        <v>#VALUE!</v>
      </c>
      <c r="BW8">
        <f>IF(Ischemia_singlenet_25percent_ou!623:623,"AAAAAD537ko=",0)</f>
        <v>0</v>
      </c>
      <c r="BX8" t="e">
        <f>AND(Ischemia_singlenet_25percent_ou!A623,"AAAAAD537ks=")</f>
        <v>#VALUE!</v>
      </c>
      <c r="BY8" t="e">
        <f>AND(Ischemia_singlenet_25percent_ou!B623,"AAAAAD537kw=")</f>
        <v>#VALUE!</v>
      </c>
      <c r="BZ8">
        <f>IF(Ischemia_singlenet_25percent_ou!624:624,"AAAAAD537k0=",0)</f>
        <v>0</v>
      </c>
      <c r="CA8" t="e">
        <f>AND(Ischemia_singlenet_25percent_ou!A624,"AAAAAD537k4=")</f>
        <v>#VALUE!</v>
      </c>
      <c r="CB8" t="e">
        <f>AND(Ischemia_singlenet_25percent_ou!B624,"AAAAAD537k8=")</f>
        <v>#VALUE!</v>
      </c>
      <c r="CC8">
        <f>IF(Ischemia_singlenet_25percent_ou!625:625,"AAAAAD537lA=",0)</f>
        <v>0</v>
      </c>
      <c r="CD8" t="e">
        <f>AND(Ischemia_singlenet_25percent_ou!A625,"AAAAAD537lE=")</f>
        <v>#VALUE!</v>
      </c>
      <c r="CE8" t="e">
        <f>AND(Ischemia_singlenet_25percent_ou!B625,"AAAAAD537lI=")</f>
        <v>#VALUE!</v>
      </c>
      <c r="CF8">
        <f>IF(Ischemia_singlenet_25percent_ou!626:626,"AAAAAD537lM=",0)</f>
        <v>0</v>
      </c>
      <c r="CG8" t="e">
        <f>AND(Ischemia_singlenet_25percent_ou!A626,"AAAAAD537lQ=")</f>
        <v>#VALUE!</v>
      </c>
      <c r="CH8" t="e">
        <f>AND(Ischemia_singlenet_25percent_ou!B626,"AAAAAD537lU=")</f>
        <v>#VALUE!</v>
      </c>
      <c r="CI8">
        <f>IF(Ischemia_singlenet_25percent_ou!627:627,"AAAAAD537lY=",0)</f>
        <v>0</v>
      </c>
      <c r="CJ8" t="e">
        <f>AND(Ischemia_singlenet_25percent_ou!A627,"AAAAAD537lc=")</f>
        <v>#VALUE!</v>
      </c>
      <c r="CK8" t="e">
        <f>AND(Ischemia_singlenet_25percent_ou!B627,"AAAAAD537lg=")</f>
        <v>#VALUE!</v>
      </c>
      <c r="CL8">
        <f>IF(Ischemia_singlenet_25percent_ou!628:628,"AAAAAD537lk=",0)</f>
        <v>0</v>
      </c>
      <c r="CM8" t="e">
        <f>AND(Ischemia_singlenet_25percent_ou!A628,"AAAAAD537lo=")</f>
        <v>#VALUE!</v>
      </c>
      <c r="CN8" t="e">
        <f>AND(Ischemia_singlenet_25percent_ou!B628,"AAAAAD537ls=")</f>
        <v>#VALUE!</v>
      </c>
      <c r="CO8">
        <f>IF(Ischemia_singlenet_25percent_ou!629:629,"AAAAAD537lw=",0)</f>
        <v>0</v>
      </c>
      <c r="CP8" t="e">
        <f>AND(Ischemia_singlenet_25percent_ou!A629,"AAAAAD537l0=")</f>
        <v>#VALUE!</v>
      </c>
      <c r="CQ8" t="e">
        <f>AND(Ischemia_singlenet_25percent_ou!B629,"AAAAAD537l4=")</f>
        <v>#VALUE!</v>
      </c>
      <c r="CR8">
        <f>IF(Ischemia_singlenet_25percent_ou!630:630,"AAAAAD537l8=",0)</f>
        <v>0</v>
      </c>
      <c r="CS8" t="e">
        <f>AND(Ischemia_singlenet_25percent_ou!A630,"AAAAAD537mA=")</f>
        <v>#VALUE!</v>
      </c>
      <c r="CT8" t="e">
        <f>AND(Ischemia_singlenet_25percent_ou!B630,"AAAAAD537mE=")</f>
        <v>#VALUE!</v>
      </c>
      <c r="CU8">
        <f>IF(Ischemia_singlenet_25percent_ou!631:631,"AAAAAD537mI=",0)</f>
        <v>0</v>
      </c>
      <c r="CV8" t="e">
        <f>AND(Ischemia_singlenet_25percent_ou!A631,"AAAAAD537mM=")</f>
        <v>#VALUE!</v>
      </c>
      <c r="CW8" t="e">
        <f>AND(Ischemia_singlenet_25percent_ou!B631,"AAAAAD537mQ=")</f>
        <v>#VALUE!</v>
      </c>
      <c r="CX8">
        <f>IF(Ischemia_singlenet_25percent_ou!632:632,"AAAAAD537mU=",0)</f>
        <v>0</v>
      </c>
      <c r="CY8" t="e">
        <f>AND(Ischemia_singlenet_25percent_ou!A632,"AAAAAD537mY=")</f>
        <v>#VALUE!</v>
      </c>
      <c r="CZ8" t="e">
        <f>AND(Ischemia_singlenet_25percent_ou!B632,"AAAAAD537mc=")</f>
        <v>#VALUE!</v>
      </c>
      <c r="DA8">
        <f>IF(Ischemia_singlenet_25percent_ou!633:633,"AAAAAD537mg=",0)</f>
        <v>0</v>
      </c>
      <c r="DB8" t="e">
        <f>AND(Ischemia_singlenet_25percent_ou!A633,"AAAAAD537mk=")</f>
        <v>#VALUE!</v>
      </c>
      <c r="DC8" t="e">
        <f>AND(Ischemia_singlenet_25percent_ou!B633,"AAAAAD537mo=")</f>
        <v>#VALUE!</v>
      </c>
      <c r="DD8">
        <f>IF(Ischemia_singlenet_25percent_ou!634:634,"AAAAAD537ms=",0)</f>
        <v>0</v>
      </c>
      <c r="DE8" t="e">
        <f>AND(Ischemia_singlenet_25percent_ou!A634,"AAAAAD537mw=")</f>
        <v>#VALUE!</v>
      </c>
      <c r="DF8" t="e">
        <f>AND(Ischemia_singlenet_25percent_ou!B634,"AAAAAD537m0=")</f>
        <v>#VALUE!</v>
      </c>
      <c r="DG8">
        <f>IF(Ischemia_singlenet_25percent_ou!635:635,"AAAAAD537m4=",0)</f>
        <v>0</v>
      </c>
      <c r="DH8" t="e">
        <f>AND(Ischemia_singlenet_25percent_ou!A635,"AAAAAD537m8=")</f>
        <v>#VALUE!</v>
      </c>
      <c r="DI8" t="e">
        <f>AND(Ischemia_singlenet_25percent_ou!B635,"AAAAAD537nA=")</f>
        <v>#VALUE!</v>
      </c>
      <c r="DJ8">
        <f>IF(Ischemia_singlenet_25percent_ou!636:636,"AAAAAD537nE=",0)</f>
        <v>0</v>
      </c>
      <c r="DK8" t="e">
        <f>AND(Ischemia_singlenet_25percent_ou!A636,"AAAAAD537nI=")</f>
        <v>#VALUE!</v>
      </c>
      <c r="DL8" t="e">
        <f>AND(Ischemia_singlenet_25percent_ou!B636,"AAAAAD537nM=")</f>
        <v>#VALUE!</v>
      </c>
      <c r="DM8">
        <f>IF(Ischemia_singlenet_25percent_ou!637:637,"AAAAAD537nQ=",0)</f>
        <v>0</v>
      </c>
      <c r="DN8" t="e">
        <f>AND(Ischemia_singlenet_25percent_ou!A637,"AAAAAD537nU=")</f>
        <v>#VALUE!</v>
      </c>
      <c r="DO8" t="e">
        <f>AND(Ischemia_singlenet_25percent_ou!B637,"AAAAAD537nY=")</f>
        <v>#VALUE!</v>
      </c>
      <c r="DP8">
        <f>IF(Ischemia_singlenet_25percent_ou!638:638,"AAAAAD537nc=",0)</f>
        <v>0</v>
      </c>
      <c r="DQ8" t="e">
        <f>AND(Ischemia_singlenet_25percent_ou!A638,"AAAAAD537ng=")</f>
        <v>#VALUE!</v>
      </c>
      <c r="DR8" t="e">
        <f>AND(Ischemia_singlenet_25percent_ou!B638,"AAAAAD537nk=")</f>
        <v>#VALUE!</v>
      </c>
      <c r="DS8">
        <f>IF(Ischemia_singlenet_25percent_ou!639:639,"AAAAAD537no=",0)</f>
        <v>0</v>
      </c>
      <c r="DT8" t="e">
        <f>AND(Ischemia_singlenet_25percent_ou!A639,"AAAAAD537ns=")</f>
        <v>#VALUE!</v>
      </c>
      <c r="DU8" t="e">
        <f>AND(Ischemia_singlenet_25percent_ou!B639,"AAAAAD537nw=")</f>
        <v>#VALUE!</v>
      </c>
      <c r="DV8">
        <f>IF(Ischemia_singlenet_25percent_ou!640:640,"AAAAAD537n0=",0)</f>
        <v>0</v>
      </c>
      <c r="DW8" t="e">
        <f>AND(Ischemia_singlenet_25percent_ou!A640,"AAAAAD537n4=")</f>
        <v>#VALUE!</v>
      </c>
      <c r="DX8" t="e">
        <f>AND(Ischemia_singlenet_25percent_ou!B640,"AAAAAD537n8=")</f>
        <v>#VALUE!</v>
      </c>
      <c r="DY8">
        <f>IF(Ischemia_singlenet_25percent_ou!641:641,"AAAAAD537oA=",0)</f>
        <v>0</v>
      </c>
      <c r="DZ8" t="e">
        <f>AND(Ischemia_singlenet_25percent_ou!A641,"AAAAAD537oE=")</f>
        <v>#VALUE!</v>
      </c>
      <c r="EA8" t="e">
        <f>AND(Ischemia_singlenet_25percent_ou!B641,"AAAAAD537oI=")</f>
        <v>#VALUE!</v>
      </c>
      <c r="EB8">
        <f>IF(Ischemia_singlenet_25percent_ou!642:642,"AAAAAD537oM=",0)</f>
        <v>0</v>
      </c>
      <c r="EC8" t="e">
        <f>AND(Ischemia_singlenet_25percent_ou!A642,"AAAAAD537oQ=")</f>
        <v>#VALUE!</v>
      </c>
      <c r="ED8" t="e">
        <f>AND(Ischemia_singlenet_25percent_ou!B642,"AAAAAD537oU=")</f>
        <v>#VALUE!</v>
      </c>
      <c r="EE8">
        <f>IF(Ischemia_singlenet_25percent_ou!643:643,"AAAAAD537oY=",0)</f>
        <v>0</v>
      </c>
      <c r="EF8" t="e">
        <f>AND(Ischemia_singlenet_25percent_ou!A643,"AAAAAD537oc=")</f>
        <v>#VALUE!</v>
      </c>
      <c r="EG8" t="e">
        <f>AND(Ischemia_singlenet_25percent_ou!B643,"AAAAAD537og=")</f>
        <v>#VALUE!</v>
      </c>
      <c r="EH8">
        <f>IF(Ischemia_singlenet_25percent_ou!644:644,"AAAAAD537ok=",0)</f>
        <v>0</v>
      </c>
      <c r="EI8" t="e">
        <f>AND(Ischemia_singlenet_25percent_ou!A644,"AAAAAD537oo=")</f>
        <v>#VALUE!</v>
      </c>
      <c r="EJ8" t="e">
        <f>AND(Ischemia_singlenet_25percent_ou!B644,"AAAAAD537os=")</f>
        <v>#VALUE!</v>
      </c>
      <c r="EK8">
        <f>IF(Ischemia_singlenet_25percent_ou!645:645,"AAAAAD537ow=",0)</f>
        <v>0</v>
      </c>
      <c r="EL8" t="e">
        <f>AND(Ischemia_singlenet_25percent_ou!A645,"AAAAAD537o0=")</f>
        <v>#VALUE!</v>
      </c>
      <c r="EM8" t="e">
        <f>AND(Ischemia_singlenet_25percent_ou!B645,"AAAAAD537o4=")</f>
        <v>#VALUE!</v>
      </c>
      <c r="EN8">
        <f>IF(Ischemia_singlenet_25percent_ou!646:646,"AAAAAD537o8=",0)</f>
        <v>0</v>
      </c>
      <c r="EO8" t="e">
        <f>AND(Ischemia_singlenet_25percent_ou!A646,"AAAAAD537pA=")</f>
        <v>#VALUE!</v>
      </c>
      <c r="EP8" t="e">
        <f>AND(Ischemia_singlenet_25percent_ou!B646,"AAAAAD537pE=")</f>
        <v>#VALUE!</v>
      </c>
      <c r="EQ8">
        <f>IF(Ischemia_singlenet_25percent_ou!647:647,"AAAAAD537pI=",0)</f>
        <v>0</v>
      </c>
      <c r="ER8" t="e">
        <f>AND(Ischemia_singlenet_25percent_ou!A647,"AAAAAD537pM=")</f>
        <v>#VALUE!</v>
      </c>
      <c r="ES8" t="e">
        <f>AND(Ischemia_singlenet_25percent_ou!B647,"AAAAAD537pQ=")</f>
        <v>#VALUE!</v>
      </c>
      <c r="ET8">
        <f>IF(Ischemia_singlenet_25percent_ou!648:648,"AAAAAD537pU=",0)</f>
        <v>0</v>
      </c>
      <c r="EU8" t="e">
        <f>AND(Ischemia_singlenet_25percent_ou!A648,"AAAAAD537pY=")</f>
        <v>#VALUE!</v>
      </c>
      <c r="EV8" t="e">
        <f>AND(Ischemia_singlenet_25percent_ou!B648,"AAAAAD537pc=")</f>
        <v>#VALUE!</v>
      </c>
      <c r="EW8">
        <f>IF(Ischemia_singlenet_25percent_ou!649:649,"AAAAAD537pg=",0)</f>
        <v>0</v>
      </c>
      <c r="EX8" t="e">
        <f>AND(Ischemia_singlenet_25percent_ou!A649,"AAAAAD537pk=")</f>
        <v>#VALUE!</v>
      </c>
      <c r="EY8" t="e">
        <f>AND(Ischemia_singlenet_25percent_ou!B649,"AAAAAD537po=")</f>
        <v>#VALUE!</v>
      </c>
      <c r="EZ8">
        <f>IF(Ischemia_singlenet_25percent_ou!650:650,"AAAAAD537ps=",0)</f>
        <v>0</v>
      </c>
      <c r="FA8" t="e">
        <f>AND(Ischemia_singlenet_25percent_ou!A650,"AAAAAD537pw=")</f>
        <v>#VALUE!</v>
      </c>
      <c r="FB8" t="e">
        <f>AND(Ischemia_singlenet_25percent_ou!B650,"AAAAAD537p0=")</f>
        <v>#VALUE!</v>
      </c>
      <c r="FC8">
        <f>IF(Ischemia_singlenet_25percent_ou!651:651,"AAAAAD537p4=",0)</f>
        <v>0</v>
      </c>
      <c r="FD8" t="e">
        <f>AND(Ischemia_singlenet_25percent_ou!A651,"AAAAAD537p8=")</f>
        <v>#VALUE!</v>
      </c>
      <c r="FE8" t="e">
        <f>AND(Ischemia_singlenet_25percent_ou!B651,"AAAAAD537qA=")</f>
        <v>#VALUE!</v>
      </c>
      <c r="FF8">
        <f>IF(Ischemia_singlenet_25percent_ou!652:652,"AAAAAD537qE=",0)</f>
        <v>0</v>
      </c>
      <c r="FG8" t="e">
        <f>AND(Ischemia_singlenet_25percent_ou!A652,"AAAAAD537qI=")</f>
        <v>#VALUE!</v>
      </c>
      <c r="FH8" t="e">
        <f>AND(Ischemia_singlenet_25percent_ou!B652,"AAAAAD537qM=")</f>
        <v>#VALUE!</v>
      </c>
      <c r="FI8">
        <f>IF(Ischemia_singlenet_25percent_ou!653:653,"AAAAAD537qQ=",0)</f>
        <v>0</v>
      </c>
      <c r="FJ8" t="e">
        <f>AND(Ischemia_singlenet_25percent_ou!A653,"AAAAAD537qU=")</f>
        <v>#VALUE!</v>
      </c>
      <c r="FK8" t="e">
        <f>AND(Ischemia_singlenet_25percent_ou!B653,"AAAAAD537qY=")</f>
        <v>#VALUE!</v>
      </c>
      <c r="FL8">
        <f>IF(Ischemia_singlenet_25percent_ou!654:654,"AAAAAD537qc=",0)</f>
        <v>0</v>
      </c>
      <c r="FM8" t="e">
        <f>AND(Ischemia_singlenet_25percent_ou!A654,"AAAAAD537qg=")</f>
        <v>#VALUE!</v>
      </c>
      <c r="FN8" t="e">
        <f>AND(Ischemia_singlenet_25percent_ou!B654,"AAAAAD537qk=")</f>
        <v>#VALUE!</v>
      </c>
      <c r="FO8">
        <f>IF(Ischemia_singlenet_25percent_ou!655:655,"AAAAAD537qo=",0)</f>
        <v>0</v>
      </c>
      <c r="FP8" t="e">
        <f>AND(Ischemia_singlenet_25percent_ou!A655,"AAAAAD537qs=")</f>
        <v>#VALUE!</v>
      </c>
      <c r="FQ8" t="e">
        <f>AND(Ischemia_singlenet_25percent_ou!B655,"AAAAAD537qw=")</f>
        <v>#VALUE!</v>
      </c>
      <c r="FR8">
        <f>IF(Ischemia_singlenet_25percent_ou!656:656,"AAAAAD537q0=",0)</f>
        <v>0</v>
      </c>
      <c r="FS8" t="e">
        <f>AND(Ischemia_singlenet_25percent_ou!A656,"AAAAAD537q4=")</f>
        <v>#VALUE!</v>
      </c>
      <c r="FT8" t="e">
        <f>AND(Ischemia_singlenet_25percent_ou!B656,"AAAAAD537q8=")</f>
        <v>#VALUE!</v>
      </c>
      <c r="FU8">
        <f>IF(Ischemia_singlenet_25percent_ou!657:657,"AAAAAD537rA=",0)</f>
        <v>0</v>
      </c>
      <c r="FV8" t="e">
        <f>AND(Ischemia_singlenet_25percent_ou!A657,"AAAAAD537rE=")</f>
        <v>#VALUE!</v>
      </c>
      <c r="FW8" t="e">
        <f>AND(Ischemia_singlenet_25percent_ou!B657,"AAAAAD537rI=")</f>
        <v>#VALUE!</v>
      </c>
      <c r="FX8">
        <f>IF(Ischemia_singlenet_25percent_ou!658:658,"AAAAAD537rM=",0)</f>
        <v>0</v>
      </c>
      <c r="FY8" t="e">
        <f>AND(Ischemia_singlenet_25percent_ou!A658,"AAAAAD537rQ=")</f>
        <v>#VALUE!</v>
      </c>
      <c r="FZ8" t="e">
        <f>AND(Ischemia_singlenet_25percent_ou!B658,"AAAAAD537rU=")</f>
        <v>#VALUE!</v>
      </c>
      <c r="GA8">
        <f>IF(Ischemia_singlenet_25percent_ou!659:659,"AAAAAD537rY=",0)</f>
        <v>0</v>
      </c>
      <c r="GB8" t="e">
        <f>AND(Ischemia_singlenet_25percent_ou!A659,"AAAAAD537rc=")</f>
        <v>#VALUE!</v>
      </c>
      <c r="GC8" t="e">
        <f>AND(Ischemia_singlenet_25percent_ou!B659,"AAAAAD537rg=")</f>
        <v>#VALUE!</v>
      </c>
      <c r="GD8">
        <f>IF(Ischemia_singlenet_25percent_ou!660:660,"AAAAAD537rk=",0)</f>
        <v>0</v>
      </c>
      <c r="GE8" t="e">
        <f>AND(Ischemia_singlenet_25percent_ou!A660,"AAAAAD537ro=")</f>
        <v>#VALUE!</v>
      </c>
      <c r="GF8" t="e">
        <f>AND(Ischemia_singlenet_25percent_ou!B660,"AAAAAD537rs=")</f>
        <v>#VALUE!</v>
      </c>
      <c r="GG8">
        <f>IF(Ischemia_singlenet_25percent_ou!661:661,"AAAAAD537rw=",0)</f>
        <v>0</v>
      </c>
      <c r="GH8" t="e">
        <f>AND(Ischemia_singlenet_25percent_ou!A661,"AAAAAD537r0=")</f>
        <v>#VALUE!</v>
      </c>
      <c r="GI8" t="e">
        <f>AND(Ischemia_singlenet_25percent_ou!B661,"AAAAAD537r4=")</f>
        <v>#VALUE!</v>
      </c>
      <c r="GJ8">
        <f>IF(Ischemia_singlenet_25percent_ou!662:662,"AAAAAD537r8=",0)</f>
        <v>0</v>
      </c>
      <c r="GK8" t="e">
        <f>AND(Ischemia_singlenet_25percent_ou!A662,"AAAAAD537sA=")</f>
        <v>#VALUE!</v>
      </c>
      <c r="GL8" t="e">
        <f>AND(Ischemia_singlenet_25percent_ou!B662,"AAAAAD537sE=")</f>
        <v>#VALUE!</v>
      </c>
      <c r="GM8">
        <f>IF(Ischemia_singlenet_25percent_ou!663:663,"AAAAAD537sI=",0)</f>
        <v>0</v>
      </c>
      <c r="GN8" t="e">
        <f>AND(Ischemia_singlenet_25percent_ou!A663,"AAAAAD537sM=")</f>
        <v>#VALUE!</v>
      </c>
      <c r="GO8" t="e">
        <f>AND(Ischemia_singlenet_25percent_ou!B663,"AAAAAD537sQ=")</f>
        <v>#VALUE!</v>
      </c>
      <c r="GP8">
        <f>IF(Ischemia_singlenet_25percent_ou!664:664,"AAAAAD537sU=",0)</f>
        <v>0</v>
      </c>
      <c r="GQ8" t="e">
        <f>AND(Ischemia_singlenet_25percent_ou!A664,"AAAAAD537sY=")</f>
        <v>#VALUE!</v>
      </c>
      <c r="GR8" t="e">
        <f>AND(Ischemia_singlenet_25percent_ou!B664,"AAAAAD537sc=")</f>
        <v>#VALUE!</v>
      </c>
      <c r="GS8">
        <f>IF(Ischemia_singlenet_25percent_ou!665:665,"AAAAAD537sg=",0)</f>
        <v>0</v>
      </c>
      <c r="GT8" t="e">
        <f>AND(Ischemia_singlenet_25percent_ou!A665,"AAAAAD537sk=")</f>
        <v>#VALUE!</v>
      </c>
      <c r="GU8" t="e">
        <f>AND(Ischemia_singlenet_25percent_ou!B665,"AAAAAD537so=")</f>
        <v>#VALUE!</v>
      </c>
      <c r="GV8">
        <f>IF(Ischemia_singlenet_25percent_ou!666:666,"AAAAAD537ss=",0)</f>
        <v>0</v>
      </c>
      <c r="GW8" t="e">
        <f>AND(Ischemia_singlenet_25percent_ou!A666,"AAAAAD537sw=")</f>
        <v>#VALUE!</v>
      </c>
      <c r="GX8" t="e">
        <f>AND(Ischemia_singlenet_25percent_ou!B666,"AAAAAD537s0=")</f>
        <v>#VALUE!</v>
      </c>
      <c r="GY8">
        <f>IF(Ischemia_singlenet_25percent_ou!667:667,"AAAAAD537s4=",0)</f>
        <v>0</v>
      </c>
      <c r="GZ8" t="e">
        <f>AND(Ischemia_singlenet_25percent_ou!A667,"AAAAAD537s8=")</f>
        <v>#VALUE!</v>
      </c>
      <c r="HA8" t="e">
        <f>AND(Ischemia_singlenet_25percent_ou!B667,"AAAAAD537tA=")</f>
        <v>#VALUE!</v>
      </c>
      <c r="HB8">
        <f>IF(Ischemia_singlenet_25percent_ou!668:668,"AAAAAD537tE=",0)</f>
        <v>0</v>
      </c>
      <c r="HC8" t="e">
        <f>AND(Ischemia_singlenet_25percent_ou!A668,"AAAAAD537tI=")</f>
        <v>#VALUE!</v>
      </c>
      <c r="HD8" t="e">
        <f>AND(Ischemia_singlenet_25percent_ou!B668,"AAAAAD537tM=")</f>
        <v>#VALUE!</v>
      </c>
      <c r="HE8">
        <f>IF(Ischemia_singlenet_25percent_ou!669:669,"AAAAAD537tQ=",0)</f>
        <v>0</v>
      </c>
      <c r="HF8" t="e">
        <f>AND(Ischemia_singlenet_25percent_ou!A669,"AAAAAD537tU=")</f>
        <v>#VALUE!</v>
      </c>
      <c r="HG8" t="e">
        <f>AND(Ischemia_singlenet_25percent_ou!B669,"AAAAAD537tY=")</f>
        <v>#VALUE!</v>
      </c>
      <c r="HH8">
        <f>IF(Ischemia_singlenet_25percent_ou!670:670,"AAAAAD537tc=",0)</f>
        <v>0</v>
      </c>
      <c r="HI8" t="e">
        <f>AND(Ischemia_singlenet_25percent_ou!A670,"AAAAAD537tg=")</f>
        <v>#VALUE!</v>
      </c>
      <c r="HJ8" t="e">
        <f>AND(Ischemia_singlenet_25percent_ou!B670,"AAAAAD537tk=")</f>
        <v>#VALUE!</v>
      </c>
      <c r="HK8">
        <f>IF(Ischemia_singlenet_25percent_ou!671:671,"AAAAAD537to=",0)</f>
        <v>0</v>
      </c>
      <c r="HL8" t="e">
        <f>AND(Ischemia_singlenet_25percent_ou!A671,"AAAAAD537ts=")</f>
        <v>#VALUE!</v>
      </c>
      <c r="HM8" t="e">
        <f>AND(Ischemia_singlenet_25percent_ou!B671,"AAAAAD537tw=")</f>
        <v>#VALUE!</v>
      </c>
      <c r="HN8">
        <f>IF(Ischemia_singlenet_25percent_ou!672:672,"AAAAAD537t0=",0)</f>
        <v>0</v>
      </c>
      <c r="HO8" t="e">
        <f>AND(Ischemia_singlenet_25percent_ou!A672,"AAAAAD537t4=")</f>
        <v>#VALUE!</v>
      </c>
      <c r="HP8" t="e">
        <f>AND(Ischemia_singlenet_25percent_ou!B672,"AAAAAD537t8=")</f>
        <v>#VALUE!</v>
      </c>
      <c r="HQ8">
        <f>IF(Ischemia_singlenet_25percent_ou!673:673,"AAAAAD537uA=",0)</f>
        <v>0</v>
      </c>
      <c r="HR8" t="e">
        <f>AND(Ischemia_singlenet_25percent_ou!A673,"AAAAAD537uE=")</f>
        <v>#VALUE!</v>
      </c>
      <c r="HS8" t="e">
        <f>AND(Ischemia_singlenet_25percent_ou!B673,"AAAAAD537uI=")</f>
        <v>#VALUE!</v>
      </c>
      <c r="HT8">
        <f>IF(Ischemia_singlenet_25percent_ou!674:674,"AAAAAD537uM=",0)</f>
        <v>0</v>
      </c>
      <c r="HU8" t="e">
        <f>AND(Ischemia_singlenet_25percent_ou!A674,"AAAAAD537uQ=")</f>
        <v>#VALUE!</v>
      </c>
      <c r="HV8" t="e">
        <f>AND(Ischemia_singlenet_25percent_ou!B674,"AAAAAD537uU=")</f>
        <v>#VALUE!</v>
      </c>
      <c r="HW8">
        <f>IF(Ischemia_singlenet_25percent_ou!675:675,"AAAAAD537uY=",0)</f>
        <v>0</v>
      </c>
      <c r="HX8" t="e">
        <f>AND(Ischemia_singlenet_25percent_ou!A675,"AAAAAD537uc=")</f>
        <v>#VALUE!</v>
      </c>
      <c r="HY8" t="e">
        <f>AND(Ischemia_singlenet_25percent_ou!B675,"AAAAAD537ug=")</f>
        <v>#VALUE!</v>
      </c>
      <c r="HZ8">
        <f>IF(Ischemia_singlenet_25percent_ou!676:676,"AAAAAD537uk=",0)</f>
        <v>0</v>
      </c>
      <c r="IA8" t="e">
        <f>AND(Ischemia_singlenet_25percent_ou!A676,"AAAAAD537uo=")</f>
        <v>#VALUE!</v>
      </c>
      <c r="IB8" t="e">
        <f>AND(Ischemia_singlenet_25percent_ou!B676,"AAAAAD537us=")</f>
        <v>#VALUE!</v>
      </c>
      <c r="IC8">
        <f>IF(Ischemia_singlenet_25percent_ou!677:677,"AAAAAD537uw=",0)</f>
        <v>0</v>
      </c>
      <c r="ID8" t="e">
        <f>AND(Ischemia_singlenet_25percent_ou!A677,"AAAAAD537u0=")</f>
        <v>#VALUE!</v>
      </c>
      <c r="IE8" t="e">
        <f>AND(Ischemia_singlenet_25percent_ou!B677,"AAAAAD537u4=")</f>
        <v>#VALUE!</v>
      </c>
      <c r="IF8">
        <f>IF(Ischemia_singlenet_25percent_ou!678:678,"AAAAAD537u8=",0)</f>
        <v>0</v>
      </c>
      <c r="IG8" t="e">
        <f>AND(Ischemia_singlenet_25percent_ou!A678,"AAAAAD537vA=")</f>
        <v>#VALUE!</v>
      </c>
      <c r="IH8" t="e">
        <f>AND(Ischemia_singlenet_25percent_ou!B678,"AAAAAD537vE=")</f>
        <v>#VALUE!</v>
      </c>
      <c r="II8">
        <f>IF(Ischemia_singlenet_25percent_ou!679:679,"AAAAAD537vI=",0)</f>
        <v>0</v>
      </c>
      <c r="IJ8" t="e">
        <f>AND(Ischemia_singlenet_25percent_ou!A679,"AAAAAD537vM=")</f>
        <v>#VALUE!</v>
      </c>
      <c r="IK8" t="e">
        <f>AND(Ischemia_singlenet_25percent_ou!B679,"AAAAAD537vQ=")</f>
        <v>#VALUE!</v>
      </c>
      <c r="IL8">
        <f>IF(Ischemia_singlenet_25percent_ou!680:680,"AAAAAD537vU=",0)</f>
        <v>0</v>
      </c>
      <c r="IM8" t="e">
        <f>AND(Ischemia_singlenet_25percent_ou!A680,"AAAAAD537vY=")</f>
        <v>#VALUE!</v>
      </c>
      <c r="IN8" t="e">
        <f>AND(Ischemia_singlenet_25percent_ou!B680,"AAAAAD537vc=")</f>
        <v>#VALUE!</v>
      </c>
      <c r="IO8">
        <f>IF(Ischemia_singlenet_25percent_ou!681:681,"AAAAAD537vg=",0)</f>
        <v>0</v>
      </c>
      <c r="IP8" t="e">
        <f>AND(Ischemia_singlenet_25percent_ou!A681,"AAAAAD537vk=")</f>
        <v>#VALUE!</v>
      </c>
      <c r="IQ8" t="e">
        <f>AND(Ischemia_singlenet_25percent_ou!B681,"AAAAAD537vo=")</f>
        <v>#VALUE!</v>
      </c>
      <c r="IR8">
        <f>IF(Ischemia_singlenet_25percent_ou!682:682,"AAAAAD537vs=",0)</f>
        <v>0</v>
      </c>
      <c r="IS8" t="e">
        <f>AND(Ischemia_singlenet_25percent_ou!A682,"AAAAAD537vw=")</f>
        <v>#VALUE!</v>
      </c>
      <c r="IT8" t="e">
        <f>AND(Ischemia_singlenet_25percent_ou!B682,"AAAAAD537v0=")</f>
        <v>#VALUE!</v>
      </c>
      <c r="IU8">
        <f>IF(Ischemia_singlenet_25percent_ou!683:683,"AAAAAD537v4=",0)</f>
        <v>0</v>
      </c>
      <c r="IV8" t="e">
        <f>AND(Ischemia_singlenet_25percent_ou!A683,"AAAAAD537v8=")</f>
        <v>#VALUE!</v>
      </c>
    </row>
    <row r="9" spans="1:256">
      <c r="A9" t="e">
        <f>AND(Ischemia_singlenet_25percent_ou!B683,"AAAAAH/lvwA=")</f>
        <v>#VALUE!</v>
      </c>
      <c r="B9" t="e">
        <f>IF(Ischemia_singlenet_25percent_ou!684:684,"AAAAAH/lvwE=",0)</f>
        <v>#VALUE!</v>
      </c>
      <c r="C9" t="e">
        <f>AND(Ischemia_singlenet_25percent_ou!A684,"AAAAAH/lvwI=")</f>
        <v>#VALUE!</v>
      </c>
      <c r="D9" t="e">
        <f>AND(Ischemia_singlenet_25percent_ou!B684,"AAAAAH/lvwM=")</f>
        <v>#VALUE!</v>
      </c>
      <c r="E9">
        <f>IF(Ischemia_singlenet_25percent_ou!685:685,"AAAAAH/lvwQ=",0)</f>
        <v>0</v>
      </c>
      <c r="F9" t="e">
        <f>AND(Ischemia_singlenet_25percent_ou!A685,"AAAAAH/lvwU=")</f>
        <v>#VALUE!</v>
      </c>
      <c r="G9" t="e">
        <f>AND(Ischemia_singlenet_25percent_ou!B685,"AAAAAH/lvwY=")</f>
        <v>#VALUE!</v>
      </c>
      <c r="H9">
        <f>IF(Ischemia_singlenet_25percent_ou!686:686,"AAAAAH/lvwc=",0)</f>
        <v>0</v>
      </c>
      <c r="I9" t="e">
        <f>AND(Ischemia_singlenet_25percent_ou!A686,"AAAAAH/lvwg=")</f>
        <v>#VALUE!</v>
      </c>
      <c r="J9" t="e">
        <f>AND(Ischemia_singlenet_25percent_ou!B686,"AAAAAH/lvwk=")</f>
        <v>#VALUE!</v>
      </c>
      <c r="K9">
        <f>IF(Ischemia_singlenet_25percent_ou!687:687,"AAAAAH/lvwo=",0)</f>
        <v>0</v>
      </c>
      <c r="L9" t="e">
        <f>AND(Ischemia_singlenet_25percent_ou!A687,"AAAAAH/lvws=")</f>
        <v>#VALUE!</v>
      </c>
      <c r="M9" t="e">
        <f>AND(Ischemia_singlenet_25percent_ou!B687,"AAAAAH/lvww=")</f>
        <v>#VALUE!</v>
      </c>
      <c r="N9">
        <f>IF(Ischemia_singlenet_25percent_ou!688:688,"AAAAAH/lvw0=",0)</f>
        <v>0</v>
      </c>
      <c r="O9" t="e">
        <f>AND(Ischemia_singlenet_25percent_ou!A688,"AAAAAH/lvw4=")</f>
        <v>#VALUE!</v>
      </c>
      <c r="P9" t="e">
        <f>AND(Ischemia_singlenet_25percent_ou!B688,"AAAAAH/lvw8=")</f>
        <v>#VALUE!</v>
      </c>
      <c r="Q9">
        <f>IF(Ischemia_singlenet_25percent_ou!689:689,"AAAAAH/lvxA=",0)</f>
        <v>0</v>
      </c>
      <c r="R9" t="e">
        <f>AND(Ischemia_singlenet_25percent_ou!A689,"AAAAAH/lvxE=")</f>
        <v>#VALUE!</v>
      </c>
      <c r="S9" t="e">
        <f>AND(Ischemia_singlenet_25percent_ou!B689,"AAAAAH/lvxI=")</f>
        <v>#VALUE!</v>
      </c>
      <c r="T9">
        <f>IF(Ischemia_singlenet_25percent_ou!690:690,"AAAAAH/lvxM=",0)</f>
        <v>0</v>
      </c>
      <c r="U9" t="e">
        <f>AND(Ischemia_singlenet_25percent_ou!A690,"AAAAAH/lvxQ=")</f>
        <v>#VALUE!</v>
      </c>
      <c r="V9" t="e">
        <f>AND(Ischemia_singlenet_25percent_ou!B690,"AAAAAH/lvxU=")</f>
        <v>#VALUE!</v>
      </c>
      <c r="W9">
        <f>IF(Ischemia_singlenet_25percent_ou!691:691,"AAAAAH/lvxY=",0)</f>
        <v>0</v>
      </c>
      <c r="X9" t="e">
        <f>AND(Ischemia_singlenet_25percent_ou!A691,"AAAAAH/lvxc=")</f>
        <v>#VALUE!</v>
      </c>
      <c r="Y9" t="e">
        <f>AND(Ischemia_singlenet_25percent_ou!B691,"AAAAAH/lvxg=")</f>
        <v>#VALUE!</v>
      </c>
      <c r="Z9">
        <f>IF(Ischemia_singlenet_25percent_ou!692:692,"AAAAAH/lvxk=",0)</f>
        <v>0</v>
      </c>
      <c r="AA9" t="e">
        <f>AND(Ischemia_singlenet_25percent_ou!A692,"AAAAAH/lvxo=")</f>
        <v>#VALUE!</v>
      </c>
      <c r="AB9" t="e">
        <f>AND(Ischemia_singlenet_25percent_ou!B692,"AAAAAH/lvxs=")</f>
        <v>#VALUE!</v>
      </c>
      <c r="AC9">
        <f>IF(Ischemia_singlenet_25percent_ou!693:693,"AAAAAH/lvxw=",0)</f>
        <v>0</v>
      </c>
      <c r="AD9" t="e">
        <f>AND(Ischemia_singlenet_25percent_ou!A693,"AAAAAH/lvx0=")</f>
        <v>#VALUE!</v>
      </c>
      <c r="AE9" t="e">
        <f>AND(Ischemia_singlenet_25percent_ou!B693,"AAAAAH/lvx4=")</f>
        <v>#VALUE!</v>
      </c>
      <c r="AF9">
        <f>IF(Ischemia_singlenet_25percent_ou!694:694,"AAAAAH/lvx8=",0)</f>
        <v>0</v>
      </c>
      <c r="AG9" t="e">
        <f>AND(Ischemia_singlenet_25percent_ou!A694,"AAAAAH/lvyA=")</f>
        <v>#VALUE!</v>
      </c>
      <c r="AH9" t="e">
        <f>AND(Ischemia_singlenet_25percent_ou!B694,"AAAAAH/lvyE=")</f>
        <v>#VALUE!</v>
      </c>
      <c r="AI9">
        <f>IF(Ischemia_singlenet_25percent_ou!695:695,"AAAAAH/lvyI=",0)</f>
        <v>0</v>
      </c>
      <c r="AJ9" t="e">
        <f>AND(Ischemia_singlenet_25percent_ou!A695,"AAAAAH/lvyM=")</f>
        <v>#VALUE!</v>
      </c>
      <c r="AK9" t="e">
        <f>AND(Ischemia_singlenet_25percent_ou!B695,"AAAAAH/lvyQ=")</f>
        <v>#VALUE!</v>
      </c>
      <c r="AL9">
        <f>IF(Ischemia_singlenet_25percent_ou!696:696,"AAAAAH/lvyU=",0)</f>
        <v>0</v>
      </c>
      <c r="AM9" t="e">
        <f>AND(Ischemia_singlenet_25percent_ou!A696,"AAAAAH/lvyY=")</f>
        <v>#VALUE!</v>
      </c>
      <c r="AN9" t="e">
        <f>AND(Ischemia_singlenet_25percent_ou!B696,"AAAAAH/lvyc=")</f>
        <v>#VALUE!</v>
      </c>
      <c r="AO9">
        <f>IF(Ischemia_singlenet_25percent_ou!697:697,"AAAAAH/lvyg=",0)</f>
        <v>0</v>
      </c>
      <c r="AP9" t="e">
        <f>AND(Ischemia_singlenet_25percent_ou!A697,"AAAAAH/lvyk=")</f>
        <v>#VALUE!</v>
      </c>
      <c r="AQ9" t="e">
        <f>AND(Ischemia_singlenet_25percent_ou!B697,"AAAAAH/lvyo=")</f>
        <v>#VALUE!</v>
      </c>
      <c r="AR9">
        <f>IF(Ischemia_singlenet_25percent_ou!698:698,"AAAAAH/lvys=",0)</f>
        <v>0</v>
      </c>
      <c r="AS9" t="e">
        <f>AND(Ischemia_singlenet_25percent_ou!A698,"AAAAAH/lvyw=")</f>
        <v>#VALUE!</v>
      </c>
      <c r="AT9" t="e">
        <f>AND(Ischemia_singlenet_25percent_ou!B698,"AAAAAH/lvy0=")</f>
        <v>#VALUE!</v>
      </c>
      <c r="AU9">
        <f>IF(Ischemia_singlenet_25percent_ou!699:699,"AAAAAH/lvy4=",0)</f>
        <v>0</v>
      </c>
      <c r="AV9" t="e">
        <f>AND(Ischemia_singlenet_25percent_ou!A699,"AAAAAH/lvy8=")</f>
        <v>#VALUE!</v>
      </c>
      <c r="AW9" t="e">
        <f>AND(Ischemia_singlenet_25percent_ou!B699,"AAAAAH/lvzA=")</f>
        <v>#VALUE!</v>
      </c>
      <c r="AX9">
        <f>IF(Ischemia_singlenet_25percent_ou!700:700,"AAAAAH/lvzE=",0)</f>
        <v>0</v>
      </c>
      <c r="AY9" t="e">
        <f>AND(Ischemia_singlenet_25percent_ou!A700,"AAAAAH/lvzI=")</f>
        <v>#VALUE!</v>
      </c>
      <c r="AZ9" t="e">
        <f>AND(Ischemia_singlenet_25percent_ou!B700,"AAAAAH/lvzM=")</f>
        <v>#VALUE!</v>
      </c>
      <c r="BA9">
        <f>IF(Ischemia_singlenet_25percent_ou!701:701,"AAAAAH/lvzQ=",0)</f>
        <v>0</v>
      </c>
      <c r="BB9" t="e">
        <f>AND(Ischemia_singlenet_25percent_ou!A701,"AAAAAH/lvzU=")</f>
        <v>#VALUE!</v>
      </c>
      <c r="BC9" t="e">
        <f>AND(Ischemia_singlenet_25percent_ou!B701,"AAAAAH/lvzY=")</f>
        <v>#VALUE!</v>
      </c>
      <c r="BD9">
        <f>IF(Ischemia_singlenet_25percent_ou!702:702,"AAAAAH/lvzc=",0)</f>
        <v>0</v>
      </c>
      <c r="BE9" t="e">
        <f>AND(Ischemia_singlenet_25percent_ou!A702,"AAAAAH/lvzg=")</f>
        <v>#VALUE!</v>
      </c>
      <c r="BF9" t="e">
        <f>AND(Ischemia_singlenet_25percent_ou!B702,"AAAAAH/lvzk=")</f>
        <v>#VALUE!</v>
      </c>
      <c r="BG9">
        <f>IF(Ischemia_singlenet_25percent_ou!703:703,"AAAAAH/lvzo=",0)</f>
        <v>0</v>
      </c>
      <c r="BH9" t="e">
        <f>AND(Ischemia_singlenet_25percent_ou!A703,"AAAAAH/lvzs=")</f>
        <v>#VALUE!</v>
      </c>
      <c r="BI9" t="e">
        <f>AND(Ischemia_singlenet_25percent_ou!B703,"AAAAAH/lvzw=")</f>
        <v>#VALUE!</v>
      </c>
      <c r="BJ9">
        <f>IF(Ischemia_singlenet_25percent_ou!704:704,"AAAAAH/lvz0=",0)</f>
        <v>0</v>
      </c>
      <c r="BK9" t="e">
        <f>AND(Ischemia_singlenet_25percent_ou!A704,"AAAAAH/lvz4=")</f>
        <v>#VALUE!</v>
      </c>
      <c r="BL9" t="e">
        <f>AND(Ischemia_singlenet_25percent_ou!B704,"AAAAAH/lvz8=")</f>
        <v>#VALUE!</v>
      </c>
      <c r="BM9">
        <f>IF(Ischemia_singlenet_25percent_ou!705:705,"AAAAAH/lv0A=",0)</f>
        <v>0</v>
      </c>
      <c r="BN9" t="e">
        <f>AND(Ischemia_singlenet_25percent_ou!A705,"AAAAAH/lv0E=")</f>
        <v>#VALUE!</v>
      </c>
      <c r="BO9" t="e">
        <f>AND(Ischemia_singlenet_25percent_ou!B705,"AAAAAH/lv0I=")</f>
        <v>#VALUE!</v>
      </c>
      <c r="BP9">
        <f>IF(Ischemia_singlenet_25percent_ou!706:706,"AAAAAH/lv0M=",0)</f>
        <v>0</v>
      </c>
      <c r="BQ9" t="e">
        <f>AND(Ischemia_singlenet_25percent_ou!A706,"AAAAAH/lv0Q=")</f>
        <v>#VALUE!</v>
      </c>
      <c r="BR9" t="e">
        <f>AND(Ischemia_singlenet_25percent_ou!B706,"AAAAAH/lv0U=")</f>
        <v>#VALUE!</v>
      </c>
      <c r="BS9">
        <f>IF(Ischemia_singlenet_25percent_ou!707:707,"AAAAAH/lv0Y=",0)</f>
        <v>0</v>
      </c>
      <c r="BT9" t="e">
        <f>AND(Ischemia_singlenet_25percent_ou!A707,"AAAAAH/lv0c=")</f>
        <v>#VALUE!</v>
      </c>
      <c r="BU9" t="e">
        <f>AND(Ischemia_singlenet_25percent_ou!B707,"AAAAAH/lv0g=")</f>
        <v>#VALUE!</v>
      </c>
      <c r="BV9">
        <f>IF(Ischemia_singlenet_25percent_ou!708:708,"AAAAAH/lv0k=",0)</f>
        <v>0</v>
      </c>
      <c r="BW9" t="e">
        <f>AND(Ischemia_singlenet_25percent_ou!A708,"AAAAAH/lv0o=")</f>
        <v>#VALUE!</v>
      </c>
      <c r="BX9" t="e">
        <f>AND(Ischemia_singlenet_25percent_ou!B708,"AAAAAH/lv0s=")</f>
        <v>#VALUE!</v>
      </c>
      <c r="BY9">
        <f>IF(Ischemia_singlenet_25percent_ou!709:709,"AAAAAH/lv0w=",0)</f>
        <v>0</v>
      </c>
      <c r="BZ9" t="e">
        <f>AND(Ischemia_singlenet_25percent_ou!A709,"AAAAAH/lv00=")</f>
        <v>#VALUE!</v>
      </c>
      <c r="CA9" t="e">
        <f>AND(Ischemia_singlenet_25percent_ou!B709,"AAAAAH/lv04=")</f>
        <v>#VALUE!</v>
      </c>
      <c r="CB9">
        <f>IF(Ischemia_singlenet_25percent_ou!710:710,"AAAAAH/lv08=",0)</f>
        <v>0</v>
      </c>
      <c r="CC9" t="e">
        <f>AND(Ischemia_singlenet_25percent_ou!A710,"AAAAAH/lv1A=")</f>
        <v>#VALUE!</v>
      </c>
      <c r="CD9" t="e">
        <f>AND(Ischemia_singlenet_25percent_ou!B710,"AAAAAH/lv1E=")</f>
        <v>#VALUE!</v>
      </c>
      <c r="CE9">
        <f>IF(Ischemia_singlenet_25percent_ou!711:711,"AAAAAH/lv1I=",0)</f>
        <v>0</v>
      </c>
      <c r="CF9" t="e">
        <f>AND(Ischemia_singlenet_25percent_ou!A711,"AAAAAH/lv1M=")</f>
        <v>#VALUE!</v>
      </c>
      <c r="CG9" t="e">
        <f>AND(Ischemia_singlenet_25percent_ou!B711,"AAAAAH/lv1Q=")</f>
        <v>#VALUE!</v>
      </c>
      <c r="CH9">
        <f>IF(Ischemia_singlenet_25percent_ou!712:712,"AAAAAH/lv1U=",0)</f>
        <v>0</v>
      </c>
      <c r="CI9" t="e">
        <f>AND(Ischemia_singlenet_25percent_ou!A712,"AAAAAH/lv1Y=")</f>
        <v>#VALUE!</v>
      </c>
      <c r="CJ9" t="e">
        <f>AND(Ischemia_singlenet_25percent_ou!B712,"AAAAAH/lv1c=")</f>
        <v>#VALUE!</v>
      </c>
      <c r="CK9">
        <f>IF(Ischemia_singlenet_25percent_ou!713:713,"AAAAAH/lv1g=",0)</f>
        <v>0</v>
      </c>
      <c r="CL9" t="e">
        <f>AND(Ischemia_singlenet_25percent_ou!A713,"AAAAAH/lv1k=")</f>
        <v>#VALUE!</v>
      </c>
      <c r="CM9" t="e">
        <f>AND(Ischemia_singlenet_25percent_ou!B713,"AAAAAH/lv1o=")</f>
        <v>#VALUE!</v>
      </c>
      <c r="CN9">
        <f>IF(Ischemia_singlenet_25percent_ou!714:714,"AAAAAH/lv1s=",0)</f>
        <v>0</v>
      </c>
      <c r="CO9" t="e">
        <f>AND(Ischemia_singlenet_25percent_ou!A714,"AAAAAH/lv1w=")</f>
        <v>#VALUE!</v>
      </c>
      <c r="CP9" t="e">
        <f>AND(Ischemia_singlenet_25percent_ou!B714,"AAAAAH/lv10=")</f>
        <v>#VALUE!</v>
      </c>
      <c r="CQ9">
        <f>IF(Ischemia_singlenet_25percent_ou!715:715,"AAAAAH/lv14=",0)</f>
        <v>0</v>
      </c>
      <c r="CR9" t="e">
        <f>AND(Ischemia_singlenet_25percent_ou!A715,"AAAAAH/lv18=")</f>
        <v>#VALUE!</v>
      </c>
      <c r="CS9" t="e">
        <f>AND(Ischemia_singlenet_25percent_ou!B715,"AAAAAH/lv2A=")</f>
        <v>#VALUE!</v>
      </c>
      <c r="CT9">
        <f>IF(Ischemia_singlenet_25percent_ou!716:716,"AAAAAH/lv2E=",0)</f>
        <v>0</v>
      </c>
      <c r="CU9" t="e">
        <f>AND(Ischemia_singlenet_25percent_ou!A716,"AAAAAH/lv2I=")</f>
        <v>#VALUE!</v>
      </c>
      <c r="CV9" t="e">
        <f>AND(Ischemia_singlenet_25percent_ou!B716,"AAAAAH/lv2M=")</f>
        <v>#VALUE!</v>
      </c>
      <c r="CW9">
        <f>IF(Ischemia_singlenet_25percent_ou!717:717,"AAAAAH/lv2Q=",0)</f>
        <v>0</v>
      </c>
      <c r="CX9" t="e">
        <f>AND(Ischemia_singlenet_25percent_ou!A717,"AAAAAH/lv2U=")</f>
        <v>#VALUE!</v>
      </c>
      <c r="CY9" t="e">
        <f>AND(Ischemia_singlenet_25percent_ou!B717,"AAAAAH/lv2Y=")</f>
        <v>#VALUE!</v>
      </c>
      <c r="CZ9">
        <f>IF(Ischemia_singlenet_25percent_ou!718:718,"AAAAAH/lv2c=",0)</f>
        <v>0</v>
      </c>
      <c r="DA9" t="e">
        <f>AND(Ischemia_singlenet_25percent_ou!A718,"AAAAAH/lv2g=")</f>
        <v>#VALUE!</v>
      </c>
      <c r="DB9" t="e">
        <f>AND(Ischemia_singlenet_25percent_ou!B718,"AAAAAH/lv2k=")</f>
        <v>#VALUE!</v>
      </c>
      <c r="DC9">
        <f>IF(Ischemia_singlenet_25percent_ou!719:719,"AAAAAH/lv2o=",0)</f>
        <v>0</v>
      </c>
      <c r="DD9" t="e">
        <f>AND(Ischemia_singlenet_25percent_ou!A719,"AAAAAH/lv2s=")</f>
        <v>#VALUE!</v>
      </c>
      <c r="DE9" t="e">
        <f>AND(Ischemia_singlenet_25percent_ou!B719,"AAAAAH/lv2w=")</f>
        <v>#VALUE!</v>
      </c>
      <c r="DF9">
        <f>IF(Ischemia_singlenet_25percent_ou!720:720,"AAAAAH/lv20=",0)</f>
        <v>0</v>
      </c>
      <c r="DG9" t="e">
        <f>AND(Ischemia_singlenet_25percent_ou!A720,"AAAAAH/lv24=")</f>
        <v>#VALUE!</v>
      </c>
      <c r="DH9" t="e">
        <f>AND(Ischemia_singlenet_25percent_ou!B720,"AAAAAH/lv28=")</f>
        <v>#VALUE!</v>
      </c>
      <c r="DI9">
        <f>IF(Ischemia_singlenet_25percent_ou!721:721,"AAAAAH/lv3A=",0)</f>
        <v>0</v>
      </c>
      <c r="DJ9" t="e">
        <f>AND(Ischemia_singlenet_25percent_ou!A721,"AAAAAH/lv3E=")</f>
        <v>#VALUE!</v>
      </c>
      <c r="DK9" t="e">
        <f>AND(Ischemia_singlenet_25percent_ou!B721,"AAAAAH/lv3I=")</f>
        <v>#VALUE!</v>
      </c>
      <c r="DL9">
        <f>IF(Ischemia_singlenet_25percent_ou!722:722,"AAAAAH/lv3M=",0)</f>
        <v>0</v>
      </c>
      <c r="DM9" t="e">
        <f>AND(Ischemia_singlenet_25percent_ou!A722,"AAAAAH/lv3Q=")</f>
        <v>#VALUE!</v>
      </c>
      <c r="DN9" t="e">
        <f>AND(Ischemia_singlenet_25percent_ou!B722,"AAAAAH/lv3U=")</f>
        <v>#VALUE!</v>
      </c>
      <c r="DO9">
        <f>IF(Ischemia_singlenet_25percent_ou!723:723,"AAAAAH/lv3Y=",0)</f>
        <v>0</v>
      </c>
      <c r="DP9" t="e">
        <f>AND(Ischemia_singlenet_25percent_ou!A723,"AAAAAH/lv3c=")</f>
        <v>#VALUE!</v>
      </c>
      <c r="DQ9" t="e">
        <f>AND(Ischemia_singlenet_25percent_ou!B723,"AAAAAH/lv3g=")</f>
        <v>#VALUE!</v>
      </c>
      <c r="DR9">
        <f>IF(Ischemia_singlenet_25percent_ou!724:724,"AAAAAH/lv3k=",0)</f>
        <v>0</v>
      </c>
      <c r="DS9" t="e">
        <f>AND(Ischemia_singlenet_25percent_ou!A724,"AAAAAH/lv3o=")</f>
        <v>#VALUE!</v>
      </c>
      <c r="DT9" t="e">
        <f>AND(Ischemia_singlenet_25percent_ou!B724,"AAAAAH/lv3s=")</f>
        <v>#VALUE!</v>
      </c>
      <c r="DU9">
        <f>IF(Ischemia_singlenet_25percent_ou!725:725,"AAAAAH/lv3w=",0)</f>
        <v>0</v>
      </c>
      <c r="DV9" t="e">
        <f>AND(Ischemia_singlenet_25percent_ou!A725,"AAAAAH/lv30=")</f>
        <v>#VALUE!</v>
      </c>
      <c r="DW9" t="e">
        <f>AND(Ischemia_singlenet_25percent_ou!B725,"AAAAAH/lv34=")</f>
        <v>#VALUE!</v>
      </c>
      <c r="DX9">
        <f>IF(Ischemia_singlenet_25percent_ou!726:726,"AAAAAH/lv38=",0)</f>
        <v>0</v>
      </c>
      <c r="DY9" t="e">
        <f>AND(Ischemia_singlenet_25percent_ou!A726,"AAAAAH/lv4A=")</f>
        <v>#VALUE!</v>
      </c>
      <c r="DZ9" t="e">
        <f>AND(Ischemia_singlenet_25percent_ou!B726,"AAAAAH/lv4E=")</f>
        <v>#VALUE!</v>
      </c>
      <c r="EA9">
        <f>IF(Ischemia_singlenet_25percent_ou!727:727,"AAAAAH/lv4I=",0)</f>
        <v>0</v>
      </c>
      <c r="EB9" t="e">
        <f>AND(Ischemia_singlenet_25percent_ou!A727,"AAAAAH/lv4M=")</f>
        <v>#VALUE!</v>
      </c>
      <c r="EC9" t="e">
        <f>AND(Ischemia_singlenet_25percent_ou!B727,"AAAAAH/lv4Q=")</f>
        <v>#VALUE!</v>
      </c>
      <c r="ED9">
        <f>IF(Ischemia_singlenet_25percent_ou!728:728,"AAAAAH/lv4U=",0)</f>
        <v>0</v>
      </c>
      <c r="EE9" t="e">
        <f>AND(Ischemia_singlenet_25percent_ou!A728,"AAAAAH/lv4Y=")</f>
        <v>#VALUE!</v>
      </c>
      <c r="EF9" t="e">
        <f>AND(Ischemia_singlenet_25percent_ou!B728,"AAAAAH/lv4c=")</f>
        <v>#VALUE!</v>
      </c>
      <c r="EG9">
        <f>IF(Ischemia_singlenet_25percent_ou!729:729,"AAAAAH/lv4g=",0)</f>
        <v>0</v>
      </c>
      <c r="EH9" t="e">
        <f>AND(Ischemia_singlenet_25percent_ou!A729,"AAAAAH/lv4k=")</f>
        <v>#VALUE!</v>
      </c>
      <c r="EI9" t="e">
        <f>AND(Ischemia_singlenet_25percent_ou!B729,"AAAAAH/lv4o=")</f>
        <v>#VALUE!</v>
      </c>
      <c r="EJ9">
        <f>IF(Ischemia_singlenet_25percent_ou!730:730,"AAAAAH/lv4s=",0)</f>
        <v>0</v>
      </c>
      <c r="EK9" t="e">
        <f>AND(Ischemia_singlenet_25percent_ou!A730,"AAAAAH/lv4w=")</f>
        <v>#VALUE!</v>
      </c>
      <c r="EL9" t="e">
        <f>AND(Ischemia_singlenet_25percent_ou!B730,"AAAAAH/lv40=")</f>
        <v>#VALUE!</v>
      </c>
      <c r="EM9">
        <f>IF(Ischemia_singlenet_25percent_ou!731:731,"AAAAAH/lv44=",0)</f>
        <v>0</v>
      </c>
      <c r="EN9" t="e">
        <f>AND(Ischemia_singlenet_25percent_ou!A731,"AAAAAH/lv48=")</f>
        <v>#VALUE!</v>
      </c>
      <c r="EO9" t="e">
        <f>AND(Ischemia_singlenet_25percent_ou!B731,"AAAAAH/lv5A=")</f>
        <v>#VALUE!</v>
      </c>
      <c r="EP9">
        <f>IF(Ischemia_singlenet_25percent_ou!732:732,"AAAAAH/lv5E=",0)</f>
        <v>0</v>
      </c>
      <c r="EQ9" t="e">
        <f>AND(Ischemia_singlenet_25percent_ou!A732,"AAAAAH/lv5I=")</f>
        <v>#VALUE!</v>
      </c>
      <c r="ER9" t="e">
        <f>AND(Ischemia_singlenet_25percent_ou!B732,"AAAAAH/lv5M=")</f>
        <v>#VALUE!</v>
      </c>
      <c r="ES9">
        <f>IF(Ischemia_singlenet_25percent_ou!733:733,"AAAAAH/lv5Q=",0)</f>
        <v>0</v>
      </c>
      <c r="ET9" t="e">
        <f>AND(Ischemia_singlenet_25percent_ou!A733,"AAAAAH/lv5U=")</f>
        <v>#VALUE!</v>
      </c>
      <c r="EU9" t="e">
        <f>AND(Ischemia_singlenet_25percent_ou!B733,"AAAAAH/lv5Y=")</f>
        <v>#VALUE!</v>
      </c>
      <c r="EV9">
        <f>IF(Ischemia_singlenet_25percent_ou!734:734,"AAAAAH/lv5c=",0)</f>
        <v>0</v>
      </c>
      <c r="EW9" t="e">
        <f>AND(Ischemia_singlenet_25percent_ou!A734,"AAAAAH/lv5g=")</f>
        <v>#VALUE!</v>
      </c>
      <c r="EX9" t="e">
        <f>AND(Ischemia_singlenet_25percent_ou!B734,"AAAAAH/lv5k=")</f>
        <v>#VALUE!</v>
      </c>
      <c r="EY9">
        <f>IF(Ischemia_singlenet_25percent_ou!735:735,"AAAAAH/lv5o=",0)</f>
        <v>0</v>
      </c>
      <c r="EZ9" t="e">
        <f>AND(Ischemia_singlenet_25percent_ou!A735,"AAAAAH/lv5s=")</f>
        <v>#VALUE!</v>
      </c>
      <c r="FA9" t="e">
        <f>AND(Ischemia_singlenet_25percent_ou!B735,"AAAAAH/lv5w=")</f>
        <v>#VALUE!</v>
      </c>
      <c r="FB9">
        <f>IF(Ischemia_singlenet_25percent_ou!736:736,"AAAAAH/lv50=",0)</f>
        <v>0</v>
      </c>
      <c r="FC9" t="e">
        <f>AND(Ischemia_singlenet_25percent_ou!A736,"AAAAAH/lv54=")</f>
        <v>#VALUE!</v>
      </c>
      <c r="FD9" t="e">
        <f>AND(Ischemia_singlenet_25percent_ou!B736,"AAAAAH/lv58=")</f>
        <v>#VALUE!</v>
      </c>
      <c r="FE9">
        <f>IF(Ischemia_singlenet_25percent_ou!737:737,"AAAAAH/lv6A=",0)</f>
        <v>0</v>
      </c>
      <c r="FF9" t="e">
        <f>AND(Ischemia_singlenet_25percent_ou!A737,"AAAAAH/lv6E=")</f>
        <v>#VALUE!</v>
      </c>
      <c r="FG9" t="e">
        <f>AND(Ischemia_singlenet_25percent_ou!B737,"AAAAAH/lv6I=")</f>
        <v>#VALUE!</v>
      </c>
      <c r="FH9">
        <f>IF(Ischemia_singlenet_25percent_ou!738:738,"AAAAAH/lv6M=",0)</f>
        <v>0</v>
      </c>
      <c r="FI9" t="e">
        <f>AND(Ischemia_singlenet_25percent_ou!A738,"AAAAAH/lv6Q=")</f>
        <v>#VALUE!</v>
      </c>
      <c r="FJ9" t="e">
        <f>AND(Ischemia_singlenet_25percent_ou!B738,"AAAAAH/lv6U=")</f>
        <v>#VALUE!</v>
      </c>
      <c r="FK9">
        <f>IF(Ischemia_singlenet_25percent_ou!739:739,"AAAAAH/lv6Y=",0)</f>
        <v>0</v>
      </c>
      <c r="FL9" t="e">
        <f>AND(Ischemia_singlenet_25percent_ou!A739,"AAAAAH/lv6c=")</f>
        <v>#VALUE!</v>
      </c>
      <c r="FM9" t="e">
        <f>AND(Ischemia_singlenet_25percent_ou!B739,"AAAAAH/lv6g=")</f>
        <v>#VALUE!</v>
      </c>
      <c r="FN9">
        <f>IF(Ischemia_singlenet_25percent_ou!740:740,"AAAAAH/lv6k=",0)</f>
        <v>0</v>
      </c>
      <c r="FO9" t="e">
        <f>AND(Ischemia_singlenet_25percent_ou!A740,"AAAAAH/lv6o=")</f>
        <v>#VALUE!</v>
      </c>
      <c r="FP9" t="e">
        <f>AND(Ischemia_singlenet_25percent_ou!B740,"AAAAAH/lv6s=")</f>
        <v>#VALUE!</v>
      </c>
      <c r="FQ9">
        <f>IF(Ischemia_singlenet_25percent_ou!741:741,"AAAAAH/lv6w=",0)</f>
        <v>0</v>
      </c>
      <c r="FR9" t="e">
        <f>AND(Ischemia_singlenet_25percent_ou!A741,"AAAAAH/lv60=")</f>
        <v>#VALUE!</v>
      </c>
      <c r="FS9" t="e">
        <f>AND(Ischemia_singlenet_25percent_ou!B741,"AAAAAH/lv64=")</f>
        <v>#VALUE!</v>
      </c>
      <c r="FT9">
        <f>IF(Ischemia_singlenet_25percent_ou!742:742,"AAAAAH/lv68=",0)</f>
        <v>0</v>
      </c>
      <c r="FU9" t="e">
        <f>AND(Ischemia_singlenet_25percent_ou!A742,"AAAAAH/lv7A=")</f>
        <v>#VALUE!</v>
      </c>
      <c r="FV9" t="e">
        <f>AND(Ischemia_singlenet_25percent_ou!B742,"AAAAAH/lv7E=")</f>
        <v>#VALUE!</v>
      </c>
      <c r="FW9">
        <f>IF(Ischemia_singlenet_25percent_ou!743:743,"AAAAAH/lv7I=",0)</f>
        <v>0</v>
      </c>
      <c r="FX9" t="e">
        <f>AND(Ischemia_singlenet_25percent_ou!A743,"AAAAAH/lv7M=")</f>
        <v>#VALUE!</v>
      </c>
      <c r="FY9" t="e">
        <f>AND(Ischemia_singlenet_25percent_ou!B743,"AAAAAH/lv7Q=")</f>
        <v>#VALUE!</v>
      </c>
      <c r="FZ9">
        <f>IF(Ischemia_singlenet_25percent_ou!744:744,"AAAAAH/lv7U=",0)</f>
        <v>0</v>
      </c>
      <c r="GA9" t="e">
        <f>AND(Ischemia_singlenet_25percent_ou!A744,"AAAAAH/lv7Y=")</f>
        <v>#VALUE!</v>
      </c>
      <c r="GB9" t="e">
        <f>AND(Ischemia_singlenet_25percent_ou!B744,"AAAAAH/lv7c=")</f>
        <v>#VALUE!</v>
      </c>
      <c r="GC9">
        <f>IF(Ischemia_singlenet_25percent_ou!745:745,"AAAAAH/lv7g=",0)</f>
        <v>0</v>
      </c>
      <c r="GD9" t="e">
        <f>AND(Ischemia_singlenet_25percent_ou!A745,"AAAAAH/lv7k=")</f>
        <v>#VALUE!</v>
      </c>
      <c r="GE9" t="e">
        <f>AND(Ischemia_singlenet_25percent_ou!B745,"AAAAAH/lv7o=")</f>
        <v>#VALUE!</v>
      </c>
      <c r="GF9">
        <f>IF(Ischemia_singlenet_25percent_ou!746:746,"AAAAAH/lv7s=",0)</f>
        <v>0</v>
      </c>
      <c r="GG9" t="e">
        <f>AND(Ischemia_singlenet_25percent_ou!A746,"AAAAAH/lv7w=")</f>
        <v>#VALUE!</v>
      </c>
      <c r="GH9" t="e">
        <f>AND(Ischemia_singlenet_25percent_ou!B746,"AAAAAH/lv70=")</f>
        <v>#VALUE!</v>
      </c>
      <c r="GI9">
        <f>IF(Ischemia_singlenet_25percent_ou!747:747,"AAAAAH/lv74=",0)</f>
        <v>0</v>
      </c>
      <c r="GJ9" t="e">
        <f>AND(Ischemia_singlenet_25percent_ou!A747,"AAAAAH/lv78=")</f>
        <v>#VALUE!</v>
      </c>
      <c r="GK9" t="e">
        <f>AND(Ischemia_singlenet_25percent_ou!B747,"AAAAAH/lv8A=")</f>
        <v>#VALUE!</v>
      </c>
      <c r="GL9">
        <f>IF(Ischemia_singlenet_25percent_ou!748:748,"AAAAAH/lv8E=",0)</f>
        <v>0</v>
      </c>
      <c r="GM9" t="e">
        <f>AND(Ischemia_singlenet_25percent_ou!A748,"AAAAAH/lv8I=")</f>
        <v>#VALUE!</v>
      </c>
      <c r="GN9" t="e">
        <f>AND(Ischemia_singlenet_25percent_ou!B748,"AAAAAH/lv8M=")</f>
        <v>#VALUE!</v>
      </c>
      <c r="GO9">
        <f>IF(Ischemia_singlenet_25percent_ou!749:749,"AAAAAH/lv8Q=",0)</f>
        <v>0</v>
      </c>
      <c r="GP9" t="e">
        <f>AND(Ischemia_singlenet_25percent_ou!A749,"AAAAAH/lv8U=")</f>
        <v>#VALUE!</v>
      </c>
      <c r="GQ9" t="e">
        <f>AND(Ischemia_singlenet_25percent_ou!B749,"AAAAAH/lv8Y=")</f>
        <v>#VALUE!</v>
      </c>
      <c r="GR9">
        <f>IF(Ischemia_singlenet_25percent_ou!750:750,"AAAAAH/lv8c=",0)</f>
        <v>0</v>
      </c>
      <c r="GS9" t="e">
        <f>AND(Ischemia_singlenet_25percent_ou!A750,"AAAAAH/lv8g=")</f>
        <v>#VALUE!</v>
      </c>
      <c r="GT9" t="e">
        <f>AND(Ischemia_singlenet_25percent_ou!B750,"AAAAAH/lv8k=")</f>
        <v>#VALUE!</v>
      </c>
      <c r="GU9">
        <f>IF(Ischemia_singlenet_25percent_ou!751:751,"AAAAAH/lv8o=",0)</f>
        <v>0</v>
      </c>
      <c r="GV9" t="e">
        <f>AND(Ischemia_singlenet_25percent_ou!A751,"AAAAAH/lv8s=")</f>
        <v>#VALUE!</v>
      </c>
      <c r="GW9" t="e">
        <f>AND(Ischemia_singlenet_25percent_ou!B751,"AAAAAH/lv8w=")</f>
        <v>#VALUE!</v>
      </c>
      <c r="GX9">
        <f>IF(Ischemia_singlenet_25percent_ou!752:752,"AAAAAH/lv80=",0)</f>
        <v>0</v>
      </c>
      <c r="GY9" t="e">
        <f>AND(Ischemia_singlenet_25percent_ou!A752,"AAAAAH/lv84=")</f>
        <v>#VALUE!</v>
      </c>
      <c r="GZ9" t="e">
        <f>AND(Ischemia_singlenet_25percent_ou!B752,"AAAAAH/lv88=")</f>
        <v>#VALUE!</v>
      </c>
      <c r="HA9">
        <f>IF(Ischemia_singlenet_25percent_ou!753:753,"AAAAAH/lv9A=",0)</f>
        <v>0</v>
      </c>
      <c r="HB9" t="e">
        <f>AND(Ischemia_singlenet_25percent_ou!A753,"AAAAAH/lv9E=")</f>
        <v>#VALUE!</v>
      </c>
      <c r="HC9" t="e">
        <f>AND(Ischemia_singlenet_25percent_ou!B753,"AAAAAH/lv9I=")</f>
        <v>#VALUE!</v>
      </c>
      <c r="HD9">
        <f>IF(Ischemia_singlenet_25percent_ou!754:754,"AAAAAH/lv9M=",0)</f>
        <v>0</v>
      </c>
      <c r="HE9" t="e">
        <f>AND(Ischemia_singlenet_25percent_ou!A754,"AAAAAH/lv9Q=")</f>
        <v>#VALUE!</v>
      </c>
      <c r="HF9" t="e">
        <f>AND(Ischemia_singlenet_25percent_ou!B754,"AAAAAH/lv9U=")</f>
        <v>#VALUE!</v>
      </c>
      <c r="HG9">
        <f>IF(Ischemia_singlenet_25percent_ou!755:755,"AAAAAH/lv9Y=",0)</f>
        <v>0</v>
      </c>
      <c r="HH9" t="e">
        <f>AND(Ischemia_singlenet_25percent_ou!A755,"AAAAAH/lv9c=")</f>
        <v>#VALUE!</v>
      </c>
      <c r="HI9" t="e">
        <f>AND(Ischemia_singlenet_25percent_ou!B755,"AAAAAH/lv9g=")</f>
        <v>#VALUE!</v>
      </c>
      <c r="HJ9">
        <f>IF(Ischemia_singlenet_25percent_ou!756:756,"AAAAAH/lv9k=",0)</f>
        <v>0</v>
      </c>
      <c r="HK9" t="e">
        <f>AND(Ischemia_singlenet_25percent_ou!A756,"AAAAAH/lv9o=")</f>
        <v>#VALUE!</v>
      </c>
      <c r="HL9" t="e">
        <f>AND(Ischemia_singlenet_25percent_ou!B756,"AAAAAH/lv9s=")</f>
        <v>#VALUE!</v>
      </c>
      <c r="HM9">
        <f>IF(Ischemia_singlenet_25percent_ou!757:757,"AAAAAH/lv9w=",0)</f>
        <v>0</v>
      </c>
      <c r="HN9" t="e">
        <f>AND(Ischemia_singlenet_25percent_ou!A757,"AAAAAH/lv90=")</f>
        <v>#VALUE!</v>
      </c>
      <c r="HO9" t="e">
        <f>AND(Ischemia_singlenet_25percent_ou!B757,"AAAAAH/lv94=")</f>
        <v>#VALUE!</v>
      </c>
      <c r="HP9">
        <f>IF(Ischemia_singlenet_25percent_ou!758:758,"AAAAAH/lv98=",0)</f>
        <v>0</v>
      </c>
      <c r="HQ9" t="e">
        <f>AND(Ischemia_singlenet_25percent_ou!A758,"AAAAAH/lv+A=")</f>
        <v>#VALUE!</v>
      </c>
      <c r="HR9" t="e">
        <f>AND(Ischemia_singlenet_25percent_ou!B758,"AAAAAH/lv+E=")</f>
        <v>#VALUE!</v>
      </c>
      <c r="HS9">
        <f>IF(Ischemia_singlenet_25percent_ou!759:759,"AAAAAH/lv+I=",0)</f>
        <v>0</v>
      </c>
      <c r="HT9" t="e">
        <f>AND(Ischemia_singlenet_25percent_ou!A759,"AAAAAH/lv+M=")</f>
        <v>#VALUE!</v>
      </c>
      <c r="HU9" t="e">
        <f>AND(Ischemia_singlenet_25percent_ou!B759,"AAAAAH/lv+Q=")</f>
        <v>#VALUE!</v>
      </c>
      <c r="HV9">
        <f>IF(Ischemia_singlenet_25percent_ou!760:760,"AAAAAH/lv+U=",0)</f>
        <v>0</v>
      </c>
      <c r="HW9" t="e">
        <f>AND(Ischemia_singlenet_25percent_ou!A760,"AAAAAH/lv+Y=")</f>
        <v>#VALUE!</v>
      </c>
      <c r="HX9" t="e">
        <f>AND(Ischemia_singlenet_25percent_ou!B760,"AAAAAH/lv+c=")</f>
        <v>#VALUE!</v>
      </c>
      <c r="HY9">
        <f>IF(Ischemia_singlenet_25percent_ou!761:761,"AAAAAH/lv+g=",0)</f>
        <v>0</v>
      </c>
      <c r="HZ9" t="e">
        <f>AND(Ischemia_singlenet_25percent_ou!A761,"AAAAAH/lv+k=")</f>
        <v>#VALUE!</v>
      </c>
      <c r="IA9" t="e">
        <f>AND(Ischemia_singlenet_25percent_ou!B761,"AAAAAH/lv+o=")</f>
        <v>#VALUE!</v>
      </c>
      <c r="IB9">
        <f>IF(Ischemia_singlenet_25percent_ou!762:762,"AAAAAH/lv+s=",0)</f>
        <v>0</v>
      </c>
      <c r="IC9" t="e">
        <f>AND(Ischemia_singlenet_25percent_ou!A762,"AAAAAH/lv+w=")</f>
        <v>#VALUE!</v>
      </c>
      <c r="ID9" t="e">
        <f>AND(Ischemia_singlenet_25percent_ou!B762,"AAAAAH/lv+0=")</f>
        <v>#VALUE!</v>
      </c>
      <c r="IE9">
        <f>IF(Ischemia_singlenet_25percent_ou!763:763,"AAAAAH/lv+4=",0)</f>
        <v>0</v>
      </c>
      <c r="IF9" t="e">
        <f>AND(Ischemia_singlenet_25percent_ou!A763,"AAAAAH/lv+8=")</f>
        <v>#VALUE!</v>
      </c>
      <c r="IG9" t="e">
        <f>AND(Ischemia_singlenet_25percent_ou!B763,"AAAAAH/lv/A=")</f>
        <v>#VALUE!</v>
      </c>
      <c r="IH9">
        <f>IF(Ischemia_singlenet_25percent_ou!764:764,"AAAAAH/lv/E=",0)</f>
        <v>0</v>
      </c>
      <c r="II9" t="e">
        <f>AND(Ischemia_singlenet_25percent_ou!A764,"AAAAAH/lv/I=")</f>
        <v>#VALUE!</v>
      </c>
      <c r="IJ9" t="e">
        <f>AND(Ischemia_singlenet_25percent_ou!B764,"AAAAAH/lv/M=")</f>
        <v>#VALUE!</v>
      </c>
      <c r="IK9">
        <f>IF(Ischemia_singlenet_25percent_ou!765:765,"AAAAAH/lv/Q=",0)</f>
        <v>0</v>
      </c>
      <c r="IL9" t="e">
        <f>AND(Ischemia_singlenet_25percent_ou!A765,"AAAAAH/lv/U=")</f>
        <v>#VALUE!</v>
      </c>
      <c r="IM9" t="e">
        <f>AND(Ischemia_singlenet_25percent_ou!B765,"AAAAAH/lv/Y=")</f>
        <v>#VALUE!</v>
      </c>
      <c r="IN9">
        <f>IF(Ischemia_singlenet_25percent_ou!766:766,"AAAAAH/lv/c=",0)</f>
        <v>0</v>
      </c>
      <c r="IO9" t="e">
        <f>AND(Ischemia_singlenet_25percent_ou!A766,"AAAAAH/lv/g=")</f>
        <v>#VALUE!</v>
      </c>
      <c r="IP9" t="e">
        <f>AND(Ischemia_singlenet_25percent_ou!B766,"AAAAAH/lv/k=")</f>
        <v>#VALUE!</v>
      </c>
      <c r="IQ9">
        <f>IF(Ischemia_singlenet_25percent_ou!767:767,"AAAAAH/lv/o=",0)</f>
        <v>0</v>
      </c>
      <c r="IR9" t="e">
        <f>AND(Ischemia_singlenet_25percent_ou!A767,"AAAAAH/lv/s=")</f>
        <v>#VALUE!</v>
      </c>
      <c r="IS9" t="e">
        <f>AND(Ischemia_singlenet_25percent_ou!B767,"AAAAAH/lv/w=")</f>
        <v>#VALUE!</v>
      </c>
      <c r="IT9">
        <f>IF(Ischemia_singlenet_25percent_ou!768:768,"AAAAAH/lv/0=",0)</f>
        <v>0</v>
      </c>
      <c r="IU9" t="e">
        <f>AND(Ischemia_singlenet_25percent_ou!A768,"AAAAAH/lv/4=")</f>
        <v>#VALUE!</v>
      </c>
      <c r="IV9" t="e">
        <f>AND(Ischemia_singlenet_25percent_ou!B768,"AAAAAH/lv/8=")</f>
        <v>#VALUE!</v>
      </c>
    </row>
    <row r="10" spans="1:256">
      <c r="A10" t="e">
        <f>IF(Ischemia_singlenet_25percent_ou!769:769,"AAAAAHN9/wA=",0)</f>
        <v>#VALUE!</v>
      </c>
      <c r="B10" t="e">
        <f>AND(Ischemia_singlenet_25percent_ou!A769,"AAAAAHN9/wE=")</f>
        <v>#VALUE!</v>
      </c>
      <c r="C10" t="e">
        <f>AND(Ischemia_singlenet_25percent_ou!B769,"AAAAAHN9/wI=")</f>
        <v>#VALUE!</v>
      </c>
      <c r="D10">
        <f>IF(Ischemia_singlenet_25percent_ou!770:770,"AAAAAHN9/wM=",0)</f>
        <v>0</v>
      </c>
      <c r="E10" t="e">
        <f>AND(Ischemia_singlenet_25percent_ou!A770,"AAAAAHN9/wQ=")</f>
        <v>#VALUE!</v>
      </c>
      <c r="F10" t="e">
        <f>AND(Ischemia_singlenet_25percent_ou!B770,"AAAAAHN9/wU=")</f>
        <v>#VALUE!</v>
      </c>
      <c r="G10">
        <f>IF(Ischemia_singlenet_25percent_ou!771:771,"AAAAAHN9/wY=",0)</f>
        <v>0</v>
      </c>
      <c r="H10" t="e">
        <f>AND(Ischemia_singlenet_25percent_ou!A771,"AAAAAHN9/wc=")</f>
        <v>#VALUE!</v>
      </c>
      <c r="I10" t="e">
        <f>AND(Ischemia_singlenet_25percent_ou!B771,"AAAAAHN9/wg=")</f>
        <v>#VALUE!</v>
      </c>
      <c r="J10">
        <f>IF(Ischemia_singlenet_25percent_ou!772:772,"AAAAAHN9/wk=",0)</f>
        <v>0</v>
      </c>
      <c r="K10" t="e">
        <f>AND(Ischemia_singlenet_25percent_ou!A772,"AAAAAHN9/wo=")</f>
        <v>#VALUE!</v>
      </c>
      <c r="L10" t="e">
        <f>AND(Ischemia_singlenet_25percent_ou!B772,"AAAAAHN9/ws=")</f>
        <v>#VALUE!</v>
      </c>
      <c r="M10">
        <f>IF(Ischemia_singlenet_25percent_ou!773:773,"AAAAAHN9/ww=",0)</f>
        <v>0</v>
      </c>
      <c r="N10" t="e">
        <f>AND(Ischemia_singlenet_25percent_ou!A773,"AAAAAHN9/w0=")</f>
        <v>#VALUE!</v>
      </c>
      <c r="O10" t="e">
        <f>AND(Ischemia_singlenet_25percent_ou!B773,"AAAAAHN9/w4=")</f>
        <v>#VALUE!</v>
      </c>
      <c r="P10">
        <f>IF(Ischemia_singlenet_25percent_ou!774:774,"AAAAAHN9/w8=",0)</f>
        <v>0</v>
      </c>
      <c r="Q10" t="e">
        <f>AND(Ischemia_singlenet_25percent_ou!A774,"AAAAAHN9/xA=")</f>
        <v>#VALUE!</v>
      </c>
      <c r="R10" t="e">
        <f>AND(Ischemia_singlenet_25percent_ou!B774,"AAAAAHN9/xE=")</f>
        <v>#VALUE!</v>
      </c>
      <c r="S10">
        <f>IF(Ischemia_singlenet_25percent_ou!775:775,"AAAAAHN9/xI=",0)</f>
        <v>0</v>
      </c>
      <c r="T10" t="e">
        <f>AND(Ischemia_singlenet_25percent_ou!A775,"AAAAAHN9/xM=")</f>
        <v>#VALUE!</v>
      </c>
      <c r="U10" t="e">
        <f>AND(Ischemia_singlenet_25percent_ou!B775,"AAAAAHN9/xQ=")</f>
        <v>#VALUE!</v>
      </c>
      <c r="V10">
        <f>IF(Ischemia_singlenet_25percent_ou!776:776,"AAAAAHN9/xU=",0)</f>
        <v>0</v>
      </c>
      <c r="W10" t="e">
        <f>AND(Ischemia_singlenet_25percent_ou!A776,"AAAAAHN9/xY=")</f>
        <v>#VALUE!</v>
      </c>
      <c r="X10" t="e">
        <f>AND(Ischemia_singlenet_25percent_ou!B776,"AAAAAHN9/xc=")</f>
        <v>#VALUE!</v>
      </c>
      <c r="Y10">
        <f>IF(Ischemia_singlenet_25percent_ou!777:777,"AAAAAHN9/xg=",0)</f>
        <v>0</v>
      </c>
      <c r="Z10" t="e">
        <f>AND(Ischemia_singlenet_25percent_ou!A777,"AAAAAHN9/xk=")</f>
        <v>#VALUE!</v>
      </c>
      <c r="AA10" t="e">
        <f>AND(Ischemia_singlenet_25percent_ou!B777,"AAAAAHN9/xo=")</f>
        <v>#VALUE!</v>
      </c>
      <c r="AB10">
        <f>IF(Ischemia_singlenet_25percent_ou!778:778,"AAAAAHN9/xs=",0)</f>
        <v>0</v>
      </c>
      <c r="AC10" t="e">
        <f>AND(Ischemia_singlenet_25percent_ou!A778,"AAAAAHN9/xw=")</f>
        <v>#VALUE!</v>
      </c>
      <c r="AD10" t="e">
        <f>AND(Ischemia_singlenet_25percent_ou!B778,"AAAAAHN9/x0=")</f>
        <v>#VALUE!</v>
      </c>
      <c r="AE10">
        <f>IF(Ischemia_singlenet_25percent_ou!779:779,"AAAAAHN9/x4=",0)</f>
        <v>0</v>
      </c>
      <c r="AF10" t="e">
        <f>AND(Ischemia_singlenet_25percent_ou!A779,"AAAAAHN9/x8=")</f>
        <v>#VALUE!</v>
      </c>
      <c r="AG10" t="e">
        <f>AND(Ischemia_singlenet_25percent_ou!B779,"AAAAAHN9/yA=")</f>
        <v>#VALUE!</v>
      </c>
      <c r="AH10">
        <f>IF(Ischemia_singlenet_25percent_ou!780:780,"AAAAAHN9/yE=",0)</f>
        <v>0</v>
      </c>
      <c r="AI10" t="e">
        <f>AND(Ischemia_singlenet_25percent_ou!A780,"AAAAAHN9/yI=")</f>
        <v>#VALUE!</v>
      </c>
      <c r="AJ10" t="e">
        <f>AND(Ischemia_singlenet_25percent_ou!B780,"AAAAAHN9/yM=")</f>
        <v>#VALUE!</v>
      </c>
      <c r="AK10">
        <f>IF(Ischemia_singlenet_25percent_ou!781:781,"AAAAAHN9/yQ=",0)</f>
        <v>0</v>
      </c>
      <c r="AL10" t="e">
        <f>AND(Ischemia_singlenet_25percent_ou!A781,"AAAAAHN9/yU=")</f>
        <v>#VALUE!</v>
      </c>
      <c r="AM10" t="e">
        <f>AND(Ischemia_singlenet_25percent_ou!B781,"AAAAAHN9/yY=")</f>
        <v>#VALUE!</v>
      </c>
      <c r="AN10">
        <f>IF(Ischemia_singlenet_25percent_ou!782:782,"AAAAAHN9/yc=",0)</f>
        <v>0</v>
      </c>
      <c r="AO10" t="e">
        <f>AND(Ischemia_singlenet_25percent_ou!A782,"AAAAAHN9/yg=")</f>
        <v>#VALUE!</v>
      </c>
      <c r="AP10" t="e">
        <f>AND(Ischemia_singlenet_25percent_ou!B782,"AAAAAHN9/yk=")</f>
        <v>#VALUE!</v>
      </c>
      <c r="AQ10">
        <f>IF(Ischemia_singlenet_25percent_ou!783:783,"AAAAAHN9/yo=",0)</f>
        <v>0</v>
      </c>
      <c r="AR10" t="e">
        <f>AND(Ischemia_singlenet_25percent_ou!A783,"AAAAAHN9/ys=")</f>
        <v>#VALUE!</v>
      </c>
      <c r="AS10" t="e">
        <f>AND(Ischemia_singlenet_25percent_ou!B783,"AAAAAHN9/yw=")</f>
        <v>#VALUE!</v>
      </c>
      <c r="AT10">
        <f>IF(Ischemia_singlenet_25percent_ou!784:784,"AAAAAHN9/y0=",0)</f>
        <v>0</v>
      </c>
      <c r="AU10" t="e">
        <f>AND(Ischemia_singlenet_25percent_ou!A784,"AAAAAHN9/y4=")</f>
        <v>#VALUE!</v>
      </c>
      <c r="AV10" t="e">
        <f>AND(Ischemia_singlenet_25percent_ou!B784,"AAAAAHN9/y8=")</f>
        <v>#VALUE!</v>
      </c>
      <c r="AW10">
        <f>IF(Ischemia_singlenet_25percent_ou!785:785,"AAAAAHN9/zA=",0)</f>
        <v>0</v>
      </c>
      <c r="AX10" t="e">
        <f>AND(Ischemia_singlenet_25percent_ou!A785,"AAAAAHN9/zE=")</f>
        <v>#VALUE!</v>
      </c>
      <c r="AY10" t="e">
        <f>AND(Ischemia_singlenet_25percent_ou!B785,"AAAAAHN9/zI=")</f>
        <v>#VALUE!</v>
      </c>
      <c r="AZ10">
        <f>IF(Ischemia_singlenet_25percent_ou!786:786,"AAAAAHN9/zM=",0)</f>
        <v>0</v>
      </c>
      <c r="BA10" t="e">
        <f>AND(Ischemia_singlenet_25percent_ou!A786,"AAAAAHN9/zQ=")</f>
        <v>#VALUE!</v>
      </c>
      <c r="BB10" t="e">
        <f>AND(Ischemia_singlenet_25percent_ou!B786,"AAAAAHN9/zU=")</f>
        <v>#VALUE!</v>
      </c>
      <c r="BC10">
        <f>IF(Ischemia_singlenet_25percent_ou!787:787,"AAAAAHN9/zY=",0)</f>
        <v>0</v>
      </c>
      <c r="BD10" t="e">
        <f>AND(Ischemia_singlenet_25percent_ou!A787,"AAAAAHN9/zc=")</f>
        <v>#VALUE!</v>
      </c>
      <c r="BE10" t="e">
        <f>AND(Ischemia_singlenet_25percent_ou!B787,"AAAAAHN9/zg=")</f>
        <v>#VALUE!</v>
      </c>
      <c r="BF10">
        <f>IF(Ischemia_singlenet_25percent_ou!788:788,"AAAAAHN9/zk=",0)</f>
        <v>0</v>
      </c>
      <c r="BG10" t="e">
        <f>AND(Ischemia_singlenet_25percent_ou!A788,"AAAAAHN9/zo=")</f>
        <v>#VALUE!</v>
      </c>
      <c r="BH10" t="e">
        <f>AND(Ischemia_singlenet_25percent_ou!B788,"AAAAAHN9/zs=")</f>
        <v>#VALUE!</v>
      </c>
      <c r="BI10">
        <f>IF(Ischemia_singlenet_25percent_ou!789:789,"AAAAAHN9/zw=",0)</f>
        <v>0</v>
      </c>
      <c r="BJ10" t="e">
        <f>AND(Ischemia_singlenet_25percent_ou!A789,"AAAAAHN9/z0=")</f>
        <v>#VALUE!</v>
      </c>
      <c r="BK10" t="e">
        <f>AND(Ischemia_singlenet_25percent_ou!B789,"AAAAAHN9/z4=")</f>
        <v>#VALUE!</v>
      </c>
      <c r="BL10">
        <f>IF(Ischemia_singlenet_25percent_ou!790:790,"AAAAAHN9/z8=",0)</f>
        <v>0</v>
      </c>
      <c r="BM10" t="e">
        <f>AND(Ischemia_singlenet_25percent_ou!A790,"AAAAAHN9/0A=")</f>
        <v>#VALUE!</v>
      </c>
      <c r="BN10" t="e">
        <f>AND(Ischemia_singlenet_25percent_ou!B790,"AAAAAHN9/0E=")</f>
        <v>#VALUE!</v>
      </c>
      <c r="BO10">
        <f>IF(Ischemia_singlenet_25percent_ou!791:791,"AAAAAHN9/0I=",0)</f>
        <v>0</v>
      </c>
      <c r="BP10" t="e">
        <f>AND(Ischemia_singlenet_25percent_ou!A791,"AAAAAHN9/0M=")</f>
        <v>#VALUE!</v>
      </c>
      <c r="BQ10" t="e">
        <f>AND(Ischemia_singlenet_25percent_ou!B791,"AAAAAHN9/0Q=")</f>
        <v>#VALUE!</v>
      </c>
      <c r="BR10">
        <f>IF(Ischemia_singlenet_25percent_ou!792:792,"AAAAAHN9/0U=",0)</f>
        <v>0</v>
      </c>
      <c r="BS10" t="e">
        <f>AND(Ischemia_singlenet_25percent_ou!A792,"AAAAAHN9/0Y=")</f>
        <v>#VALUE!</v>
      </c>
      <c r="BT10" t="e">
        <f>AND(Ischemia_singlenet_25percent_ou!B792,"AAAAAHN9/0c=")</f>
        <v>#VALUE!</v>
      </c>
      <c r="BU10">
        <f>IF(Ischemia_singlenet_25percent_ou!793:793,"AAAAAHN9/0g=",0)</f>
        <v>0</v>
      </c>
      <c r="BV10" t="e">
        <f>AND(Ischemia_singlenet_25percent_ou!A793,"AAAAAHN9/0k=")</f>
        <v>#VALUE!</v>
      </c>
      <c r="BW10" t="e">
        <f>AND(Ischemia_singlenet_25percent_ou!B793,"AAAAAHN9/0o=")</f>
        <v>#VALUE!</v>
      </c>
      <c r="BX10">
        <f>IF(Ischemia_singlenet_25percent_ou!794:794,"AAAAAHN9/0s=",0)</f>
        <v>0</v>
      </c>
      <c r="BY10" t="e">
        <f>AND(Ischemia_singlenet_25percent_ou!A794,"AAAAAHN9/0w=")</f>
        <v>#VALUE!</v>
      </c>
      <c r="BZ10" t="e">
        <f>AND(Ischemia_singlenet_25percent_ou!B794,"AAAAAHN9/00=")</f>
        <v>#VALUE!</v>
      </c>
      <c r="CA10">
        <f>IF(Ischemia_singlenet_25percent_ou!795:795,"AAAAAHN9/04=",0)</f>
        <v>0</v>
      </c>
      <c r="CB10" t="e">
        <f>AND(Ischemia_singlenet_25percent_ou!A795,"AAAAAHN9/08=")</f>
        <v>#VALUE!</v>
      </c>
      <c r="CC10" t="e">
        <f>AND(Ischemia_singlenet_25percent_ou!B795,"AAAAAHN9/1A=")</f>
        <v>#VALUE!</v>
      </c>
      <c r="CD10">
        <f>IF(Ischemia_singlenet_25percent_ou!796:796,"AAAAAHN9/1E=",0)</f>
        <v>0</v>
      </c>
      <c r="CE10" t="e">
        <f>AND(Ischemia_singlenet_25percent_ou!A796,"AAAAAHN9/1I=")</f>
        <v>#VALUE!</v>
      </c>
      <c r="CF10" t="e">
        <f>AND(Ischemia_singlenet_25percent_ou!B796,"AAAAAHN9/1M=")</f>
        <v>#VALUE!</v>
      </c>
      <c r="CG10">
        <f>IF(Ischemia_singlenet_25percent_ou!797:797,"AAAAAHN9/1Q=",0)</f>
        <v>0</v>
      </c>
      <c r="CH10" t="e">
        <f>AND(Ischemia_singlenet_25percent_ou!A797,"AAAAAHN9/1U=")</f>
        <v>#VALUE!</v>
      </c>
      <c r="CI10" t="e">
        <f>AND(Ischemia_singlenet_25percent_ou!B797,"AAAAAHN9/1Y=")</f>
        <v>#VALUE!</v>
      </c>
      <c r="CJ10">
        <f>IF(Ischemia_singlenet_25percent_ou!798:798,"AAAAAHN9/1c=",0)</f>
        <v>0</v>
      </c>
      <c r="CK10" t="e">
        <f>AND(Ischemia_singlenet_25percent_ou!A798,"AAAAAHN9/1g=")</f>
        <v>#VALUE!</v>
      </c>
      <c r="CL10" t="e">
        <f>AND(Ischemia_singlenet_25percent_ou!B798,"AAAAAHN9/1k=")</f>
        <v>#VALUE!</v>
      </c>
      <c r="CM10">
        <f>IF(Ischemia_singlenet_25percent_ou!799:799,"AAAAAHN9/1o=",0)</f>
        <v>0</v>
      </c>
      <c r="CN10" t="e">
        <f>AND(Ischemia_singlenet_25percent_ou!A799,"AAAAAHN9/1s=")</f>
        <v>#VALUE!</v>
      </c>
      <c r="CO10" t="e">
        <f>AND(Ischemia_singlenet_25percent_ou!B799,"AAAAAHN9/1w=")</f>
        <v>#VALUE!</v>
      </c>
      <c r="CP10">
        <f>IF(Ischemia_singlenet_25percent_ou!800:800,"AAAAAHN9/10=",0)</f>
        <v>0</v>
      </c>
      <c r="CQ10" t="e">
        <f>AND(Ischemia_singlenet_25percent_ou!A800,"AAAAAHN9/14=")</f>
        <v>#VALUE!</v>
      </c>
      <c r="CR10" t="e">
        <f>AND(Ischemia_singlenet_25percent_ou!B800,"AAAAAHN9/18=")</f>
        <v>#VALUE!</v>
      </c>
      <c r="CS10">
        <f>IF(Ischemia_singlenet_25percent_ou!801:801,"AAAAAHN9/2A=",0)</f>
        <v>0</v>
      </c>
      <c r="CT10" t="e">
        <f>AND(Ischemia_singlenet_25percent_ou!A801,"AAAAAHN9/2E=")</f>
        <v>#VALUE!</v>
      </c>
      <c r="CU10" t="e">
        <f>AND(Ischemia_singlenet_25percent_ou!B801,"AAAAAHN9/2I=")</f>
        <v>#VALUE!</v>
      </c>
      <c r="CV10">
        <f>IF(Ischemia_singlenet_25percent_ou!802:802,"AAAAAHN9/2M=",0)</f>
        <v>0</v>
      </c>
      <c r="CW10" t="e">
        <f>AND(Ischemia_singlenet_25percent_ou!A802,"AAAAAHN9/2Q=")</f>
        <v>#VALUE!</v>
      </c>
      <c r="CX10" t="e">
        <f>AND(Ischemia_singlenet_25percent_ou!B802,"AAAAAHN9/2U=")</f>
        <v>#VALUE!</v>
      </c>
      <c r="CY10">
        <f>IF(Ischemia_singlenet_25percent_ou!803:803,"AAAAAHN9/2Y=",0)</f>
        <v>0</v>
      </c>
      <c r="CZ10" t="e">
        <f>AND(Ischemia_singlenet_25percent_ou!A803,"AAAAAHN9/2c=")</f>
        <v>#VALUE!</v>
      </c>
      <c r="DA10" t="e">
        <f>AND(Ischemia_singlenet_25percent_ou!B803,"AAAAAHN9/2g=")</f>
        <v>#VALUE!</v>
      </c>
      <c r="DB10">
        <f>IF(Ischemia_singlenet_25percent_ou!804:804,"AAAAAHN9/2k=",0)</f>
        <v>0</v>
      </c>
      <c r="DC10" t="e">
        <f>AND(Ischemia_singlenet_25percent_ou!A804,"AAAAAHN9/2o=")</f>
        <v>#VALUE!</v>
      </c>
      <c r="DD10" t="e">
        <f>AND(Ischemia_singlenet_25percent_ou!B804,"AAAAAHN9/2s=")</f>
        <v>#VALUE!</v>
      </c>
      <c r="DE10">
        <f>IF(Ischemia_singlenet_25percent_ou!805:805,"AAAAAHN9/2w=",0)</f>
        <v>0</v>
      </c>
      <c r="DF10" t="e">
        <f>AND(Ischemia_singlenet_25percent_ou!A805,"AAAAAHN9/20=")</f>
        <v>#VALUE!</v>
      </c>
      <c r="DG10" t="e">
        <f>AND(Ischemia_singlenet_25percent_ou!B805,"AAAAAHN9/24=")</f>
        <v>#VALUE!</v>
      </c>
      <c r="DH10">
        <f>IF(Ischemia_singlenet_25percent_ou!806:806,"AAAAAHN9/28=",0)</f>
        <v>0</v>
      </c>
      <c r="DI10" t="e">
        <f>AND(Ischemia_singlenet_25percent_ou!A806,"AAAAAHN9/3A=")</f>
        <v>#VALUE!</v>
      </c>
      <c r="DJ10" t="e">
        <f>AND(Ischemia_singlenet_25percent_ou!B806,"AAAAAHN9/3E=")</f>
        <v>#VALUE!</v>
      </c>
      <c r="DK10">
        <f>IF(Ischemia_singlenet_25percent_ou!807:807,"AAAAAHN9/3I=",0)</f>
        <v>0</v>
      </c>
      <c r="DL10" t="e">
        <f>AND(Ischemia_singlenet_25percent_ou!A807,"AAAAAHN9/3M=")</f>
        <v>#VALUE!</v>
      </c>
      <c r="DM10" t="e">
        <f>AND(Ischemia_singlenet_25percent_ou!B807,"AAAAAHN9/3Q=")</f>
        <v>#VALUE!</v>
      </c>
      <c r="DN10">
        <f>IF(Ischemia_singlenet_25percent_ou!808:808,"AAAAAHN9/3U=",0)</f>
        <v>0</v>
      </c>
      <c r="DO10" t="e">
        <f>AND(Ischemia_singlenet_25percent_ou!A808,"AAAAAHN9/3Y=")</f>
        <v>#VALUE!</v>
      </c>
      <c r="DP10" t="e">
        <f>AND(Ischemia_singlenet_25percent_ou!B808,"AAAAAHN9/3c=")</f>
        <v>#VALUE!</v>
      </c>
      <c r="DQ10">
        <f>IF(Ischemia_singlenet_25percent_ou!809:809,"AAAAAHN9/3g=",0)</f>
        <v>0</v>
      </c>
      <c r="DR10" t="e">
        <f>AND(Ischemia_singlenet_25percent_ou!A809,"AAAAAHN9/3k=")</f>
        <v>#VALUE!</v>
      </c>
      <c r="DS10" t="e">
        <f>AND(Ischemia_singlenet_25percent_ou!B809,"AAAAAHN9/3o=")</f>
        <v>#VALUE!</v>
      </c>
      <c r="DT10">
        <f>IF(Ischemia_singlenet_25percent_ou!810:810,"AAAAAHN9/3s=",0)</f>
        <v>0</v>
      </c>
      <c r="DU10" t="e">
        <f>AND(Ischemia_singlenet_25percent_ou!A810,"AAAAAHN9/3w=")</f>
        <v>#VALUE!</v>
      </c>
      <c r="DV10" t="e">
        <f>AND(Ischemia_singlenet_25percent_ou!B810,"AAAAAHN9/30=")</f>
        <v>#VALUE!</v>
      </c>
      <c r="DW10">
        <f>IF(Ischemia_singlenet_25percent_ou!811:811,"AAAAAHN9/34=",0)</f>
        <v>0</v>
      </c>
      <c r="DX10" t="e">
        <f>AND(Ischemia_singlenet_25percent_ou!A811,"AAAAAHN9/38=")</f>
        <v>#VALUE!</v>
      </c>
      <c r="DY10" t="e">
        <f>AND(Ischemia_singlenet_25percent_ou!B811,"AAAAAHN9/4A=")</f>
        <v>#VALUE!</v>
      </c>
      <c r="DZ10">
        <f>IF(Ischemia_singlenet_25percent_ou!812:812,"AAAAAHN9/4E=",0)</f>
        <v>0</v>
      </c>
      <c r="EA10" t="e">
        <f>AND(Ischemia_singlenet_25percent_ou!A812,"AAAAAHN9/4I=")</f>
        <v>#VALUE!</v>
      </c>
      <c r="EB10" t="e">
        <f>AND(Ischemia_singlenet_25percent_ou!B812,"AAAAAHN9/4M=")</f>
        <v>#VALUE!</v>
      </c>
      <c r="EC10">
        <f>IF(Ischemia_singlenet_25percent_ou!813:813,"AAAAAHN9/4Q=",0)</f>
        <v>0</v>
      </c>
      <c r="ED10" t="e">
        <f>AND(Ischemia_singlenet_25percent_ou!A813,"AAAAAHN9/4U=")</f>
        <v>#VALUE!</v>
      </c>
      <c r="EE10" t="e">
        <f>AND(Ischemia_singlenet_25percent_ou!B813,"AAAAAHN9/4Y=")</f>
        <v>#VALUE!</v>
      </c>
      <c r="EF10">
        <f>IF(Ischemia_singlenet_25percent_ou!814:814,"AAAAAHN9/4c=",0)</f>
        <v>0</v>
      </c>
      <c r="EG10" t="e">
        <f>AND(Ischemia_singlenet_25percent_ou!A814,"AAAAAHN9/4g=")</f>
        <v>#VALUE!</v>
      </c>
      <c r="EH10" t="e">
        <f>AND(Ischemia_singlenet_25percent_ou!B814,"AAAAAHN9/4k=")</f>
        <v>#VALUE!</v>
      </c>
      <c r="EI10">
        <f>IF(Ischemia_singlenet_25percent_ou!815:815,"AAAAAHN9/4o=",0)</f>
        <v>0</v>
      </c>
      <c r="EJ10" t="e">
        <f>AND(Ischemia_singlenet_25percent_ou!A815,"AAAAAHN9/4s=")</f>
        <v>#VALUE!</v>
      </c>
      <c r="EK10" t="e">
        <f>AND(Ischemia_singlenet_25percent_ou!B815,"AAAAAHN9/4w=")</f>
        <v>#VALUE!</v>
      </c>
      <c r="EL10">
        <f>IF(Ischemia_singlenet_25percent_ou!816:816,"AAAAAHN9/40=",0)</f>
        <v>0</v>
      </c>
      <c r="EM10" t="e">
        <f>AND(Ischemia_singlenet_25percent_ou!A816,"AAAAAHN9/44=")</f>
        <v>#VALUE!</v>
      </c>
      <c r="EN10" t="e">
        <f>AND(Ischemia_singlenet_25percent_ou!B816,"AAAAAHN9/48=")</f>
        <v>#VALUE!</v>
      </c>
      <c r="EO10">
        <f>IF(Ischemia_singlenet_25percent_ou!817:817,"AAAAAHN9/5A=",0)</f>
        <v>0</v>
      </c>
      <c r="EP10" t="e">
        <f>AND(Ischemia_singlenet_25percent_ou!A817,"AAAAAHN9/5E=")</f>
        <v>#VALUE!</v>
      </c>
      <c r="EQ10" t="e">
        <f>AND(Ischemia_singlenet_25percent_ou!B817,"AAAAAHN9/5I=")</f>
        <v>#VALUE!</v>
      </c>
      <c r="ER10">
        <f>IF(Ischemia_singlenet_25percent_ou!818:818,"AAAAAHN9/5M=",0)</f>
        <v>0</v>
      </c>
      <c r="ES10" t="e">
        <f>AND(Ischemia_singlenet_25percent_ou!A818,"AAAAAHN9/5Q=")</f>
        <v>#VALUE!</v>
      </c>
      <c r="ET10" t="e">
        <f>AND(Ischemia_singlenet_25percent_ou!B818,"AAAAAHN9/5U=")</f>
        <v>#VALUE!</v>
      </c>
      <c r="EU10">
        <f>IF(Ischemia_singlenet_25percent_ou!819:819,"AAAAAHN9/5Y=",0)</f>
        <v>0</v>
      </c>
      <c r="EV10" t="e">
        <f>AND(Ischemia_singlenet_25percent_ou!A819,"AAAAAHN9/5c=")</f>
        <v>#VALUE!</v>
      </c>
      <c r="EW10" t="e">
        <f>AND(Ischemia_singlenet_25percent_ou!B819,"AAAAAHN9/5g=")</f>
        <v>#VALUE!</v>
      </c>
      <c r="EX10">
        <f>IF(Ischemia_singlenet_25percent_ou!820:820,"AAAAAHN9/5k=",0)</f>
        <v>0</v>
      </c>
      <c r="EY10" t="e">
        <f>AND(Ischemia_singlenet_25percent_ou!A820,"AAAAAHN9/5o=")</f>
        <v>#VALUE!</v>
      </c>
      <c r="EZ10" t="e">
        <f>AND(Ischemia_singlenet_25percent_ou!B820,"AAAAAHN9/5s=")</f>
        <v>#VALUE!</v>
      </c>
      <c r="FA10">
        <f>IF(Ischemia_singlenet_25percent_ou!821:821,"AAAAAHN9/5w=",0)</f>
        <v>0</v>
      </c>
      <c r="FB10" t="e">
        <f>AND(Ischemia_singlenet_25percent_ou!A821,"AAAAAHN9/50=")</f>
        <v>#VALUE!</v>
      </c>
      <c r="FC10" t="e">
        <f>AND(Ischemia_singlenet_25percent_ou!B821,"AAAAAHN9/54=")</f>
        <v>#VALUE!</v>
      </c>
      <c r="FD10">
        <f>IF(Ischemia_singlenet_25percent_ou!822:822,"AAAAAHN9/58=",0)</f>
        <v>0</v>
      </c>
      <c r="FE10" t="e">
        <f>AND(Ischemia_singlenet_25percent_ou!A822,"AAAAAHN9/6A=")</f>
        <v>#VALUE!</v>
      </c>
      <c r="FF10" t="e">
        <f>AND(Ischemia_singlenet_25percent_ou!B822,"AAAAAHN9/6E=")</f>
        <v>#VALUE!</v>
      </c>
      <c r="FG10">
        <f>IF(Ischemia_singlenet_25percent_ou!823:823,"AAAAAHN9/6I=",0)</f>
        <v>0</v>
      </c>
      <c r="FH10" t="e">
        <f>AND(Ischemia_singlenet_25percent_ou!A823,"AAAAAHN9/6M=")</f>
        <v>#VALUE!</v>
      </c>
      <c r="FI10" t="e">
        <f>AND(Ischemia_singlenet_25percent_ou!B823,"AAAAAHN9/6Q=")</f>
        <v>#VALUE!</v>
      </c>
      <c r="FJ10">
        <f>IF(Ischemia_singlenet_25percent_ou!824:824,"AAAAAHN9/6U=",0)</f>
        <v>0</v>
      </c>
      <c r="FK10" t="e">
        <f>AND(Ischemia_singlenet_25percent_ou!A824,"AAAAAHN9/6Y=")</f>
        <v>#VALUE!</v>
      </c>
      <c r="FL10" t="e">
        <f>AND(Ischemia_singlenet_25percent_ou!B824,"AAAAAHN9/6c=")</f>
        <v>#VALUE!</v>
      </c>
      <c r="FM10">
        <f>IF(Ischemia_singlenet_25percent_ou!825:825,"AAAAAHN9/6g=",0)</f>
        <v>0</v>
      </c>
      <c r="FN10" t="e">
        <f>AND(Ischemia_singlenet_25percent_ou!A825,"AAAAAHN9/6k=")</f>
        <v>#VALUE!</v>
      </c>
      <c r="FO10" t="e">
        <f>AND(Ischemia_singlenet_25percent_ou!B825,"AAAAAHN9/6o=")</f>
        <v>#VALUE!</v>
      </c>
      <c r="FP10">
        <f>IF(Ischemia_singlenet_25percent_ou!826:826,"AAAAAHN9/6s=",0)</f>
        <v>0</v>
      </c>
      <c r="FQ10" t="e">
        <f>AND(Ischemia_singlenet_25percent_ou!A826,"AAAAAHN9/6w=")</f>
        <v>#VALUE!</v>
      </c>
      <c r="FR10" t="e">
        <f>AND(Ischemia_singlenet_25percent_ou!B826,"AAAAAHN9/60=")</f>
        <v>#VALUE!</v>
      </c>
      <c r="FS10">
        <f>IF(Ischemia_singlenet_25percent_ou!827:827,"AAAAAHN9/64=",0)</f>
        <v>0</v>
      </c>
      <c r="FT10" t="e">
        <f>AND(Ischemia_singlenet_25percent_ou!A827,"AAAAAHN9/68=")</f>
        <v>#VALUE!</v>
      </c>
      <c r="FU10" t="e">
        <f>AND(Ischemia_singlenet_25percent_ou!B827,"AAAAAHN9/7A=")</f>
        <v>#VALUE!</v>
      </c>
      <c r="FV10">
        <f>IF(Ischemia_singlenet_25percent_ou!828:828,"AAAAAHN9/7E=",0)</f>
        <v>0</v>
      </c>
      <c r="FW10" t="e">
        <f>AND(Ischemia_singlenet_25percent_ou!A828,"AAAAAHN9/7I=")</f>
        <v>#VALUE!</v>
      </c>
      <c r="FX10" t="e">
        <f>AND(Ischemia_singlenet_25percent_ou!B828,"AAAAAHN9/7M=")</f>
        <v>#VALUE!</v>
      </c>
      <c r="FY10">
        <f>IF(Ischemia_singlenet_25percent_ou!829:829,"AAAAAHN9/7Q=",0)</f>
        <v>0</v>
      </c>
      <c r="FZ10" t="e">
        <f>AND(Ischemia_singlenet_25percent_ou!A829,"AAAAAHN9/7U=")</f>
        <v>#VALUE!</v>
      </c>
      <c r="GA10" t="e">
        <f>AND(Ischemia_singlenet_25percent_ou!B829,"AAAAAHN9/7Y=")</f>
        <v>#VALUE!</v>
      </c>
      <c r="GB10">
        <f>IF(Ischemia_singlenet_25percent_ou!830:830,"AAAAAHN9/7c=",0)</f>
        <v>0</v>
      </c>
      <c r="GC10" t="e">
        <f>AND(Ischemia_singlenet_25percent_ou!A830,"AAAAAHN9/7g=")</f>
        <v>#VALUE!</v>
      </c>
      <c r="GD10" t="e">
        <f>AND(Ischemia_singlenet_25percent_ou!B830,"AAAAAHN9/7k=")</f>
        <v>#VALUE!</v>
      </c>
      <c r="GE10">
        <f>IF(Ischemia_singlenet_25percent_ou!831:831,"AAAAAHN9/7o=",0)</f>
        <v>0</v>
      </c>
      <c r="GF10" t="e">
        <f>AND(Ischemia_singlenet_25percent_ou!A831,"AAAAAHN9/7s=")</f>
        <v>#VALUE!</v>
      </c>
      <c r="GG10" t="e">
        <f>AND(Ischemia_singlenet_25percent_ou!B831,"AAAAAHN9/7w=")</f>
        <v>#VALUE!</v>
      </c>
      <c r="GH10">
        <f>IF(Ischemia_singlenet_25percent_ou!832:832,"AAAAAHN9/70=",0)</f>
        <v>0</v>
      </c>
      <c r="GI10" t="e">
        <f>AND(Ischemia_singlenet_25percent_ou!A832,"AAAAAHN9/74=")</f>
        <v>#VALUE!</v>
      </c>
      <c r="GJ10" t="e">
        <f>AND(Ischemia_singlenet_25percent_ou!B832,"AAAAAHN9/78=")</f>
        <v>#VALUE!</v>
      </c>
      <c r="GK10">
        <f>IF(Ischemia_singlenet_25percent_ou!833:833,"AAAAAHN9/8A=",0)</f>
        <v>0</v>
      </c>
      <c r="GL10" t="e">
        <f>AND(Ischemia_singlenet_25percent_ou!A833,"AAAAAHN9/8E=")</f>
        <v>#VALUE!</v>
      </c>
      <c r="GM10" t="e">
        <f>AND(Ischemia_singlenet_25percent_ou!B833,"AAAAAHN9/8I=")</f>
        <v>#VALUE!</v>
      </c>
      <c r="GN10">
        <f>IF(Ischemia_singlenet_25percent_ou!834:834,"AAAAAHN9/8M=",0)</f>
        <v>0</v>
      </c>
      <c r="GO10" t="e">
        <f>AND(Ischemia_singlenet_25percent_ou!A834,"AAAAAHN9/8Q=")</f>
        <v>#VALUE!</v>
      </c>
      <c r="GP10" t="e">
        <f>AND(Ischemia_singlenet_25percent_ou!B834,"AAAAAHN9/8U=")</f>
        <v>#VALUE!</v>
      </c>
      <c r="GQ10">
        <f>IF(Ischemia_singlenet_25percent_ou!835:835,"AAAAAHN9/8Y=",0)</f>
        <v>0</v>
      </c>
      <c r="GR10" t="e">
        <f>AND(Ischemia_singlenet_25percent_ou!A835,"AAAAAHN9/8c=")</f>
        <v>#VALUE!</v>
      </c>
      <c r="GS10" t="e">
        <f>AND(Ischemia_singlenet_25percent_ou!B835,"AAAAAHN9/8g=")</f>
        <v>#VALUE!</v>
      </c>
      <c r="GT10">
        <f>IF(Ischemia_singlenet_25percent_ou!836:836,"AAAAAHN9/8k=",0)</f>
        <v>0</v>
      </c>
      <c r="GU10" t="e">
        <f>AND(Ischemia_singlenet_25percent_ou!A836,"AAAAAHN9/8o=")</f>
        <v>#VALUE!</v>
      </c>
      <c r="GV10" t="e">
        <f>AND(Ischemia_singlenet_25percent_ou!B836,"AAAAAHN9/8s=")</f>
        <v>#VALUE!</v>
      </c>
      <c r="GW10">
        <f>IF(Ischemia_singlenet_25percent_ou!837:837,"AAAAAHN9/8w=",0)</f>
        <v>0</v>
      </c>
      <c r="GX10" t="e">
        <f>AND(Ischemia_singlenet_25percent_ou!A837,"AAAAAHN9/80=")</f>
        <v>#VALUE!</v>
      </c>
      <c r="GY10" t="e">
        <f>AND(Ischemia_singlenet_25percent_ou!B837,"AAAAAHN9/84=")</f>
        <v>#VALUE!</v>
      </c>
      <c r="GZ10">
        <f>IF(Ischemia_singlenet_25percent_ou!838:838,"AAAAAHN9/88=",0)</f>
        <v>0</v>
      </c>
      <c r="HA10" t="e">
        <f>AND(Ischemia_singlenet_25percent_ou!A838,"AAAAAHN9/9A=")</f>
        <v>#VALUE!</v>
      </c>
      <c r="HB10" t="e">
        <f>AND(Ischemia_singlenet_25percent_ou!B838,"AAAAAHN9/9E=")</f>
        <v>#VALUE!</v>
      </c>
      <c r="HC10">
        <f>IF(Ischemia_singlenet_25percent_ou!839:839,"AAAAAHN9/9I=",0)</f>
        <v>0</v>
      </c>
      <c r="HD10" t="e">
        <f>AND(Ischemia_singlenet_25percent_ou!A839,"AAAAAHN9/9M=")</f>
        <v>#VALUE!</v>
      </c>
      <c r="HE10" t="e">
        <f>AND(Ischemia_singlenet_25percent_ou!B839,"AAAAAHN9/9Q=")</f>
        <v>#VALUE!</v>
      </c>
      <c r="HF10">
        <f>IF(Ischemia_singlenet_25percent_ou!840:840,"AAAAAHN9/9U=",0)</f>
        <v>0</v>
      </c>
      <c r="HG10" t="e">
        <f>AND(Ischemia_singlenet_25percent_ou!A840,"AAAAAHN9/9Y=")</f>
        <v>#VALUE!</v>
      </c>
      <c r="HH10" t="e">
        <f>AND(Ischemia_singlenet_25percent_ou!B840,"AAAAAHN9/9c=")</f>
        <v>#VALUE!</v>
      </c>
      <c r="HI10">
        <f>IF(Ischemia_singlenet_25percent_ou!841:841,"AAAAAHN9/9g=",0)</f>
        <v>0</v>
      </c>
      <c r="HJ10" t="e">
        <f>AND(Ischemia_singlenet_25percent_ou!A841,"AAAAAHN9/9k=")</f>
        <v>#VALUE!</v>
      </c>
      <c r="HK10" t="e">
        <f>AND(Ischemia_singlenet_25percent_ou!B841,"AAAAAHN9/9o=")</f>
        <v>#VALUE!</v>
      </c>
      <c r="HL10">
        <f>IF(Ischemia_singlenet_25percent_ou!842:842,"AAAAAHN9/9s=",0)</f>
        <v>0</v>
      </c>
      <c r="HM10" t="e">
        <f>AND(Ischemia_singlenet_25percent_ou!A842,"AAAAAHN9/9w=")</f>
        <v>#VALUE!</v>
      </c>
      <c r="HN10" t="e">
        <f>AND(Ischemia_singlenet_25percent_ou!B842,"AAAAAHN9/90=")</f>
        <v>#VALUE!</v>
      </c>
      <c r="HO10">
        <f>IF(Ischemia_singlenet_25percent_ou!843:843,"AAAAAHN9/94=",0)</f>
        <v>0</v>
      </c>
      <c r="HP10" t="e">
        <f>AND(Ischemia_singlenet_25percent_ou!A843,"AAAAAHN9/98=")</f>
        <v>#VALUE!</v>
      </c>
      <c r="HQ10" t="e">
        <f>AND(Ischemia_singlenet_25percent_ou!B843,"AAAAAHN9/+A=")</f>
        <v>#VALUE!</v>
      </c>
      <c r="HR10">
        <f>IF(Ischemia_singlenet_25percent_ou!844:844,"AAAAAHN9/+E=",0)</f>
        <v>0</v>
      </c>
      <c r="HS10" t="e">
        <f>AND(Ischemia_singlenet_25percent_ou!A844,"AAAAAHN9/+I=")</f>
        <v>#VALUE!</v>
      </c>
      <c r="HT10" t="e">
        <f>AND(Ischemia_singlenet_25percent_ou!B844,"AAAAAHN9/+M=")</f>
        <v>#VALUE!</v>
      </c>
      <c r="HU10">
        <f>IF(Ischemia_singlenet_25percent_ou!845:845,"AAAAAHN9/+Q=",0)</f>
        <v>0</v>
      </c>
      <c r="HV10" t="e">
        <f>AND(Ischemia_singlenet_25percent_ou!A845,"AAAAAHN9/+U=")</f>
        <v>#VALUE!</v>
      </c>
      <c r="HW10" t="e">
        <f>AND(Ischemia_singlenet_25percent_ou!B845,"AAAAAHN9/+Y=")</f>
        <v>#VALUE!</v>
      </c>
      <c r="HX10">
        <f>IF(Ischemia_singlenet_25percent_ou!846:846,"AAAAAHN9/+c=",0)</f>
        <v>0</v>
      </c>
      <c r="HY10" t="e">
        <f>AND(Ischemia_singlenet_25percent_ou!A846,"AAAAAHN9/+g=")</f>
        <v>#VALUE!</v>
      </c>
      <c r="HZ10" t="e">
        <f>AND(Ischemia_singlenet_25percent_ou!B846,"AAAAAHN9/+k=")</f>
        <v>#VALUE!</v>
      </c>
      <c r="IA10">
        <f>IF(Ischemia_singlenet_25percent_ou!847:847,"AAAAAHN9/+o=",0)</f>
        <v>0</v>
      </c>
      <c r="IB10" t="e">
        <f>AND(Ischemia_singlenet_25percent_ou!A847,"AAAAAHN9/+s=")</f>
        <v>#VALUE!</v>
      </c>
      <c r="IC10" t="e">
        <f>AND(Ischemia_singlenet_25percent_ou!B847,"AAAAAHN9/+w=")</f>
        <v>#VALUE!</v>
      </c>
      <c r="ID10">
        <f>IF(Ischemia_singlenet_25percent_ou!848:848,"AAAAAHN9/+0=",0)</f>
        <v>0</v>
      </c>
      <c r="IE10" t="e">
        <f>AND(Ischemia_singlenet_25percent_ou!A848,"AAAAAHN9/+4=")</f>
        <v>#VALUE!</v>
      </c>
      <c r="IF10" t="e">
        <f>AND(Ischemia_singlenet_25percent_ou!B848,"AAAAAHN9/+8=")</f>
        <v>#VALUE!</v>
      </c>
      <c r="IG10">
        <f>IF(Ischemia_singlenet_25percent_ou!849:849,"AAAAAHN9//A=",0)</f>
        <v>0</v>
      </c>
      <c r="IH10" t="e">
        <f>AND(Ischemia_singlenet_25percent_ou!A849,"AAAAAHN9//E=")</f>
        <v>#VALUE!</v>
      </c>
      <c r="II10" t="e">
        <f>AND(Ischemia_singlenet_25percent_ou!B849,"AAAAAHN9//I=")</f>
        <v>#VALUE!</v>
      </c>
      <c r="IJ10">
        <f>IF(Ischemia_singlenet_25percent_ou!850:850,"AAAAAHN9//M=",0)</f>
        <v>0</v>
      </c>
      <c r="IK10" t="e">
        <f>AND(Ischemia_singlenet_25percent_ou!A850,"AAAAAHN9//Q=")</f>
        <v>#VALUE!</v>
      </c>
      <c r="IL10" t="e">
        <f>AND(Ischemia_singlenet_25percent_ou!B850,"AAAAAHN9//U=")</f>
        <v>#VALUE!</v>
      </c>
      <c r="IM10">
        <f>IF(Ischemia_singlenet_25percent_ou!851:851,"AAAAAHN9//Y=",0)</f>
        <v>0</v>
      </c>
      <c r="IN10" t="e">
        <f>AND(Ischemia_singlenet_25percent_ou!A851,"AAAAAHN9//c=")</f>
        <v>#VALUE!</v>
      </c>
      <c r="IO10" t="e">
        <f>AND(Ischemia_singlenet_25percent_ou!B851,"AAAAAHN9//g=")</f>
        <v>#VALUE!</v>
      </c>
      <c r="IP10">
        <f>IF(Ischemia_singlenet_25percent_ou!852:852,"AAAAAHN9//k=",0)</f>
        <v>0</v>
      </c>
      <c r="IQ10" t="e">
        <f>AND(Ischemia_singlenet_25percent_ou!A852,"AAAAAHN9//o=")</f>
        <v>#VALUE!</v>
      </c>
      <c r="IR10" t="e">
        <f>AND(Ischemia_singlenet_25percent_ou!B852,"AAAAAHN9//s=")</f>
        <v>#VALUE!</v>
      </c>
      <c r="IS10">
        <f>IF(Ischemia_singlenet_25percent_ou!853:853,"AAAAAHN9//w=",0)</f>
        <v>0</v>
      </c>
      <c r="IT10" t="e">
        <f>AND(Ischemia_singlenet_25percent_ou!A853,"AAAAAHN9//0=")</f>
        <v>#VALUE!</v>
      </c>
      <c r="IU10" t="e">
        <f>AND(Ischemia_singlenet_25percent_ou!B853,"AAAAAHN9//4=")</f>
        <v>#VALUE!</v>
      </c>
      <c r="IV10">
        <f>IF(Ischemia_singlenet_25percent_ou!854:854,"AAAAAHN9//8=",0)</f>
        <v>0</v>
      </c>
    </row>
    <row r="11" spans="1:256">
      <c r="A11" t="e">
        <f>AND(Ischemia_singlenet_25percent_ou!A854,"AAAAAD+/VwA=")</f>
        <v>#VALUE!</v>
      </c>
      <c r="B11" t="e">
        <f>AND(Ischemia_singlenet_25percent_ou!B854,"AAAAAD+/VwE=")</f>
        <v>#VALUE!</v>
      </c>
      <c r="C11">
        <f>IF(Ischemia_singlenet_25percent_ou!855:855,"AAAAAD+/VwI=",0)</f>
        <v>0</v>
      </c>
      <c r="D11" t="e">
        <f>AND(Ischemia_singlenet_25percent_ou!A855,"AAAAAD+/VwM=")</f>
        <v>#VALUE!</v>
      </c>
      <c r="E11" t="e">
        <f>AND(Ischemia_singlenet_25percent_ou!B855,"AAAAAD+/VwQ=")</f>
        <v>#VALUE!</v>
      </c>
      <c r="F11">
        <f>IF(Ischemia_singlenet_25percent_ou!856:856,"AAAAAD+/VwU=",0)</f>
        <v>0</v>
      </c>
      <c r="G11" t="e">
        <f>AND(Ischemia_singlenet_25percent_ou!A856,"AAAAAD+/VwY=")</f>
        <v>#VALUE!</v>
      </c>
      <c r="H11" t="e">
        <f>AND(Ischemia_singlenet_25percent_ou!B856,"AAAAAD+/Vwc=")</f>
        <v>#VALUE!</v>
      </c>
      <c r="I11">
        <f>IF(Ischemia_singlenet_25percent_ou!857:857,"AAAAAD+/Vwg=",0)</f>
        <v>0</v>
      </c>
      <c r="J11" t="e">
        <f>AND(Ischemia_singlenet_25percent_ou!A857,"AAAAAD+/Vwk=")</f>
        <v>#VALUE!</v>
      </c>
      <c r="K11" t="e">
        <f>AND(Ischemia_singlenet_25percent_ou!B857,"AAAAAD+/Vwo=")</f>
        <v>#VALUE!</v>
      </c>
      <c r="L11">
        <f>IF(Ischemia_singlenet_25percent_ou!858:858,"AAAAAD+/Vws=",0)</f>
        <v>0</v>
      </c>
      <c r="M11" t="e">
        <f>AND(Ischemia_singlenet_25percent_ou!A858,"AAAAAD+/Vww=")</f>
        <v>#VALUE!</v>
      </c>
      <c r="N11" t="e">
        <f>AND(Ischemia_singlenet_25percent_ou!B858,"AAAAAD+/Vw0=")</f>
        <v>#VALUE!</v>
      </c>
      <c r="O11">
        <f>IF(Ischemia_singlenet_25percent_ou!859:859,"AAAAAD+/Vw4=",0)</f>
        <v>0</v>
      </c>
      <c r="P11" t="e">
        <f>AND(Ischemia_singlenet_25percent_ou!A859,"AAAAAD+/Vw8=")</f>
        <v>#VALUE!</v>
      </c>
      <c r="Q11" t="e">
        <f>AND(Ischemia_singlenet_25percent_ou!B859,"AAAAAD+/VxA=")</f>
        <v>#VALUE!</v>
      </c>
      <c r="R11">
        <f>IF(Ischemia_singlenet_25percent_ou!860:860,"AAAAAD+/VxE=",0)</f>
        <v>0</v>
      </c>
      <c r="S11" t="e">
        <f>AND(Ischemia_singlenet_25percent_ou!A860,"AAAAAD+/VxI=")</f>
        <v>#VALUE!</v>
      </c>
      <c r="T11" t="e">
        <f>AND(Ischemia_singlenet_25percent_ou!B860,"AAAAAD+/VxM=")</f>
        <v>#VALUE!</v>
      </c>
      <c r="U11">
        <f>IF(Ischemia_singlenet_25percent_ou!861:861,"AAAAAD+/VxQ=",0)</f>
        <v>0</v>
      </c>
      <c r="V11" t="e">
        <f>AND(Ischemia_singlenet_25percent_ou!A861,"AAAAAD+/VxU=")</f>
        <v>#VALUE!</v>
      </c>
      <c r="W11" t="e">
        <f>AND(Ischemia_singlenet_25percent_ou!B861,"AAAAAD+/VxY=")</f>
        <v>#VALUE!</v>
      </c>
      <c r="X11">
        <f>IF(Ischemia_singlenet_25percent_ou!862:862,"AAAAAD+/Vxc=",0)</f>
        <v>0</v>
      </c>
      <c r="Y11" t="e">
        <f>AND(Ischemia_singlenet_25percent_ou!A862,"AAAAAD+/Vxg=")</f>
        <v>#VALUE!</v>
      </c>
      <c r="Z11" t="e">
        <f>AND(Ischemia_singlenet_25percent_ou!B862,"AAAAAD+/Vxk=")</f>
        <v>#VALUE!</v>
      </c>
      <c r="AA11">
        <f>IF(Ischemia_singlenet_25percent_ou!863:863,"AAAAAD+/Vxo=",0)</f>
        <v>0</v>
      </c>
      <c r="AB11" t="e">
        <f>AND(Ischemia_singlenet_25percent_ou!A863,"AAAAAD+/Vxs=")</f>
        <v>#VALUE!</v>
      </c>
      <c r="AC11" t="e">
        <f>AND(Ischemia_singlenet_25percent_ou!B863,"AAAAAD+/Vxw=")</f>
        <v>#VALUE!</v>
      </c>
      <c r="AD11">
        <f>IF(Ischemia_singlenet_25percent_ou!864:864,"AAAAAD+/Vx0=",0)</f>
        <v>0</v>
      </c>
      <c r="AE11" t="e">
        <f>AND(Ischemia_singlenet_25percent_ou!A864,"AAAAAD+/Vx4=")</f>
        <v>#VALUE!</v>
      </c>
      <c r="AF11" t="e">
        <f>AND(Ischemia_singlenet_25percent_ou!B864,"AAAAAD+/Vx8=")</f>
        <v>#VALUE!</v>
      </c>
      <c r="AG11">
        <f>IF(Ischemia_singlenet_25percent_ou!865:865,"AAAAAD+/VyA=",0)</f>
        <v>0</v>
      </c>
      <c r="AH11" t="e">
        <f>AND(Ischemia_singlenet_25percent_ou!A865,"AAAAAD+/VyE=")</f>
        <v>#VALUE!</v>
      </c>
      <c r="AI11" t="e">
        <f>AND(Ischemia_singlenet_25percent_ou!B865,"AAAAAD+/VyI=")</f>
        <v>#VALUE!</v>
      </c>
      <c r="AJ11">
        <f>IF(Ischemia_singlenet_25percent_ou!866:866,"AAAAAD+/VyM=",0)</f>
        <v>0</v>
      </c>
      <c r="AK11" t="e">
        <f>AND(Ischemia_singlenet_25percent_ou!A866,"AAAAAD+/VyQ=")</f>
        <v>#VALUE!</v>
      </c>
      <c r="AL11" t="e">
        <f>AND(Ischemia_singlenet_25percent_ou!B866,"AAAAAD+/VyU=")</f>
        <v>#VALUE!</v>
      </c>
      <c r="AM11">
        <f>IF(Ischemia_singlenet_25percent_ou!867:867,"AAAAAD+/VyY=",0)</f>
        <v>0</v>
      </c>
      <c r="AN11" t="e">
        <f>AND(Ischemia_singlenet_25percent_ou!A867,"AAAAAD+/Vyc=")</f>
        <v>#VALUE!</v>
      </c>
      <c r="AO11" t="e">
        <f>AND(Ischemia_singlenet_25percent_ou!B867,"AAAAAD+/Vyg=")</f>
        <v>#VALUE!</v>
      </c>
      <c r="AP11">
        <f>IF(Ischemia_singlenet_25percent_ou!868:868,"AAAAAD+/Vyk=",0)</f>
        <v>0</v>
      </c>
      <c r="AQ11" t="e">
        <f>AND(Ischemia_singlenet_25percent_ou!A868,"AAAAAD+/Vyo=")</f>
        <v>#VALUE!</v>
      </c>
      <c r="AR11" t="e">
        <f>AND(Ischemia_singlenet_25percent_ou!B868,"AAAAAD+/Vys=")</f>
        <v>#VALUE!</v>
      </c>
      <c r="AS11">
        <f>IF(Ischemia_singlenet_25percent_ou!869:869,"AAAAAD+/Vyw=",0)</f>
        <v>0</v>
      </c>
      <c r="AT11" t="e">
        <f>AND(Ischemia_singlenet_25percent_ou!A869,"AAAAAD+/Vy0=")</f>
        <v>#VALUE!</v>
      </c>
      <c r="AU11" t="e">
        <f>AND(Ischemia_singlenet_25percent_ou!B869,"AAAAAD+/Vy4=")</f>
        <v>#VALUE!</v>
      </c>
      <c r="AV11">
        <f>IF(Ischemia_singlenet_25percent_ou!870:870,"AAAAAD+/Vy8=",0)</f>
        <v>0</v>
      </c>
      <c r="AW11" t="e">
        <f>AND(Ischemia_singlenet_25percent_ou!A870,"AAAAAD+/VzA=")</f>
        <v>#VALUE!</v>
      </c>
      <c r="AX11" t="e">
        <f>AND(Ischemia_singlenet_25percent_ou!B870,"AAAAAD+/VzE=")</f>
        <v>#VALUE!</v>
      </c>
      <c r="AY11">
        <f>IF(Ischemia_singlenet_25percent_ou!871:871,"AAAAAD+/VzI=",0)</f>
        <v>0</v>
      </c>
      <c r="AZ11" t="e">
        <f>AND(Ischemia_singlenet_25percent_ou!A871,"AAAAAD+/VzM=")</f>
        <v>#VALUE!</v>
      </c>
      <c r="BA11" t="e">
        <f>AND(Ischemia_singlenet_25percent_ou!B871,"AAAAAD+/VzQ=")</f>
        <v>#VALUE!</v>
      </c>
      <c r="BB11">
        <f>IF(Ischemia_singlenet_25percent_ou!872:872,"AAAAAD+/VzU=",0)</f>
        <v>0</v>
      </c>
      <c r="BC11" t="e">
        <f>AND(Ischemia_singlenet_25percent_ou!A872,"AAAAAD+/VzY=")</f>
        <v>#VALUE!</v>
      </c>
      <c r="BD11" t="e">
        <f>AND(Ischemia_singlenet_25percent_ou!B872,"AAAAAD+/Vzc=")</f>
        <v>#VALUE!</v>
      </c>
      <c r="BE11">
        <f>IF(Ischemia_singlenet_25percent_ou!873:873,"AAAAAD+/Vzg=",0)</f>
        <v>0</v>
      </c>
      <c r="BF11" t="e">
        <f>AND(Ischemia_singlenet_25percent_ou!A873,"AAAAAD+/Vzk=")</f>
        <v>#VALUE!</v>
      </c>
      <c r="BG11" t="e">
        <f>AND(Ischemia_singlenet_25percent_ou!B873,"AAAAAD+/Vzo=")</f>
        <v>#VALUE!</v>
      </c>
      <c r="BH11">
        <f>IF(Ischemia_singlenet_25percent_ou!874:874,"AAAAAD+/Vzs=",0)</f>
        <v>0</v>
      </c>
      <c r="BI11" t="e">
        <f>AND(Ischemia_singlenet_25percent_ou!A874,"AAAAAD+/Vzw=")</f>
        <v>#VALUE!</v>
      </c>
      <c r="BJ11" t="e">
        <f>AND(Ischemia_singlenet_25percent_ou!B874,"AAAAAD+/Vz0=")</f>
        <v>#VALUE!</v>
      </c>
      <c r="BK11">
        <f>IF(Ischemia_singlenet_25percent_ou!875:875,"AAAAAD+/Vz4=",0)</f>
        <v>0</v>
      </c>
      <c r="BL11" t="e">
        <f>AND(Ischemia_singlenet_25percent_ou!A875,"AAAAAD+/Vz8=")</f>
        <v>#VALUE!</v>
      </c>
      <c r="BM11" t="e">
        <f>AND(Ischemia_singlenet_25percent_ou!B875,"AAAAAD+/V0A=")</f>
        <v>#VALUE!</v>
      </c>
      <c r="BN11">
        <f>IF(Ischemia_singlenet_25percent_ou!876:876,"AAAAAD+/V0E=",0)</f>
        <v>0</v>
      </c>
      <c r="BO11" t="e">
        <f>AND(Ischemia_singlenet_25percent_ou!A876,"AAAAAD+/V0I=")</f>
        <v>#VALUE!</v>
      </c>
      <c r="BP11" t="e">
        <f>AND(Ischemia_singlenet_25percent_ou!B876,"AAAAAD+/V0M=")</f>
        <v>#VALUE!</v>
      </c>
      <c r="BQ11">
        <f>IF(Ischemia_singlenet_25percent_ou!877:877,"AAAAAD+/V0Q=",0)</f>
        <v>0</v>
      </c>
      <c r="BR11" t="e">
        <f>AND(Ischemia_singlenet_25percent_ou!A877,"AAAAAD+/V0U=")</f>
        <v>#VALUE!</v>
      </c>
      <c r="BS11" t="e">
        <f>AND(Ischemia_singlenet_25percent_ou!B877,"AAAAAD+/V0Y=")</f>
        <v>#VALUE!</v>
      </c>
      <c r="BT11">
        <f>IF(Ischemia_singlenet_25percent_ou!878:878,"AAAAAD+/V0c=",0)</f>
        <v>0</v>
      </c>
      <c r="BU11" t="e">
        <f>AND(Ischemia_singlenet_25percent_ou!A878,"AAAAAD+/V0g=")</f>
        <v>#VALUE!</v>
      </c>
      <c r="BV11" t="e">
        <f>AND(Ischemia_singlenet_25percent_ou!B878,"AAAAAD+/V0k=")</f>
        <v>#VALUE!</v>
      </c>
      <c r="BW11">
        <f>IF(Ischemia_singlenet_25percent_ou!879:879,"AAAAAD+/V0o=",0)</f>
        <v>0</v>
      </c>
      <c r="BX11" t="e">
        <f>AND(Ischemia_singlenet_25percent_ou!A879,"AAAAAD+/V0s=")</f>
        <v>#VALUE!</v>
      </c>
      <c r="BY11" t="e">
        <f>AND(Ischemia_singlenet_25percent_ou!B879,"AAAAAD+/V0w=")</f>
        <v>#VALUE!</v>
      </c>
      <c r="BZ11">
        <f>IF(Ischemia_singlenet_25percent_ou!880:880,"AAAAAD+/V00=",0)</f>
        <v>0</v>
      </c>
      <c r="CA11" t="e">
        <f>AND(Ischemia_singlenet_25percent_ou!A880,"AAAAAD+/V04=")</f>
        <v>#VALUE!</v>
      </c>
      <c r="CB11" t="e">
        <f>AND(Ischemia_singlenet_25percent_ou!B880,"AAAAAD+/V08=")</f>
        <v>#VALUE!</v>
      </c>
      <c r="CC11">
        <f>IF(Ischemia_singlenet_25percent_ou!881:881,"AAAAAD+/V1A=",0)</f>
        <v>0</v>
      </c>
      <c r="CD11" t="e">
        <f>AND(Ischemia_singlenet_25percent_ou!A881,"AAAAAD+/V1E=")</f>
        <v>#VALUE!</v>
      </c>
      <c r="CE11" t="e">
        <f>AND(Ischemia_singlenet_25percent_ou!B881,"AAAAAD+/V1I=")</f>
        <v>#VALUE!</v>
      </c>
      <c r="CF11">
        <f>IF(Ischemia_singlenet_25percent_ou!882:882,"AAAAAD+/V1M=",0)</f>
        <v>0</v>
      </c>
      <c r="CG11" t="e">
        <f>AND(Ischemia_singlenet_25percent_ou!A882,"AAAAAD+/V1Q=")</f>
        <v>#VALUE!</v>
      </c>
      <c r="CH11" t="e">
        <f>AND(Ischemia_singlenet_25percent_ou!B882,"AAAAAD+/V1U=")</f>
        <v>#VALUE!</v>
      </c>
      <c r="CI11">
        <f>IF(Ischemia_singlenet_25percent_ou!883:883,"AAAAAD+/V1Y=",0)</f>
        <v>0</v>
      </c>
      <c r="CJ11" t="e">
        <f>AND(Ischemia_singlenet_25percent_ou!A883,"AAAAAD+/V1c=")</f>
        <v>#VALUE!</v>
      </c>
      <c r="CK11" t="e">
        <f>AND(Ischemia_singlenet_25percent_ou!B883,"AAAAAD+/V1g=")</f>
        <v>#VALUE!</v>
      </c>
      <c r="CL11">
        <f>IF(Ischemia_singlenet_25percent_ou!884:884,"AAAAAD+/V1k=",0)</f>
        <v>0</v>
      </c>
      <c r="CM11" t="e">
        <f>AND(Ischemia_singlenet_25percent_ou!A884,"AAAAAD+/V1o=")</f>
        <v>#VALUE!</v>
      </c>
      <c r="CN11" t="e">
        <f>AND(Ischemia_singlenet_25percent_ou!B884,"AAAAAD+/V1s=")</f>
        <v>#VALUE!</v>
      </c>
      <c r="CO11">
        <f>IF(Ischemia_singlenet_25percent_ou!885:885,"AAAAAD+/V1w=",0)</f>
        <v>0</v>
      </c>
      <c r="CP11" t="e">
        <f>AND(Ischemia_singlenet_25percent_ou!A885,"AAAAAD+/V10=")</f>
        <v>#VALUE!</v>
      </c>
      <c r="CQ11" t="e">
        <f>AND(Ischemia_singlenet_25percent_ou!B885,"AAAAAD+/V14=")</f>
        <v>#VALUE!</v>
      </c>
      <c r="CR11">
        <f>IF(Ischemia_singlenet_25percent_ou!886:886,"AAAAAD+/V18=",0)</f>
        <v>0</v>
      </c>
      <c r="CS11" t="e">
        <f>AND(Ischemia_singlenet_25percent_ou!A886,"AAAAAD+/V2A=")</f>
        <v>#VALUE!</v>
      </c>
      <c r="CT11" t="e">
        <f>AND(Ischemia_singlenet_25percent_ou!B886,"AAAAAD+/V2E=")</f>
        <v>#VALUE!</v>
      </c>
      <c r="CU11">
        <f>IF(Ischemia_singlenet_25percent_ou!887:887,"AAAAAD+/V2I=",0)</f>
        <v>0</v>
      </c>
      <c r="CV11" t="e">
        <f>AND(Ischemia_singlenet_25percent_ou!A887,"AAAAAD+/V2M=")</f>
        <v>#VALUE!</v>
      </c>
      <c r="CW11" t="e">
        <f>AND(Ischemia_singlenet_25percent_ou!B887,"AAAAAD+/V2Q=")</f>
        <v>#VALUE!</v>
      </c>
      <c r="CX11">
        <f>IF(Ischemia_singlenet_25percent_ou!888:888,"AAAAAD+/V2U=",0)</f>
        <v>0</v>
      </c>
      <c r="CY11" t="e">
        <f>AND(Ischemia_singlenet_25percent_ou!A888,"AAAAAD+/V2Y=")</f>
        <v>#VALUE!</v>
      </c>
      <c r="CZ11" t="e">
        <f>AND(Ischemia_singlenet_25percent_ou!B888,"AAAAAD+/V2c=")</f>
        <v>#VALUE!</v>
      </c>
      <c r="DA11">
        <f>IF(Ischemia_singlenet_25percent_ou!889:889,"AAAAAD+/V2g=",0)</f>
        <v>0</v>
      </c>
      <c r="DB11" t="e">
        <f>AND(Ischemia_singlenet_25percent_ou!A889,"AAAAAD+/V2k=")</f>
        <v>#VALUE!</v>
      </c>
      <c r="DC11" t="e">
        <f>AND(Ischemia_singlenet_25percent_ou!B889,"AAAAAD+/V2o=")</f>
        <v>#VALUE!</v>
      </c>
      <c r="DD11">
        <f>IF(Ischemia_singlenet_25percent_ou!890:890,"AAAAAD+/V2s=",0)</f>
        <v>0</v>
      </c>
      <c r="DE11" t="e">
        <f>AND(Ischemia_singlenet_25percent_ou!A890,"AAAAAD+/V2w=")</f>
        <v>#VALUE!</v>
      </c>
      <c r="DF11" t="e">
        <f>AND(Ischemia_singlenet_25percent_ou!B890,"AAAAAD+/V20=")</f>
        <v>#VALUE!</v>
      </c>
      <c r="DG11">
        <f>IF(Ischemia_singlenet_25percent_ou!891:891,"AAAAAD+/V24=",0)</f>
        <v>0</v>
      </c>
      <c r="DH11" t="e">
        <f>AND(Ischemia_singlenet_25percent_ou!A891,"AAAAAD+/V28=")</f>
        <v>#VALUE!</v>
      </c>
      <c r="DI11" t="e">
        <f>AND(Ischemia_singlenet_25percent_ou!B891,"AAAAAD+/V3A=")</f>
        <v>#VALUE!</v>
      </c>
      <c r="DJ11">
        <f>IF(Ischemia_singlenet_25percent_ou!892:892,"AAAAAD+/V3E=",0)</f>
        <v>0</v>
      </c>
      <c r="DK11" t="e">
        <f>AND(Ischemia_singlenet_25percent_ou!A892,"AAAAAD+/V3I=")</f>
        <v>#VALUE!</v>
      </c>
      <c r="DL11" t="e">
        <f>AND(Ischemia_singlenet_25percent_ou!B892,"AAAAAD+/V3M=")</f>
        <v>#VALUE!</v>
      </c>
      <c r="DM11">
        <f>IF(Ischemia_singlenet_25percent_ou!893:893,"AAAAAD+/V3Q=",0)</f>
        <v>0</v>
      </c>
      <c r="DN11" t="e">
        <f>AND(Ischemia_singlenet_25percent_ou!A893,"AAAAAD+/V3U=")</f>
        <v>#VALUE!</v>
      </c>
      <c r="DO11" t="e">
        <f>AND(Ischemia_singlenet_25percent_ou!B893,"AAAAAD+/V3Y=")</f>
        <v>#VALUE!</v>
      </c>
      <c r="DP11">
        <f>IF(Ischemia_singlenet_25percent_ou!894:894,"AAAAAD+/V3c=",0)</f>
        <v>0</v>
      </c>
      <c r="DQ11" t="e">
        <f>AND(Ischemia_singlenet_25percent_ou!A894,"AAAAAD+/V3g=")</f>
        <v>#VALUE!</v>
      </c>
      <c r="DR11" t="e">
        <f>AND(Ischemia_singlenet_25percent_ou!B894,"AAAAAD+/V3k=")</f>
        <v>#VALUE!</v>
      </c>
      <c r="DS11">
        <f>IF(Ischemia_singlenet_25percent_ou!895:895,"AAAAAD+/V3o=",0)</f>
        <v>0</v>
      </c>
      <c r="DT11" t="e">
        <f>AND(Ischemia_singlenet_25percent_ou!A895,"AAAAAD+/V3s=")</f>
        <v>#VALUE!</v>
      </c>
      <c r="DU11" t="e">
        <f>AND(Ischemia_singlenet_25percent_ou!B895,"AAAAAD+/V3w=")</f>
        <v>#VALUE!</v>
      </c>
      <c r="DV11">
        <f>IF(Ischemia_singlenet_25percent_ou!896:896,"AAAAAD+/V30=",0)</f>
        <v>0</v>
      </c>
      <c r="DW11" t="e">
        <f>AND(Ischemia_singlenet_25percent_ou!A896,"AAAAAD+/V34=")</f>
        <v>#VALUE!</v>
      </c>
      <c r="DX11" t="e">
        <f>AND(Ischemia_singlenet_25percent_ou!B896,"AAAAAD+/V38=")</f>
        <v>#VALUE!</v>
      </c>
      <c r="DY11">
        <f>IF(Ischemia_singlenet_25percent_ou!897:897,"AAAAAD+/V4A=",0)</f>
        <v>0</v>
      </c>
      <c r="DZ11" t="e">
        <f>AND(Ischemia_singlenet_25percent_ou!A897,"AAAAAD+/V4E=")</f>
        <v>#VALUE!</v>
      </c>
      <c r="EA11" t="e">
        <f>AND(Ischemia_singlenet_25percent_ou!B897,"AAAAAD+/V4I=")</f>
        <v>#VALUE!</v>
      </c>
      <c r="EB11">
        <f>IF(Ischemia_singlenet_25percent_ou!898:898,"AAAAAD+/V4M=",0)</f>
        <v>0</v>
      </c>
      <c r="EC11" t="e">
        <f>AND(Ischemia_singlenet_25percent_ou!A898,"AAAAAD+/V4Q=")</f>
        <v>#VALUE!</v>
      </c>
      <c r="ED11" t="e">
        <f>AND(Ischemia_singlenet_25percent_ou!B898,"AAAAAD+/V4U=")</f>
        <v>#VALUE!</v>
      </c>
      <c r="EE11">
        <f>IF(Ischemia_singlenet_25percent_ou!899:899,"AAAAAD+/V4Y=",0)</f>
        <v>0</v>
      </c>
      <c r="EF11" t="e">
        <f>AND(Ischemia_singlenet_25percent_ou!A899,"AAAAAD+/V4c=")</f>
        <v>#VALUE!</v>
      </c>
      <c r="EG11" t="e">
        <f>AND(Ischemia_singlenet_25percent_ou!B899,"AAAAAD+/V4g=")</f>
        <v>#VALUE!</v>
      </c>
      <c r="EH11">
        <f>IF(Ischemia_singlenet_25percent_ou!900:900,"AAAAAD+/V4k=",0)</f>
        <v>0</v>
      </c>
      <c r="EI11" t="e">
        <f>AND(Ischemia_singlenet_25percent_ou!A900,"AAAAAD+/V4o=")</f>
        <v>#VALUE!</v>
      </c>
      <c r="EJ11" t="e">
        <f>AND(Ischemia_singlenet_25percent_ou!B900,"AAAAAD+/V4s=")</f>
        <v>#VALUE!</v>
      </c>
      <c r="EK11">
        <f>IF(Ischemia_singlenet_25percent_ou!901:901,"AAAAAD+/V4w=",0)</f>
        <v>0</v>
      </c>
      <c r="EL11" t="e">
        <f>AND(Ischemia_singlenet_25percent_ou!A901,"AAAAAD+/V40=")</f>
        <v>#VALUE!</v>
      </c>
      <c r="EM11" t="e">
        <f>AND(Ischemia_singlenet_25percent_ou!B901,"AAAAAD+/V44=")</f>
        <v>#VALUE!</v>
      </c>
      <c r="EN11">
        <f>IF(Ischemia_singlenet_25percent_ou!902:902,"AAAAAD+/V48=",0)</f>
        <v>0</v>
      </c>
      <c r="EO11" t="e">
        <f>AND(Ischemia_singlenet_25percent_ou!A902,"AAAAAD+/V5A=")</f>
        <v>#VALUE!</v>
      </c>
      <c r="EP11" t="e">
        <f>AND(Ischemia_singlenet_25percent_ou!B902,"AAAAAD+/V5E=")</f>
        <v>#VALUE!</v>
      </c>
      <c r="EQ11">
        <f>IF(Ischemia_singlenet_25percent_ou!903:903,"AAAAAD+/V5I=",0)</f>
        <v>0</v>
      </c>
      <c r="ER11" t="e">
        <f>AND(Ischemia_singlenet_25percent_ou!A903,"AAAAAD+/V5M=")</f>
        <v>#VALUE!</v>
      </c>
      <c r="ES11" t="e">
        <f>AND(Ischemia_singlenet_25percent_ou!B903,"AAAAAD+/V5Q=")</f>
        <v>#VALUE!</v>
      </c>
      <c r="ET11">
        <f>IF(Ischemia_singlenet_25percent_ou!904:904,"AAAAAD+/V5U=",0)</f>
        <v>0</v>
      </c>
      <c r="EU11" t="e">
        <f>AND(Ischemia_singlenet_25percent_ou!A904,"AAAAAD+/V5Y=")</f>
        <v>#VALUE!</v>
      </c>
      <c r="EV11" t="e">
        <f>AND(Ischemia_singlenet_25percent_ou!B904,"AAAAAD+/V5c=")</f>
        <v>#VALUE!</v>
      </c>
      <c r="EW11">
        <f>IF(Ischemia_singlenet_25percent_ou!905:905,"AAAAAD+/V5g=",0)</f>
        <v>0</v>
      </c>
      <c r="EX11" t="e">
        <f>AND(Ischemia_singlenet_25percent_ou!A905,"AAAAAD+/V5k=")</f>
        <v>#VALUE!</v>
      </c>
      <c r="EY11" t="e">
        <f>AND(Ischemia_singlenet_25percent_ou!B905,"AAAAAD+/V5o=")</f>
        <v>#VALUE!</v>
      </c>
      <c r="EZ11">
        <f>IF(Ischemia_singlenet_25percent_ou!906:906,"AAAAAD+/V5s=",0)</f>
        <v>0</v>
      </c>
      <c r="FA11" t="e">
        <f>AND(Ischemia_singlenet_25percent_ou!A906,"AAAAAD+/V5w=")</f>
        <v>#VALUE!</v>
      </c>
      <c r="FB11" t="e">
        <f>AND(Ischemia_singlenet_25percent_ou!B906,"AAAAAD+/V50=")</f>
        <v>#VALUE!</v>
      </c>
      <c r="FC11">
        <f>IF(Ischemia_singlenet_25percent_ou!907:907,"AAAAAD+/V54=",0)</f>
        <v>0</v>
      </c>
      <c r="FD11" t="e">
        <f>AND(Ischemia_singlenet_25percent_ou!A907,"AAAAAD+/V58=")</f>
        <v>#VALUE!</v>
      </c>
      <c r="FE11" t="e">
        <f>AND(Ischemia_singlenet_25percent_ou!B907,"AAAAAD+/V6A=")</f>
        <v>#VALUE!</v>
      </c>
      <c r="FF11">
        <f>IF(Ischemia_singlenet_25percent_ou!908:908,"AAAAAD+/V6E=",0)</f>
        <v>0</v>
      </c>
      <c r="FG11" t="e">
        <f>AND(Ischemia_singlenet_25percent_ou!A908,"AAAAAD+/V6I=")</f>
        <v>#VALUE!</v>
      </c>
      <c r="FH11" t="e">
        <f>AND(Ischemia_singlenet_25percent_ou!B908,"AAAAAD+/V6M=")</f>
        <v>#VALUE!</v>
      </c>
      <c r="FI11">
        <f>IF(Ischemia_singlenet_25percent_ou!909:909,"AAAAAD+/V6Q=",0)</f>
        <v>0</v>
      </c>
      <c r="FJ11" t="e">
        <f>AND(Ischemia_singlenet_25percent_ou!A909,"AAAAAD+/V6U=")</f>
        <v>#VALUE!</v>
      </c>
      <c r="FK11" t="e">
        <f>AND(Ischemia_singlenet_25percent_ou!B909,"AAAAAD+/V6Y=")</f>
        <v>#VALUE!</v>
      </c>
      <c r="FL11">
        <f>IF(Ischemia_singlenet_25percent_ou!910:910,"AAAAAD+/V6c=",0)</f>
        <v>0</v>
      </c>
      <c r="FM11" t="e">
        <f>AND(Ischemia_singlenet_25percent_ou!A910,"AAAAAD+/V6g=")</f>
        <v>#VALUE!</v>
      </c>
      <c r="FN11" t="e">
        <f>AND(Ischemia_singlenet_25percent_ou!B910,"AAAAAD+/V6k=")</f>
        <v>#VALUE!</v>
      </c>
      <c r="FO11">
        <f>IF(Ischemia_singlenet_25percent_ou!911:911,"AAAAAD+/V6o=",0)</f>
        <v>0</v>
      </c>
      <c r="FP11" t="e">
        <f>AND(Ischemia_singlenet_25percent_ou!A911,"AAAAAD+/V6s=")</f>
        <v>#VALUE!</v>
      </c>
      <c r="FQ11" t="e">
        <f>AND(Ischemia_singlenet_25percent_ou!B911,"AAAAAD+/V6w=")</f>
        <v>#VALUE!</v>
      </c>
      <c r="FR11">
        <f>IF(Ischemia_singlenet_25percent_ou!912:912,"AAAAAD+/V60=",0)</f>
        <v>0</v>
      </c>
      <c r="FS11" t="e">
        <f>AND(Ischemia_singlenet_25percent_ou!A912,"AAAAAD+/V64=")</f>
        <v>#VALUE!</v>
      </c>
      <c r="FT11" t="e">
        <f>AND(Ischemia_singlenet_25percent_ou!B912,"AAAAAD+/V68=")</f>
        <v>#VALUE!</v>
      </c>
      <c r="FU11">
        <f>IF(Ischemia_singlenet_25percent_ou!913:913,"AAAAAD+/V7A=",0)</f>
        <v>0</v>
      </c>
      <c r="FV11" t="e">
        <f>AND(Ischemia_singlenet_25percent_ou!A913,"AAAAAD+/V7E=")</f>
        <v>#VALUE!</v>
      </c>
      <c r="FW11" t="e">
        <f>AND(Ischemia_singlenet_25percent_ou!B913,"AAAAAD+/V7I=")</f>
        <v>#VALUE!</v>
      </c>
      <c r="FX11">
        <f>IF(Ischemia_singlenet_25percent_ou!914:914,"AAAAAD+/V7M=",0)</f>
        <v>0</v>
      </c>
      <c r="FY11" t="e">
        <f>AND(Ischemia_singlenet_25percent_ou!A914,"AAAAAD+/V7Q=")</f>
        <v>#VALUE!</v>
      </c>
      <c r="FZ11" t="e">
        <f>AND(Ischemia_singlenet_25percent_ou!B914,"AAAAAD+/V7U=")</f>
        <v>#VALUE!</v>
      </c>
      <c r="GA11">
        <f>IF(Ischemia_singlenet_25percent_ou!915:915,"AAAAAD+/V7Y=",0)</f>
        <v>0</v>
      </c>
      <c r="GB11" t="e">
        <f>AND(Ischemia_singlenet_25percent_ou!A915,"AAAAAD+/V7c=")</f>
        <v>#VALUE!</v>
      </c>
      <c r="GC11" t="e">
        <f>AND(Ischemia_singlenet_25percent_ou!B915,"AAAAAD+/V7g=")</f>
        <v>#VALUE!</v>
      </c>
      <c r="GD11">
        <f>IF(Ischemia_singlenet_25percent_ou!916:916,"AAAAAD+/V7k=",0)</f>
        <v>0</v>
      </c>
      <c r="GE11" t="e">
        <f>AND(Ischemia_singlenet_25percent_ou!A916,"AAAAAD+/V7o=")</f>
        <v>#VALUE!</v>
      </c>
      <c r="GF11" t="e">
        <f>AND(Ischemia_singlenet_25percent_ou!B916,"AAAAAD+/V7s=")</f>
        <v>#VALUE!</v>
      </c>
      <c r="GG11">
        <f>IF(Ischemia_singlenet_25percent_ou!917:917,"AAAAAD+/V7w=",0)</f>
        <v>0</v>
      </c>
      <c r="GH11" t="e">
        <f>AND(Ischemia_singlenet_25percent_ou!A917,"AAAAAD+/V70=")</f>
        <v>#VALUE!</v>
      </c>
      <c r="GI11" t="e">
        <f>AND(Ischemia_singlenet_25percent_ou!B917,"AAAAAD+/V74=")</f>
        <v>#VALUE!</v>
      </c>
      <c r="GJ11">
        <f>IF(Ischemia_singlenet_25percent_ou!918:918,"AAAAAD+/V78=",0)</f>
        <v>0</v>
      </c>
      <c r="GK11" t="e">
        <f>AND(Ischemia_singlenet_25percent_ou!A918,"AAAAAD+/V8A=")</f>
        <v>#VALUE!</v>
      </c>
      <c r="GL11" t="e">
        <f>AND(Ischemia_singlenet_25percent_ou!B918,"AAAAAD+/V8E=")</f>
        <v>#VALUE!</v>
      </c>
      <c r="GM11">
        <f>IF(Ischemia_singlenet_25percent_ou!919:919,"AAAAAD+/V8I=",0)</f>
        <v>0</v>
      </c>
      <c r="GN11" t="e">
        <f>AND(Ischemia_singlenet_25percent_ou!A919,"AAAAAD+/V8M=")</f>
        <v>#VALUE!</v>
      </c>
      <c r="GO11" t="e">
        <f>AND(Ischemia_singlenet_25percent_ou!B919,"AAAAAD+/V8Q=")</f>
        <v>#VALUE!</v>
      </c>
      <c r="GP11">
        <f>IF(Ischemia_singlenet_25percent_ou!920:920,"AAAAAD+/V8U=",0)</f>
        <v>0</v>
      </c>
      <c r="GQ11" t="e">
        <f>AND(Ischemia_singlenet_25percent_ou!A920,"AAAAAD+/V8Y=")</f>
        <v>#VALUE!</v>
      </c>
      <c r="GR11" t="e">
        <f>AND(Ischemia_singlenet_25percent_ou!B920,"AAAAAD+/V8c=")</f>
        <v>#VALUE!</v>
      </c>
      <c r="GS11">
        <f>IF(Ischemia_singlenet_25percent_ou!921:921,"AAAAAD+/V8g=",0)</f>
        <v>0</v>
      </c>
      <c r="GT11" t="e">
        <f>AND(Ischemia_singlenet_25percent_ou!A921,"AAAAAD+/V8k=")</f>
        <v>#VALUE!</v>
      </c>
      <c r="GU11" t="e">
        <f>AND(Ischemia_singlenet_25percent_ou!B921,"AAAAAD+/V8o=")</f>
        <v>#VALUE!</v>
      </c>
      <c r="GV11">
        <f>IF(Ischemia_singlenet_25percent_ou!922:922,"AAAAAD+/V8s=",0)</f>
        <v>0</v>
      </c>
      <c r="GW11" t="e">
        <f>AND(Ischemia_singlenet_25percent_ou!A922,"AAAAAD+/V8w=")</f>
        <v>#VALUE!</v>
      </c>
      <c r="GX11" t="e">
        <f>AND(Ischemia_singlenet_25percent_ou!B922,"AAAAAD+/V80=")</f>
        <v>#VALUE!</v>
      </c>
      <c r="GY11">
        <f>IF(Ischemia_singlenet_25percent_ou!923:923,"AAAAAD+/V84=",0)</f>
        <v>0</v>
      </c>
      <c r="GZ11" t="e">
        <f>AND(Ischemia_singlenet_25percent_ou!A923,"AAAAAD+/V88=")</f>
        <v>#VALUE!</v>
      </c>
      <c r="HA11" t="e">
        <f>AND(Ischemia_singlenet_25percent_ou!B923,"AAAAAD+/V9A=")</f>
        <v>#VALUE!</v>
      </c>
      <c r="HB11">
        <f>IF(Ischemia_singlenet_25percent_ou!924:924,"AAAAAD+/V9E=",0)</f>
        <v>0</v>
      </c>
      <c r="HC11" t="e">
        <f>AND(Ischemia_singlenet_25percent_ou!A924,"AAAAAD+/V9I=")</f>
        <v>#VALUE!</v>
      </c>
      <c r="HD11" t="e">
        <f>AND(Ischemia_singlenet_25percent_ou!B924,"AAAAAD+/V9M=")</f>
        <v>#VALUE!</v>
      </c>
      <c r="HE11">
        <f>IF(Ischemia_singlenet_25percent_ou!925:925,"AAAAAD+/V9Q=",0)</f>
        <v>0</v>
      </c>
      <c r="HF11" t="e">
        <f>AND(Ischemia_singlenet_25percent_ou!A925,"AAAAAD+/V9U=")</f>
        <v>#VALUE!</v>
      </c>
      <c r="HG11" t="e">
        <f>AND(Ischemia_singlenet_25percent_ou!B925,"AAAAAD+/V9Y=")</f>
        <v>#VALUE!</v>
      </c>
      <c r="HH11">
        <f>IF(Ischemia_singlenet_25percent_ou!926:926,"AAAAAD+/V9c=",0)</f>
        <v>0</v>
      </c>
      <c r="HI11" t="e">
        <f>AND(Ischemia_singlenet_25percent_ou!A926,"AAAAAD+/V9g=")</f>
        <v>#VALUE!</v>
      </c>
      <c r="HJ11" t="e">
        <f>AND(Ischemia_singlenet_25percent_ou!B926,"AAAAAD+/V9k=")</f>
        <v>#VALUE!</v>
      </c>
      <c r="HK11">
        <f>IF(Ischemia_singlenet_25percent_ou!927:927,"AAAAAD+/V9o=",0)</f>
        <v>0</v>
      </c>
      <c r="HL11" t="e">
        <f>AND(Ischemia_singlenet_25percent_ou!A927,"AAAAAD+/V9s=")</f>
        <v>#VALUE!</v>
      </c>
      <c r="HM11" t="e">
        <f>AND(Ischemia_singlenet_25percent_ou!B927,"AAAAAD+/V9w=")</f>
        <v>#VALUE!</v>
      </c>
      <c r="HN11">
        <f>IF(Ischemia_singlenet_25percent_ou!928:928,"AAAAAD+/V90=",0)</f>
        <v>0</v>
      </c>
      <c r="HO11" t="e">
        <f>AND(Ischemia_singlenet_25percent_ou!A928,"AAAAAD+/V94=")</f>
        <v>#VALUE!</v>
      </c>
      <c r="HP11" t="e">
        <f>AND(Ischemia_singlenet_25percent_ou!B928,"AAAAAD+/V98=")</f>
        <v>#VALUE!</v>
      </c>
      <c r="HQ11">
        <f>IF(Ischemia_singlenet_25percent_ou!929:929,"AAAAAD+/V+A=",0)</f>
        <v>0</v>
      </c>
      <c r="HR11" t="e">
        <f>AND(Ischemia_singlenet_25percent_ou!A929,"AAAAAD+/V+E=")</f>
        <v>#VALUE!</v>
      </c>
      <c r="HS11" t="e">
        <f>AND(Ischemia_singlenet_25percent_ou!B929,"AAAAAD+/V+I=")</f>
        <v>#VALUE!</v>
      </c>
      <c r="HT11">
        <f>IF(Ischemia_singlenet_25percent_ou!930:930,"AAAAAD+/V+M=",0)</f>
        <v>0</v>
      </c>
      <c r="HU11" t="e">
        <f>AND(Ischemia_singlenet_25percent_ou!A930,"AAAAAD+/V+Q=")</f>
        <v>#VALUE!</v>
      </c>
      <c r="HV11" t="e">
        <f>AND(Ischemia_singlenet_25percent_ou!B930,"AAAAAD+/V+U=")</f>
        <v>#VALUE!</v>
      </c>
      <c r="HW11">
        <f>IF(Ischemia_singlenet_25percent_ou!931:931,"AAAAAD+/V+Y=",0)</f>
        <v>0</v>
      </c>
      <c r="HX11" t="e">
        <f>AND(Ischemia_singlenet_25percent_ou!A931,"AAAAAD+/V+c=")</f>
        <v>#VALUE!</v>
      </c>
      <c r="HY11" t="e">
        <f>AND(Ischemia_singlenet_25percent_ou!B931,"AAAAAD+/V+g=")</f>
        <v>#VALUE!</v>
      </c>
      <c r="HZ11">
        <f>IF(Ischemia_singlenet_25percent_ou!932:932,"AAAAAD+/V+k=",0)</f>
        <v>0</v>
      </c>
      <c r="IA11" t="e">
        <f>AND(Ischemia_singlenet_25percent_ou!A932,"AAAAAD+/V+o=")</f>
        <v>#VALUE!</v>
      </c>
      <c r="IB11" t="e">
        <f>AND(Ischemia_singlenet_25percent_ou!B932,"AAAAAD+/V+s=")</f>
        <v>#VALUE!</v>
      </c>
      <c r="IC11">
        <f>IF(Ischemia_singlenet_25percent_ou!933:933,"AAAAAD+/V+w=",0)</f>
        <v>0</v>
      </c>
      <c r="ID11" t="e">
        <f>AND(Ischemia_singlenet_25percent_ou!A933,"AAAAAD+/V+0=")</f>
        <v>#VALUE!</v>
      </c>
      <c r="IE11" t="e">
        <f>AND(Ischemia_singlenet_25percent_ou!B933,"AAAAAD+/V+4=")</f>
        <v>#VALUE!</v>
      </c>
      <c r="IF11">
        <f>IF(Ischemia_singlenet_25percent_ou!934:934,"AAAAAD+/V+8=",0)</f>
        <v>0</v>
      </c>
      <c r="IG11" t="e">
        <f>AND(Ischemia_singlenet_25percent_ou!A934,"AAAAAD+/V/A=")</f>
        <v>#VALUE!</v>
      </c>
      <c r="IH11" t="e">
        <f>AND(Ischemia_singlenet_25percent_ou!B934,"AAAAAD+/V/E=")</f>
        <v>#VALUE!</v>
      </c>
      <c r="II11">
        <f>IF(Ischemia_singlenet_25percent_ou!935:935,"AAAAAD+/V/I=",0)</f>
        <v>0</v>
      </c>
      <c r="IJ11" t="e">
        <f>AND(Ischemia_singlenet_25percent_ou!A935,"AAAAAD+/V/M=")</f>
        <v>#VALUE!</v>
      </c>
      <c r="IK11" t="e">
        <f>AND(Ischemia_singlenet_25percent_ou!B935,"AAAAAD+/V/Q=")</f>
        <v>#VALUE!</v>
      </c>
      <c r="IL11">
        <f>IF(Ischemia_singlenet_25percent_ou!936:936,"AAAAAD+/V/U=",0)</f>
        <v>0</v>
      </c>
      <c r="IM11" t="e">
        <f>AND(Ischemia_singlenet_25percent_ou!A936,"AAAAAD+/V/Y=")</f>
        <v>#VALUE!</v>
      </c>
      <c r="IN11" t="e">
        <f>AND(Ischemia_singlenet_25percent_ou!B936,"AAAAAD+/V/c=")</f>
        <v>#VALUE!</v>
      </c>
      <c r="IO11">
        <f>IF(Ischemia_singlenet_25percent_ou!937:937,"AAAAAD+/V/g=",0)</f>
        <v>0</v>
      </c>
      <c r="IP11" t="e">
        <f>AND(Ischemia_singlenet_25percent_ou!A937,"AAAAAD+/V/k=")</f>
        <v>#VALUE!</v>
      </c>
      <c r="IQ11" t="e">
        <f>AND(Ischemia_singlenet_25percent_ou!B937,"AAAAAD+/V/o=")</f>
        <v>#VALUE!</v>
      </c>
      <c r="IR11">
        <f>IF(Ischemia_singlenet_25percent_ou!938:938,"AAAAAD+/V/s=",0)</f>
        <v>0</v>
      </c>
      <c r="IS11" t="e">
        <f>AND(Ischemia_singlenet_25percent_ou!A938,"AAAAAD+/V/w=")</f>
        <v>#VALUE!</v>
      </c>
      <c r="IT11" t="e">
        <f>AND(Ischemia_singlenet_25percent_ou!B938,"AAAAAD+/V/0=")</f>
        <v>#VALUE!</v>
      </c>
      <c r="IU11">
        <f>IF(Ischemia_singlenet_25percent_ou!939:939,"AAAAAD+/V/4=",0)</f>
        <v>0</v>
      </c>
      <c r="IV11" t="e">
        <f>AND(Ischemia_singlenet_25percent_ou!A939,"AAAAAD+/V/8=")</f>
        <v>#VALUE!</v>
      </c>
    </row>
    <row r="12" spans="1:256">
      <c r="A12" t="e">
        <f>AND(Ischemia_singlenet_25percent_ou!B939,"AAAAAH++8wA=")</f>
        <v>#VALUE!</v>
      </c>
      <c r="B12" t="e">
        <f>IF(Ischemia_singlenet_25percent_ou!940:940,"AAAAAH++8wE=",0)</f>
        <v>#VALUE!</v>
      </c>
      <c r="C12" t="e">
        <f>AND(Ischemia_singlenet_25percent_ou!A940,"AAAAAH++8wI=")</f>
        <v>#VALUE!</v>
      </c>
      <c r="D12" t="e">
        <f>AND(Ischemia_singlenet_25percent_ou!B940,"AAAAAH++8wM=")</f>
        <v>#VALUE!</v>
      </c>
      <c r="E12">
        <f>IF(Ischemia_singlenet_25percent_ou!941:941,"AAAAAH++8wQ=",0)</f>
        <v>0</v>
      </c>
      <c r="F12" t="e">
        <f>AND(Ischemia_singlenet_25percent_ou!A941,"AAAAAH++8wU=")</f>
        <v>#VALUE!</v>
      </c>
      <c r="G12" t="e">
        <f>AND(Ischemia_singlenet_25percent_ou!B941,"AAAAAH++8wY=")</f>
        <v>#VALUE!</v>
      </c>
      <c r="H12">
        <f>IF(Ischemia_singlenet_25percent_ou!942:942,"AAAAAH++8wc=",0)</f>
        <v>0</v>
      </c>
      <c r="I12" t="e">
        <f>AND(Ischemia_singlenet_25percent_ou!A942,"AAAAAH++8wg=")</f>
        <v>#VALUE!</v>
      </c>
      <c r="J12" t="e">
        <f>AND(Ischemia_singlenet_25percent_ou!B942,"AAAAAH++8wk=")</f>
        <v>#VALUE!</v>
      </c>
      <c r="K12">
        <f>IF(Ischemia_singlenet_25percent_ou!943:943,"AAAAAH++8wo=",0)</f>
        <v>0</v>
      </c>
      <c r="L12" t="e">
        <f>AND(Ischemia_singlenet_25percent_ou!A943,"AAAAAH++8ws=")</f>
        <v>#VALUE!</v>
      </c>
      <c r="M12" t="e">
        <f>AND(Ischemia_singlenet_25percent_ou!B943,"AAAAAH++8ww=")</f>
        <v>#VALUE!</v>
      </c>
      <c r="N12">
        <f>IF(Ischemia_singlenet_25percent_ou!944:944,"AAAAAH++8w0=",0)</f>
        <v>0</v>
      </c>
      <c r="O12" t="e">
        <f>AND(Ischemia_singlenet_25percent_ou!A944,"AAAAAH++8w4=")</f>
        <v>#VALUE!</v>
      </c>
      <c r="P12" t="e">
        <f>AND(Ischemia_singlenet_25percent_ou!B944,"AAAAAH++8w8=")</f>
        <v>#VALUE!</v>
      </c>
      <c r="Q12">
        <f>IF(Ischemia_singlenet_25percent_ou!945:945,"AAAAAH++8xA=",0)</f>
        <v>0</v>
      </c>
      <c r="R12" t="e">
        <f>AND(Ischemia_singlenet_25percent_ou!A945,"AAAAAH++8xE=")</f>
        <v>#VALUE!</v>
      </c>
      <c r="S12" t="e">
        <f>AND(Ischemia_singlenet_25percent_ou!B945,"AAAAAH++8xI=")</f>
        <v>#VALUE!</v>
      </c>
      <c r="T12">
        <f>IF(Ischemia_singlenet_25percent_ou!946:946,"AAAAAH++8xM=",0)</f>
        <v>0</v>
      </c>
      <c r="U12" t="e">
        <f>AND(Ischemia_singlenet_25percent_ou!A946,"AAAAAH++8xQ=")</f>
        <v>#VALUE!</v>
      </c>
      <c r="V12" t="e">
        <f>AND(Ischemia_singlenet_25percent_ou!B946,"AAAAAH++8xU=")</f>
        <v>#VALUE!</v>
      </c>
      <c r="W12">
        <f>IF(Ischemia_singlenet_25percent_ou!947:947,"AAAAAH++8xY=",0)</f>
        <v>0</v>
      </c>
      <c r="X12" t="e">
        <f>AND(Ischemia_singlenet_25percent_ou!A947,"AAAAAH++8xc=")</f>
        <v>#VALUE!</v>
      </c>
      <c r="Y12" t="e">
        <f>AND(Ischemia_singlenet_25percent_ou!B947,"AAAAAH++8xg=")</f>
        <v>#VALUE!</v>
      </c>
      <c r="Z12">
        <f>IF(Ischemia_singlenet_25percent_ou!948:948,"AAAAAH++8xk=",0)</f>
        <v>0</v>
      </c>
      <c r="AA12" t="e">
        <f>AND(Ischemia_singlenet_25percent_ou!A948,"AAAAAH++8xo=")</f>
        <v>#VALUE!</v>
      </c>
      <c r="AB12" t="e">
        <f>AND(Ischemia_singlenet_25percent_ou!B948,"AAAAAH++8xs=")</f>
        <v>#VALUE!</v>
      </c>
      <c r="AC12">
        <f>IF(Ischemia_singlenet_25percent_ou!949:949,"AAAAAH++8xw=",0)</f>
        <v>0</v>
      </c>
      <c r="AD12" t="e">
        <f>AND(Ischemia_singlenet_25percent_ou!A949,"AAAAAH++8x0=")</f>
        <v>#VALUE!</v>
      </c>
      <c r="AE12" t="e">
        <f>AND(Ischemia_singlenet_25percent_ou!B949,"AAAAAH++8x4=")</f>
        <v>#VALUE!</v>
      </c>
      <c r="AF12">
        <f>IF(Ischemia_singlenet_25percent_ou!950:950,"AAAAAH++8x8=",0)</f>
        <v>0</v>
      </c>
      <c r="AG12" t="e">
        <f>AND(Ischemia_singlenet_25percent_ou!A950,"AAAAAH++8yA=")</f>
        <v>#VALUE!</v>
      </c>
      <c r="AH12" t="e">
        <f>AND(Ischemia_singlenet_25percent_ou!B950,"AAAAAH++8yE=")</f>
        <v>#VALUE!</v>
      </c>
      <c r="AI12">
        <f>IF(Ischemia_singlenet_25percent_ou!951:951,"AAAAAH++8yI=",0)</f>
        <v>0</v>
      </c>
      <c r="AJ12" t="e">
        <f>AND(Ischemia_singlenet_25percent_ou!A951,"AAAAAH++8yM=")</f>
        <v>#VALUE!</v>
      </c>
      <c r="AK12" t="e">
        <f>AND(Ischemia_singlenet_25percent_ou!B951,"AAAAAH++8yQ=")</f>
        <v>#VALUE!</v>
      </c>
      <c r="AL12">
        <f>IF(Ischemia_singlenet_25percent_ou!952:952,"AAAAAH++8yU=",0)</f>
        <v>0</v>
      </c>
      <c r="AM12" t="e">
        <f>AND(Ischemia_singlenet_25percent_ou!A952,"AAAAAH++8yY=")</f>
        <v>#VALUE!</v>
      </c>
      <c r="AN12" t="e">
        <f>AND(Ischemia_singlenet_25percent_ou!B952,"AAAAAH++8yc=")</f>
        <v>#VALUE!</v>
      </c>
      <c r="AO12">
        <f>IF(Ischemia_singlenet_25percent_ou!953:953,"AAAAAH++8yg=",0)</f>
        <v>0</v>
      </c>
      <c r="AP12" t="e">
        <f>AND(Ischemia_singlenet_25percent_ou!A953,"AAAAAH++8yk=")</f>
        <v>#VALUE!</v>
      </c>
      <c r="AQ12" t="e">
        <f>AND(Ischemia_singlenet_25percent_ou!B953,"AAAAAH++8yo=")</f>
        <v>#VALUE!</v>
      </c>
      <c r="AR12">
        <f>IF(Ischemia_singlenet_25percent_ou!954:954,"AAAAAH++8ys=",0)</f>
        <v>0</v>
      </c>
      <c r="AS12" t="e">
        <f>AND(Ischemia_singlenet_25percent_ou!A954,"AAAAAH++8yw=")</f>
        <v>#VALUE!</v>
      </c>
      <c r="AT12" t="e">
        <f>AND(Ischemia_singlenet_25percent_ou!B954,"AAAAAH++8y0=")</f>
        <v>#VALUE!</v>
      </c>
      <c r="AU12">
        <f>IF(Ischemia_singlenet_25percent_ou!955:955,"AAAAAH++8y4=",0)</f>
        <v>0</v>
      </c>
      <c r="AV12" t="e">
        <f>AND(Ischemia_singlenet_25percent_ou!A955,"AAAAAH++8y8=")</f>
        <v>#VALUE!</v>
      </c>
      <c r="AW12" t="e">
        <f>AND(Ischemia_singlenet_25percent_ou!B955,"AAAAAH++8zA=")</f>
        <v>#VALUE!</v>
      </c>
      <c r="AX12">
        <f>IF(Ischemia_singlenet_25percent_ou!956:956,"AAAAAH++8zE=",0)</f>
        <v>0</v>
      </c>
      <c r="AY12" t="e">
        <f>AND(Ischemia_singlenet_25percent_ou!A956,"AAAAAH++8zI=")</f>
        <v>#VALUE!</v>
      </c>
      <c r="AZ12" t="e">
        <f>AND(Ischemia_singlenet_25percent_ou!B956,"AAAAAH++8zM=")</f>
        <v>#VALUE!</v>
      </c>
      <c r="BA12">
        <f>IF(Ischemia_singlenet_25percent_ou!957:957,"AAAAAH++8zQ=",0)</f>
        <v>0</v>
      </c>
      <c r="BB12" t="e">
        <f>AND(Ischemia_singlenet_25percent_ou!A957,"AAAAAH++8zU=")</f>
        <v>#VALUE!</v>
      </c>
      <c r="BC12" t="e">
        <f>AND(Ischemia_singlenet_25percent_ou!B957,"AAAAAH++8zY=")</f>
        <v>#VALUE!</v>
      </c>
      <c r="BD12">
        <f>IF(Ischemia_singlenet_25percent_ou!958:958,"AAAAAH++8zc=",0)</f>
        <v>0</v>
      </c>
      <c r="BE12" t="e">
        <f>AND(Ischemia_singlenet_25percent_ou!A958,"AAAAAH++8zg=")</f>
        <v>#VALUE!</v>
      </c>
      <c r="BF12" t="e">
        <f>AND(Ischemia_singlenet_25percent_ou!B958,"AAAAAH++8zk=")</f>
        <v>#VALUE!</v>
      </c>
      <c r="BG12">
        <f>IF(Ischemia_singlenet_25percent_ou!959:959,"AAAAAH++8zo=",0)</f>
        <v>0</v>
      </c>
      <c r="BH12" t="e">
        <f>AND(Ischemia_singlenet_25percent_ou!A959,"AAAAAH++8zs=")</f>
        <v>#VALUE!</v>
      </c>
      <c r="BI12" t="e">
        <f>AND(Ischemia_singlenet_25percent_ou!B959,"AAAAAH++8zw=")</f>
        <v>#VALUE!</v>
      </c>
      <c r="BJ12">
        <f>IF(Ischemia_singlenet_25percent_ou!960:960,"AAAAAH++8z0=",0)</f>
        <v>0</v>
      </c>
      <c r="BK12" t="e">
        <f>AND(Ischemia_singlenet_25percent_ou!A960,"AAAAAH++8z4=")</f>
        <v>#VALUE!</v>
      </c>
      <c r="BL12" t="e">
        <f>AND(Ischemia_singlenet_25percent_ou!B960,"AAAAAH++8z8=")</f>
        <v>#VALUE!</v>
      </c>
      <c r="BM12">
        <f>IF(Ischemia_singlenet_25percent_ou!961:961,"AAAAAH++80A=",0)</f>
        <v>0</v>
      </c>
      <c r="BN12" t="e">
        <f>AND(Ischemia_singlenet_25percent_ou!A961,"AAAAAH++80E=")</f>
        <v>#VALUE!</v>
      </c>
      <c r="BO12" t="e">
        <f>AND(Ischemia_singlenet_25percent_ou!B961,"AAAAAH++80I=")</f>
        <v>#VALUE!</v>
      </c>
      <c r="BP12">
        <f>IF(Ischemia_singlenet_25percent_ou!962:962,"AAAAAH++80M=",0)</f>
        <v>0</v>
      </c>
      <c r="BQ12" t="e">
        <f>AND(Ischemia_singlenet_25percent_ou!A962,"AAAAAH++80Q=")</f>
        <v>#VALUE!</v>
      </c>
      <c r="BR12" t="e">
        <f>AND(Ischemia_singlenet_25percent_ou!B962,"AAAAAH++80U=")</f>
        <v>#VALUE!</v>
      </c>
      <c r="BS12">
        <f>IF(Ischemia_singlenet_25percent_ou!963:963,"AAAAAH++80Y=",0)</f>
        <v>0</v>
      </c>
      <c r="BT12" t="e">
        <f>AND(Ischemia_singlenet_25percent_ou!A963,"AAAAAH++80c=")</f>
        <v>#VALUE!</v>
      </c>
      <c r="BU12" t="e">
        <f>AND(Ischemia_singlenet_25percent_ou!B963,"AAAAAH++80g=")</f>
        <v>#VALUE!</v>
      </c>
      <c r="BV12">
        <f>IF(Ischemia_singlenet_25percent_ou!964:964,"AAAAAH++80k=",0)</f>
        <v>0</v>
      </c>
      <c r="BW12" t="e">
        <f>AND(Ischemia_singlenet_25percent_ou!A964,"AAAAAH++80o=")</f>
        <v>#VALUE!</v>
      </c>
      <c r="BX12" t="e">
        <f>AND(Ischemia_singlenet_25percent_ou!B964,"AAAAAH++80s=")</f>
        <v>#VALUE!</v>
      </c>
      <c r="BY12">
        <f>IF(Ischemia_singlenet_25percent_ou!965:965,"AAAAAH++80w=",0)</f>
        <v>0</v>
      </c>
      <c r="BZ12" t="e">
        <f>AND(Ischemia_singlenet_25percent_ou!A965,"AAAAAH++800=")</f>
        <v>#VALUE!</v>
      </c>
      <c r="CA12" t="e">
        <f>AND(Ischemia_singlenet_25percent_ou!B965,"AAAAAH++804=")</f>
        <v>#VALUE!</v>
      </c>
      <c r="CB12">
        <f>IF(Ischemia_singlenet_25percent_ou!966:966,"AAAAAH++808=",0)</f>
        <v>0</v>
      </c>
      <c r="CC12" t="e">
        <f>AND(Ischemia_singlenet_25percent_ou!A966,"AAAAAH++81A=")</f>
        <v>#VALUE!</v>
      </c>
      <c r="CD12" t="e">
        <f>AND(Ischemia_singlenet_25percent_ou!B966,"AAAAAH++81E=")</f>
        <v>#VALUE!</v>
      </c>
      <c r="CE12">
        <f>IF(Ischemia_singlenet_25percent_ou!967:967,"AAAAAH++81I=",0)</f>
        <v>0</v>
      </c>
      <c r="CF12" t="e">
        <f>AND(Ischemia_singlenet_25percent_ou!A967,"AAAAAH++81M=")</f>
        <v>#VALUE!</v>
      </c>
      <c r="CG12" t="e">
        <f>AND(Ischemia_singlenet_25percent_ou!B967,"AAAAAH++81Q=")</f>
        <v>#VALUE!</v>
      </c>
      <c r="CH12">
        <f>IF(Ischemia_singlenet_25percent_ou!968:968,"AAAAAH++81U=",0)</f>
        <v>0</v>
      </c>
      <c r="CI12" t="e">
        <f>AND(Ischemia_singlenet_25percent_ou!A968,"AAAAAH++81Y=")</f>
        <v>#VALUE!</v>
      </c>
      <c r="CJ12" t="e">
        <f>AND(Ischemia_singlenet_25percent_ou!B968,"AAAAAH++81c=")</f>
        <v>#VALUE!</v>
      </c>
      <c r="CK12">
        <f>IF(Ischemia_singlenet_25percent_ou!969:969,"AAAAAH++81g=",0)</f>
        <v>0</v>
      </c>
      <c r="CL12" t="e">
        <f>AND(Ischemia_singlenet_25percent_ou!A969,"AAAAAH++81k=")</f>
        <v>#VALUE!</v>
      </c>
      <c r="CM12" t="e">
        <f>AND(Ischemia_singlenet_25percent_ou!B969,"AAAAAH++81o=")</f>
        <v>#VALUE!</v>
      </c>
      <c r="CN12">
        <f>IF(Ischemia_singlenet_25percent_ou!970:970,"AAAAAH++81s=",0)</f>
        <v>0</v>
      </c>
      <c r="CO12" t="e">
        <f>AND(Ischemia_singlenet_25percent_ou!A970,"AAAAAH++81w=")</f>
        <v>#VALUE!</v>
      </c>
      <c r="CP12" t="e">
        <f>AND(Ischemia_singlenet_25percent_ou!B970,"AAAAAH++810=")</f>
        <v>#VALUE!</v>
      </c>
      <c r="CQ12">
        <f>IF(Ischemia_singlenet_25percent_ou!971:971,"AAAAAH++814=",0)</f>
        <v>0</v>
      </c>
      <c r="CR12" t="e">
        <f>AND(Ischemia_singlenet_25percent_ou!A971,"AAAAAH++818=")</f>
        <v>#VALUE!</v>
      </c>
      <c r="CS12" t="e">
        <f>AND(Ischemia_singlenet_25percent_ou!B971,"AAAAAH++82A=")</f>
        <v>#VALUE!</v>
      </c>
      <c r="CT12">
        <f>IF(Ischemia_singlenet_25percent_ou!972:972,"AAAAAH++82E=",0)</f>
        <v>0</v>
      </c>
      <c r="CU12" t="e">
        <f>AND(Ischemia_singlenet_25percent_ou!A972,"AAAAAH++82I=")</f>
        <v>#VALUE!</v>
      </c>
      <c r="CV12" t="e">
        <f>AND(Ischemia_singlenet_25percent_ou!B972,"AAAAAH++82M=")</f>
        <v>#VALUE!</v>
      </c>
      <c r="CW12">
        <f>IF(Ischemia_singlenet_25percent_ou!973:973,"AAAAAH++82Q=",0)</f>
        <v>0</v>
      </c>
      <c r="CX12" t="e">
        <f>AND(Ischemia_singlenet_25percent_ou!A973,"AAAAAH++82U=")</f>
        <v>#VALUE!</v>
      </c>
      <c r="CY12" t="e">
        <f>AND(Ischemia_singlenet_25percent_ou!B973,"AAAAAH++82Y=")</f>
        <v>#VALUE!</v>
      </c>
      <c r="CZ12">
        <f>IF(Ischemia_singlenet_25percent_ou!974:974,"AAAAAH++82c=",0)</f>
        <v>0</v>
      </c>
      <c r="DA12" t="e">
        <f>AND(Ischemia_singlenet_25percent_ou!A974,"AAAAAH++82g=")</f>
        <v>#VALUE!</v>
      </c>
      <c r="DB12" t="e">
        <f>AND(Ischemia_singlenet_25percent_ou!B974,"AAAAAH++82k=")</f>
        <v>#VALUE!</v>
      </c>
      <c r="DC12">
        <f>IF(Ischemia_singlenet_25percent_ou!975:975,"AAAAAH++82o=",0)</f>
        <v>0</v>
      </c>
      <c r="DD12" t="e">
        <f>AND(Ischemia_singlenet_25percent_ou!A975,"AAAAAH++82s=")</f>
        <v>#VALUE!</v>
      </c>
      <c r="DE12" t="e">
        <f>AND(Ischemia_singlenet_25percent_ou!B975,"AAAAAH++82w=")</f>
        <v>#VALUE!</v>
      </c>
      <c r="DF12">
        <f>IF(Ischemia_singlenet_25percent_ou!976:976,"AAAAAH++820=",0)</f>
        <v>0</v>
      </c>
      <c r="DG12" t="e">
        <f>AND(Ischemia_singlenet_25percent_ou!A976,"AAAAAH++824=")</f>
        <v>#VALUE!</v>
      </c>
      <c r="DH12" t="e">
        <f>AND(Ischemia_singlenet_25percent_ou!B976,"AAAAAH++828=")</f>
        <v>#VALUE!</v>
      </c>
      <c r="DI12">
        <f>IF(Ischemia_singlenet_25percent_ou!977:977,"AAAAAH++83A=",0)</f>
        <v>0</v>
      </c>
      <c r="DJ12" t="e">
        <f>AND(Ischemia_singlenet_25percent_ou!A977,"AAAAAH++83E=")</f>
        <v>#VALUE!</v>
      </c>
      <c r="DK12" t="e">
        <f>AND(Ischemia_singlenet_25percent_ou!B977,"AAAAAH++83I=")</f>
        <v>#VALUE!</v>
      </c>
      <c r="DL12">
        <f>IF(Ischemia_singlenet_25percent_ou!978:978,"AAAAAH++83M=",0)</f>
        <v>0</v>
      </c>
      <c r="DM12" t="e">
        <f>AND(Ischemia_singlenet_25percent_ou!A978,"AAAAAH++83Q=")</f>
        <v>#VALUE!</v>
      </c>
      <c r="DN12" t="e">
        <f>AND(Ischemia_singlenet_25percent_ou!B978,"AAAAAH++83U=")</f>
        <v>#VALUE!</v>
      </c>
      <c r="DO12">
        <f>IF(Ischemia_singlenet_25percent_ou!979:979,"AAAAAH++83Y=",0)</f>
        <v>0</v>
      </c>
      <c r="DP12" t="e">
        <f>AND(Ischemia_singlenet_25percent_ou!A979,"AAAAAH++83c=")</f>
        <v>#VALUE!</v>
      </c>
      <c r="DQ12" t="e">
        <f>AND(Ischemia_singlenet_25percent_ou!B979,"AAAAAH++83g=")</f>
        <v>#VALUE!</v>
      </c>
      <c r="DR12">
        <f>IF(Ischemia_singlenet_25percent_ou!980:980,"AAAAAH++83k=",0)</f>
        <v>0</v>
      </c>
      <c r="DS12" t="e">
        <f>AND(Ischemia_singlenet_25percent_ou!A980,"AAAAAH++83o=")</f>
        <v>#VALUE!</v>
      </c>
      <c r="DT12" t="e">
        <f>AND(Ischemia_singlenet_25percent_ou!B980,"AAAAAH++83s=")</f>
        <v>#VALUE!</v>
      </c>
      <c r="DU12">
        <f>IF(Ischemia_singlenet_25percent_ou!981:981,"AAAAAH++83w=",0)</f>
        <v>0</v>
      </c>
      <c r="DV12" t="e">
        <f>AND(Ischemia_singlenet_25percent_ou!A981,"AAAAAH++830=")</f>
        <v>#VALUE!</v>
      </c>
      <c r="DW12" t="e">
        <f>AND(Ischemia_singlenet_25percent_ou!B981,"AAAAAH++834=")</f>
        <v>#VALUE!</v>
      </c>
      <c r="DX12">
        <f>IF(Ischemia_singlenet_25percent_ou!982:982,"AAAAAH++838=",0)</f>
        <v>0</v>
      </c>
      <c r="DY12" t="e">
        <f>AND(Ischemia_singlenet_25percent_ou!A982,"AAAAAH++84A=")</f>
        <v>#VALUE!</v>
      </c>
      <c r="DZ12" t="e">
        <f>AND(Ischemia_singlenet_25percent_ou!B982,"AAAAAH++84E=")</f>
        <v>#VALUE!</v>
      </c>
      <c r="EA12">
        <f>IF(Ischemia_singlenet_25percent_ou!983:983,"AAAAAH++84I=",0)</f>
        <v>0</v>
      </c>
      <c r="EB12" t="e">
        <f>AND(Ischemia_singlenet_25percent_ou!A983,"AAAAAH++84M=")</f>
        <v>#VALUE!</v>
      </c>
      <c r="EC12" t="e">
        <f>AND(Ischemia_singlenet_25percent_ou!B983,"AAAAAH++84Q=")</f>
        <v>#VALUE!</v>
      </c>
      <c r="ED12">
        <f>IF(Ischemia_singlenet_25percent_ou!984:984,"AAAAAH++84U=",0)</f>
        <v>0</v>
      </c>
      <c r="EE12" t="e">
        <f>AND(Ischemia_singlenet_25percent_ou!A984,"AAAAAH++84Y=")</f>
        <v>#VALUE!</v>
      </c>
      <c r="EF12" t="e">
        <f>AND(Ischemia_singlenet_25percent_ou!B984,"AAAAAH++84c=")</f>
        <v>#VALUE!</v>
      </c>
      <c r="EG12">
        <f>IF(Ischemia_singlenet_25percent_ou!985:985,"AAAAAH++84g=",0)</f>
        <v>0</v>
      </c>
      <c r="EH12" t="e">
        <f>AND(Ischemia_singlenet_25percent_ou!A985,"AAAAAH++84k=")</f>
        <v>#VALUE!</v>
      </c>
      <c r="EI12" t="e">
        <f>AND(Ischemia_singlenet_25percent_ou!B985,"AAAAAH++84o=")</f>
        <v>#VALUE!</v>
      </c>
      <c r="EJ12">
        <f>IF(Ischemia_singlenet_25percent_ou!986:986,"AAAAAH++84s=",0)</f>
        <v>0</v>
      </c>
      <c r="EK12" t="e">
        <f>AND(Ischemia_singlenet_25percent_ou!A986,"AAAAAH++84w=")</f>
        <v>#VALUE!</v>
      </c>
      <c r="EL12" t="e">
        <f>AND(Ischemia_singlenet_25percent_ou!B986,"AAAAAH++840=")</f>
        <v>#VALUE!</v>
      </c>
      <c r="EM12">
        <f>IF(Ischemia_singlenet_25percent_ou!987:987,"AAAAAH++844=",0)</f>
        <v>0</v>
      </c>
      <c r="EN12" t="e">
        <f>AND(Ischemia_singlenet_25percent_ou!A987,"AAAAAH++848=")</f>
        <v>#VALUE!</v>
      </c>
      <c r="EO12" t="e">
        <f>AND(Ischemia_singlenet_25percent_ou!B987,"AAAAAH++85A=")</f>
        <v>#VALUE!</v>
      </c>
      <c r="EP12">
        <f>IF(Ischemia_singlenet_25percent_ou!988:988,"AAAAAH++85E=",0)</f>
        <v>0</v>
      </c>
      <c r="EQ12" t="e">
        <f>AND(Ischemia_singlenet_25percent_ou!A988,"AAAAAH++85I=")</f>
        <v>#VALUE!</v>
      </c>
      <c r="ER12" t="e">
        <f>AND(Ischemia_singlenet_25percent_ou!B988,"AAAAAH++85M=")</f>
        <v>#VALUE!</v>
      </c>
      <c r="ES12">
        <f>IF(Ischemia_singlenet_25percent_ou!989:989,"AAAAAH++85Q=",0)</f>
        <v>0</v>
      </c>
      <c r="ET12" t="e">
        <f>AND(Ischemia_singlenet_25percent_ou!A989,"AAAAAH++85U=")</f>
        <v>#VALUE!</v>
      </c>
      <c r="EU12" t="e">
        <f>AND(Ischemia_singlenet_25percent_ou!B989,"AAAAAH++85Y=")</f>
        <v>#VALUE!</v>
      </c>
      <c r="EV12">
        <f>IF(Ischemia_singlenet_25percent_ou!990:990,"AAAAAH++85c=",0)</f>
        <v>0</v>
      </c>
      <c r="EW12" t="e">
        <f>AND(Ischemia_singlenet_25percent_ou!A990,"AAAAAH++85g=")</f>
        <v>#VALUE!</v>
      </c>
      <c r="EX12" t="e">
        <f>AND(Ischemia_singlenet_25percent_ou!B990,"AAAAAH++85k=")</f>
        <v>#VALUE!</v>
      </c>
      <c r="EY12">
        <f>IF(Ischemia_singlenet_25percent_ou!991:991,"AAAAAH++85o=",0)</f>
        <v>0</v>
      </c>
      <c r="EZ12" t="e">
        <f>AND(Ischemia_singlenet_25percent_ou!A991,"AAAAAH++85s=")</f>
        <v>#VALUE!</v>
      </c>
      <c r="FA12" t="e">
        <f>AND(Ischemia_singlenet_25percent_ou!B991,"AAAAAH++85w=")</f>
        <v>#VALUE!</v>
      </c>
      <c r="FB12">
        <f>IF(Ischemia_singlenet_25percent_ou!992:992,"AAAAAH++850=",0)</f>
        <v>0</v>
      </c>
      <c r="FC12" t="e">
        <f>AND(Ischemia_singlenet_25percent_ou!A992,"AAAAAH++854=")</f>
        <v>#VALUE!</v>
      </c>
      <c r="FD12" t="e">
        <f>AND(Ischemia_singlenet_25percent_ou!B992,"AAAAAH++858=")</f>
        <v>#VALUE!</v>
      </c>
      <c r="FE12">
        <f>IF(Ischemia_singlenet_25percent_ou!993:993,"AAAAAH++86A=",0)</f>
        <v>0</v>
      </c>
      <c r="FF12" t="e">
        <f>AND(Ischemia_singlenet_25percent_ou!A993,"AAAAAH++86E=")</f>
        <v>#VALUE!</v>
      </c>
      <c r="FG12" t="e">
        <f>AND(Ischemia_singlenet_25percent_ou!B993,"AAAAAH++86I=")</f>
        <v>#VALUE!</v>
      </c>
      <c r="FH12">
        <f>IF(Ischemia_singlenet_25percent_ou!994:994,"AAAAAH++86M=",0)</f>
        <v>0</v>
      </c>
      <c r="FI12" t="e">
        <f>AND(Ischemia_singlenet_25percent_ou!A994,"AAAAAH++86Q=")</f>
        <v>#VALUE!</v>
      </c>
      <c r="FJ12" t="e">
        <f>AND(Ischemia_singlenet_25percent_ou!B994,"AAAAAH++86U=")</f>
        <v>#VALUE!</v>
      </c>
      <c r="FK12">
        <f>IF(Ischemia_singlenet_25percent_ou!995:995,"AAAAAH++86Y=",0)</f>
        <v>0</v>
      </c>
      <c r="FL12" t="e">
        <f>AND(Ischemia_singlenet_25percent_ou!A995,"AAAAAH++86c=")</f>
        <v>#VALUE!</v>
      </c>
      <c r="FM12" t="e">
        <f>AND(Ischemia_singlenet_25percent_ou!B995,"AAAAAH++86g=")</f>
        <v>#VALUE!</v>
      </c>
      <c r="FN12">
        <f>IF(Ischemia_singlenet_25percent_ou!996:996,"AAAAAH++86k=",0)</f>
        <v>0</v>
      </c>
      <c r="FO12" t="e">
        <f>AND(Ischemia_singlenet_25percent_ou!A996,"AAAAAH++86o=")</f>
        <v>#VALUE!</v>
      </c>
      <c r="FP12" t="e">
        <f>AND(Ischemia_singlenet_25percent_ou!B996,"AAAAAH++86s=")</f>
        <v>#VALUE!</v>
      </c>
      <c r="FQ12">
        <f>IF(Ischemia_singlenet_25percent_ou!997:997,"AAAAAH++86w=",0)</f>
        <v>0</v>
      </c>
      <c r="FR12" t="e">
        <f>AND(Ischemia_singlenet_25percent_ou!A997,"AAAAAH++860=")</f>
        <v>#VALUE!</v>
      </c>
      <c r="FS12" t="e">
        <f>AND(Ischemia_singlenet_25percent_ou!B997,"AAAAAH++864=")</f>
        <v>#VALUE!</v>
      </c>
      <c r="FT12">
        <f>IF(Ischemia_singlenet_25percent_ou!998:998,"AAAAAH++868=",0)</f>
        <v>0</v>
      </c>
      <c r="FU12" t="e">
        <f>AND(Ischemia_singlenet_25percent_ou!A998,"AAAAAH++87A=")</f>
        <v>#VALUE!</v>
      </c>
      <c r="FV12" t="e">
        <f>AND(Ischemia_singlenet_25percent_ou!B998,"AAAAAH++87E=")</f>
        <v>#VALUE!</v>
      </c>
      <c r="FW12">
        <f>IF(Ischemia_singlenet_25percent_ou!999:999,"AAAAAH++87I=",0)</f>
        <v>0</v>
      </c>
      <c r="FX12" t="e">
        <f>AND(Ischemia_singlenet_25percent_ou!A999,"AAAAAH++87M=")</f>
        <v>#VALUE!</v>
      </c>
      <c r="FY12" t="e">
        <f>AND(Ischemia_singlenet_25percent_ou!B999,"AAAAAH++87Q=")</f>
        <v>#VALUE!</v>
      </c>
      <c r="FZ12">
        <f>IF(Ischemia_singlenet_25percent_ou!1000:1000,"AAAAAH++87U=",0)</f>
        <v>0</v>
      </c>
      <c r="GA12" t="e">
        <f>AND(Ischemia_singlenet_25percent_ou!A1000,"AAAAAH++87Y=")</f>
        <v>#VALUE!</v>
      </c>
      <c r="GB12" t="e">
        <f>AND(Ischemia_singlenet_25percent_ou!B1000,"AAAAAH++87c=")</f>
        <v>#VALUE!</v>
      </c>
      <c r="GC12">
        <f>IF(Ischemia_singlenet_25percent_ou!1001:1001,"AAAAAH++87g=",0)</f>
        <v>0</v>
      </c>
      <c r="GD12" t="e">
        <f>AND(Ischemia_singlenet_25percent_ou!A1001,"AAAAAH++87k=")</f>
        <v>#VALUE!</v>
      </c>
      <c r="GE12" t="e">
        <f>AND(Ischemia_singlenet_25percent_ou!B1001,"AAAAAH++87o=")</f>
        <v>#VALUE!</v>
      </c>
      <c r="GF12">
        <f>IF(Ischemia_singlenet_25percent_ou!1002:1002,"AAAAAH++87s=",0)</f>
        <v>0</v>
      </c>
      <c r="GG12" t="e">
        <f>AND(Ischemia_singlenet_25percent_ou!A1002,"AAAAAH++87w=")</f>
        <v>#VALUE!</v>
      </c>
      <c r="GH12" t="e">
        <f>AND(Ischemia_singlenet_25percent_ou!B1002,"AAAAAH++870=")</f>
        <v>#VALUE!</v>
      </c>
      <c r="GI12">
        <f>IF(Ischemia_singlenet_25percent_ou!1003:1003,"AAAAAH++874=",0)</f>
        <v>0</v>
      </c>
      <c r="GJ12" t="e">
        <f>AND(Ischemia_singlenet_25percent_ou!A1003,"AAAAAH++878=")</f>
        <v>#VALUE!</v>
      </c>
      <c r="GK12" t="e">
        <f>AND(Ischemia_singlenet_25percent_ou!B1003,"AAAAAH++88A=")</f>
        <v>#VALUE!</v>
      </c>
      <c r="GL12">
        <f>IF(Ischemia_singlenet_25percent_ou!1004:1004,"AAAAAH++88E=",0)</f>
        <v>0</v>
      </c>
      <c r="GM12" t="e">
        <f>AND(Ischemia_singlenet_25percent_ou!A1004,"AAAAAH++88I=")</f>
        <v>#VALUE!</v>
      </c>
      <c r="GN12" t="e">
        <f>AND(Ischemia_singlenet_25percent_ou!B1004,"AAAAAH++88M=")</f>
        <v>#VALUE!</v>
      </c>
      <c r="GO12">
        <f>IF(Ischemia_singlenet_25percent_ou!1005:1005,"AAAAAH++88Q=",0)</f>
        <v>0</v>
      </c>
      <c r="GP12" t="e">
        <f>AND(Ischemia_singlenet_25percent_ou!A1005,"AAAAAH++88U=")</f>
        <v>#VALUE!</v>
      </c>
      <c r="GQ12" t="e">
        <f>AND(Ischemia_singlenet_25percent_ou!B1005,"AAAAAH++88Y=")</f>
        <v>#VALUE!</v>
      </c>
      <c r="GR12">
        <f>IF(Ischemia_singlenet_25percent_ou!1006:1006,"AAAAAH++88c=",0)</f>
        <v>0</v>
      </c>
      <c r="GS12" t="e">
        <f>AND(Ischemia_singlenet_25percent_ou!A1006,"AAAAAH++88g=")</f>
        <v>#VALUE!</v>
      </c>
      <c r="GT12" t="e">
        <f>AND(Ischemia_singlenet_25percent_ou!B1006,"AAAAAH++88k=")</f>
        <v>#VALUE!</v>
      </c>
      <c r="GU12">
        <f>IF(Ischemia_singlenet_25percent_ou!1007:1007,"AAAAAH++88o=",0)</f>
        <v>0</v>
      </c>
      <c r="GV12" t="e">
        <f>AND(Ischemia_singlenet_25percent_ou!A1007,"AAAAAH++88s=")</f>
        <v>#VALUE!</v>
      </c>
      <c r="GW12" t="e">
        <f>AND(Ischemia_singlenet_25percent_ou!B1007,"AAAAAH++88w=")</f>
        <v>#VALUE!</v>
      </c>
      <c r="GX12">
        <f>IF(Ischemia_singlenet_25percent_ou!1008:1008,"AAAAAH++880=",0)</f>
        <v>0</v>
      </c>
      <c r="GY12" t="e">
        <f>AND(Ischemia_singlenet_25percent_ou!A1008,"AAAAAH++884=")</f>
        <v>#VALUE!</v>
      </c>
      <c r="GZ12" t="e">
        <f>AND(Ischemia_singlenet_25percent_ou!B1008,"AAAAAH++888=")</f>
        <v>#VALUE!</v>
      </c>
      <c r="HA12">
        <f>IF(Ischemia_singlenet_25percent_ou!1009:1009,"AAAAAH++89A=",0)</f>
        <v>0</v>
      </c>
      <c r="HB12" t="e">
        <f>AND(Ischemia_singlenet_25percent_ou!A1009,"AAAAAH++89E=")</f>
        <v>#VALUE!</v>
      </c>
      <c r="HC12" t="e">
        <f>AND(Ischemia_singlenet_25percent_ou!B1009,"AAAAAH++89I=")</f>
        <v>#VALUE!</v>
      </c>
      <c r="HD12">
        <f>IF(Ischemia_singlenet_25percent_ou!1010:1010,"AAAAAH++89M=",0)</f>
        <v>0</v>
      </c>
      <c r="HE12" t="e">
        <f>AND(Ischemia_singlenet_25percent_ou!A1010,"AAAAAH++89Q=")</f>
        <v>#VALUE!</v>
      </c>
      <c r="HF12" t="e">
        <f>AND(Ischemia_singlenet_25percent_ou!B1010,"AAAAAH++89U=")</f>
        <v>#VALUE!</v>
      </c>
      <c r="HG12">
        <f>IF(Ischemia_singlenet_25percent_ou!1011:1011,"AAAAAH++89Y=",0)</f>
        <v>0</v>
      </c>
      <c r="HH12" t="e">
        <f>AND(Ischemia_singlenet_25percent_ou!A1011,"AAAAAH++89c=")</f>
        <v>#VALUE!</v>
      </c>
      <c r="HI12" t="e">
        <f>AND(Ischemia_singlenet_25percent_ou!B1011,"AAAAAH++89g=")</f>
        <v>#VALUE!</v>
      </c>
      <c r="HJ12">
        <f>IF(Ischemia_singlenet_25percent_ou!1012:1012,"AAAAAH++89k=",0)</f>
        <v>0</v>
      </c>
      <c r="HK12" t="e">
        <f>AND(Ischemia_singlenet_25percent_ou!A1012,"AAAAAH++89o=")</f>
        <v>#VALUE!</v>
      </c>
      <c r="HL12" t="e">
        <f>AND(Ischemia_singlenet_25percent_ou!B1012,"AAAAAH++89s=")</f>
        <v>#VALUE!</v>
      </c>
      <c r="HM12">
        <f>IF(Ischemia_singlenet_25percent_ou!1013:1013,"AAAAAH++89w=",0)</f>
        <v>0</v>
      </c>
      <c r="HN12" t="e">
        <f>AND(Ischemia_singlenet_25percent_ou!A1013,"AAAAAH++890=")</f>
        <v>#VALUE!</v>
      </c>
      <c r="HO12" t="e">
        <f>AND(Ischemia_singlenet_25percent_ou!B1013,"AAAAAH++894=")</f>
        <v>#VALUE!</v>
      </c>
      <c r="HP12">
        <f>IF(Ischemia_singlenet_25percent_ou!1014:1014,"AAAAAH++898=",0)</f>
        <v>0</v>
      </c>
      <c r="HQ12" t="e">
        <f>AND(Ischemia_singlenet_25percent_ou!A1014,"AAAAAH++8+A=")</f>
        <v>#VALUE!</v>
      </c>
      <c r="HR12" t="e">
        <f>AND(Ischemia_singlenet_25percent_ou!B1014,"AAAAAH++8+E=")</f>
        <v>#VALUE!</v>
      </c>
      <c r="HS12">
        <f>IF(Ischemia_singlenet_25percent_ou!1015:1015,"AAAAAH++8+I=",0)</f>
        <v>0</v>
      </c>
      <c r="HT12" t="e">
        <f>AND(Ischemia_singlenet_25percent_ou!A1015,"AAAAAH++8+M=")</f>
        <v>#VALUE!</v>
      </c>
      <c r="HU12" t="e">
        <f>AND(Ischemia_singlenet_25percent_ou!B1015,"AAAAAH++8+Q=")</f>
        <v>#VALUE!</v>
      </c>
      <c r="HV12">
        <f>IF(Ischemia_singlenet_25percent_ou!1016:1016,"AAAAAH++8+U=",0)</f>
        <v>0</v>
      </c>
      <c r="HW12" t="e">
        <f>AND(Ischemia_singlenet_25percent_ou!A1016,"AAAAAH++8+Y=")</f>
        <v>#VALUE!</v>
      </c>
      <c r="HX12" t="e">
        <f>AND(Ischemia_singlenet_25percent_ou!B1016,"AAAAAH++8+c=")</f>
        <v>#VALUE!</v>
      </c>
      <c r="HY12">
        <f>IF(Ischemia_singlenet_25percent_ou!1017:1017,"AAAAAH++8+g=",0)</f>
        <v>0</v>
      </c>
      <c r="HZ12" t="e">
        <f>AND(Ischemia_singlenet_25percent_ou!A1017,"AAAAAH++8+k=")</f>
        <v>#VALUE!</v>
      </c>
      <c r="IA12" t="e">
        <f>AND(Ischemia_singlenet_25percent_ou!B1017,"AAAAAH++8+o=")</f>
        <v>#VALUE!</v>
      </c>
      <c r="IB12">
        <f>IF(Ischemia_singlenet_25percent_ou!1018:1018,"AAAAAH++8+s=",0)</f>
        <v>0</v>
      </c>
      <c r="IC12" t="e">
        <f>AND(Ischemia_singlenet_25percent_ou!A1018,"AAAAAH++8+w=")</f>
        <v>#VALUE!</v>
      </c>
      <c r="ID12" t="e">
        <f>AND(Ischemia_singlenet_25percent_ou!B1018,"AAAAAH++8+0=")</f>
        <v>#VALUE!</v>
      </c>
      <c r="IE12">
        <f>IF(Ischemia_singlenet_25percent_ou!1019:1019,"AAAAAH++8+4=",0)</f>
        <v>0</v>
      </c>
      <c r="IF12" t="e">
        <f>AND(Ischemia_singlenet_25percent_ou!A1019,"AAAAAH++8+8=")</f>
        <v>#VALUE!</v>
      </c>
      <c r="IG12" t="e">
        <f>AND(Ischemia_singlenet_25percent_ou!B1019,"AAAAAH++8/A=")</f>
        <v>#VALUE!</v>
      </c>
      <c r="IH12">
        <f>IF(Ischemia_singlenet_25percent_ou!1020:1020,"AAAAAH++8/E=",0)</f>
        <v>0</v>
      </c>
      <c r="II12" t="e">
        <f>AND(Ischemia_singlenet_25percent_ou!A1020,"AAAAAH++8/I=")</f>
        <v>#VALUE!</v>
      </c>
      <c r="IJ12" t="e">
        <f>AND(Ischemia_singlenet_25percent_ou!B1020,"AAAAAH++8/M=")</f>
        <v>#VALUE!</v>
      </c>
      <c r="IK12">
        <f>IF(Ischemia_singlenet_25percent_ou!1021:1021,"AAAAAH++8/Q=",0)</f>
        <v>0</v>
      </c>
      <c r="IL12" t="e">
        <f>AND(Ischemia_singlenet_25percent_ou!A1021,"AAAAAH++8/U=")</f>
        <v>#VALUE!</v>
      </c>
      <c r="IM12" t="e">
        <f>AND(Ischemia_singlenet_25percent_ou!B1021,"AAAAAH++8/Y=")</f>
        <v>#VALUE!</v>
      </c>
      <c r="IN12">
        <f>IF(Ischemia_singlenet_25percent_ou!1022:1022,"AAAAAH++8/c=",0)</f>
        <v>0</v>
      </c>
      <c r="IO12" t="e">
        <f>AND(Ischemia_singlenet_25percent_ou!A1022,"AAAAAH++8/g=")</f>
        <v>#VALUE!</v>
      </c>
      <c r="IP12" t="e">
        <f>AND(Ischemia_singlenet_25percent_ou!B1022,"AAAAAH++8/k=")</f>
        <v>#VALUE!</v>
      </c>
      <c r="IQ12">
        <f>IF(Ischemia_singlenet_25percent_ou!1023:1023,"AAAAAH++8/o=",0)</f>
        <v>0</v>
      </c>
      <c r="IR12" t="e">
        <f>AND(Ischemia_singlenet_25percent_ou!A1023,"AAAAAH++8/s=")</f>
        <v>#VALUE!</v>
      </c>
      <c r="IS12" t="e">
        <f>AND(Ischemia_singlenet_25percent_ou!B1023,"AAAAAH++8/w=")</f>
        <v>#VALUE!</v>
      </c>
      <c r="IT12">
        <f>IF(Ischemia_singlenet_25percent_ou!1024:1024,"AAAAAH++8/0=",0)</f>
        <v>0</v>
      </c>
      <c r="IU12" t="e">
        <f>AND(Ischemia_singlenet_25percent_ou!A1024,"AAAAAH++8/4=")</f>
        <v>#VALUE!</v>
      </c>
      <c r="IV12" t="e">
        <f>AND(Ischemia_singlenet_25percent_ou!B1024,"AAAAAH++8/8=")</f>
        <v>#VALUE!</v>
      </c>
    </row>
    <row r="13" spans="1:256">
      <c r="A13" t="e">
        <f>IF(Ischemia_singlenet_25percent_ou!1025:1025,"AAAAAG6N5wA=",0)</f>
        <v>#VALUE!</v>
      </c>
      <c r="B13" t="e">
        <f>AND(Ischemia_singlenet_25percent_ou!A1025,"AAAAAG6N5wE=")</f>
        <v>#VALUE!</v>
      </c>
      <c r="C13" t="e">
        <f>AND(Ischemia_singlenet_25percent_ou!B1025,"AAAAAG6N5wI=")</f>
        <v>#VALUE!</v>
      </c>
      <c r="D13">
        <f>IF(Ischemia_singlenet_25percent_ou!1026:1026,"AAAAAG6N5wM=",0)</f>
        <v>0</v>
      </c>
      <c r="E13" t="e">
        <f>AND(Ischemia_singlenet_25percent_ou!A1026,"AAAAAG6N5wQ=")</f>
        <v>#VALUE!</v>
      </c>
      <c r="F13" t="e">
        <f>AND(Ischemia_singlenet_25percent_ou!B1026,"AAAAAG6N5wU=")</f>
        <v>#VALUE!</v>
      </c>
      <c r="G13">
        <f>IF(Ischemia_singlenet_25percent_ou!1027:1027,"AAAAAG6N5wY=",0)</f>
        <v>0</v>
      </c>
      <c r="H13" t="e">
        <f>AND(Ischemia_singlenet_25percent_ou!A1027,"AAAAAG6N5wc=")</f>
        <v>#VALUE!</v>
      </c>
      <c r="I13" t="e">
        <f>AND(Ischemia_singlenet_25percent_ou!B1027,"AAAAAG6N5wg=")</f>
        <v>#VALUE!</v>
      </c>
      <c r="J13">
        <f>IF(Ischemia_singlenet_25percent_ou!1028:1028,"AAAAAG6N5wk=",0)</f>
        <v>0</v>
      </c>
      <c r="K13" t="e">
        <f>AND(Ischemia_singlenet_25percent_ou!A1028,"AAAAAG6N5wo=")</f>
        <v>#VALUE!</v>
      </c>
      <c r="L13" t="e">
        <f>AND(Ischemia_singlenet_25percent_ou!B1028,"AAAAAG6N5ws=")</f>
        <v>#VALUE!</v>
      </c>
      <c r="M13">
        <f>IF(Ischemia_singlenet_25percent_ou!1029:1029,"AAAAAG6N5ww=",0)</f>
        <v>0</v>
      </c>
      <c r="N13" t="e">
        <f>AND(Ischemia_singlenet_25percent_ou!A1029,"AAAAAG6N5w0=")</f>
        <v>#VALUE!</v>
      </c>
      <c r="O13" t="e">
        <f>AND(Ischemia_singlenet_25percent_ou!B1029,"AAAAAG6N5w4=")</f>
        <v>#VALUE!</v>
      </c>
      <c r="P13">
        <f>IF(Ischemia_singlenet_25percent_ou!1030:1030,"AAAAAG6N5w8=",0)</f>
        <v>0</v>
      </c>
      <c r="Q13" t="e">
        <f>AND(Ischemia_singlenet_25percent_ou!A1030,"AAAAAG6N5xA=")</f>
        <v>#VALUE!</v>
      </c>
      <c r="R13" t="e">
        <f>AND(Ischemia_singlenet_25percent_ou!B1030,"AAAAAG6N5xE=")</f>
        <v>#VALUE!</v>
      </c>
      <c r="S13">
        <f>IF(Ischemia_singlenet_25percent_ou!1031:1031,"AAAAAG6N5xI=",0)</f>
        <v>0</v>
      </c>
      <c r="T13" t="e">
        <f>AND(Ischemia_singlenet_25percent_ou!A1031,"AAAAAG6N5xM=")</f>
        <v>#VALUE!</v>
      </c>
      <c r="U13" t="e">
        <f>AND(Ischemia_singlenet_25percent_ou!B1031,"AAAAAG6N5xQ=")</f>
        <v>#VALUE!</v>
      </c>
      <c r="V13">
        <f>IF(Ischemia_singlenet_25percent_ou!1032:1032,"AAAAAG6N5xU=",0)</f>
        <v>0</v>
      </c>
      <c r="W13" t="e">
        <f>AND(Ischemia_singlenet_25percent_ou!A1032,"AAAAAG6N5xY=")</f>
        <v>#VALUE!</v>
      </c>
      <c r="X13" t="e">
        <f>AND(Ischemia_singlenet_25percent_ou!B1032,"AAAAAG6N5xc=")</f>
        <v>#VALUE!</v>
      </c>
      <c r="Y13">
        <f>IF(Ischemia_singlenet_25percent_ou!1033:1033,"AAAAAG6N5xg=",0)</f>
        <v>0</v>
      </c>
      <c r="Z13" t="e">
        <f>AND(Ischemia_singlenet_25percent_ou!A1033,"AAAAAG6N5xk=")</f>
        <v>#VALUE!</v>
      </c>
      <c r="AA13" t="e">
        <f>AND(Ischemia_singlenet_25percent_ou!B1033,"AAAAAG6N5xo=")</f>
        <v>#VALUE!</v>
      </c>
      <c r="AB13">
        <f>IF(Ischemia_singlenet_25percent_ou!1034:1034,"AAAAAG6N5xs=",0)</f>
        <v>0</v>
      </c>
      <c r="AC13" t="e">
        <f>AND(Ischemia_singlenet_25percent_ou!A1034,"AAAAAG6N5xw=")</f>
        <v>#VALUE!</v>
      </c>
      <c r="AD13" t="e">
        <f>AND(Ischemia_singlenet_25percent_ou!B1034,"AAAAAG6N5x0=")</f>
        <v>#VALUE!</v>
      </c>
      <c r="AE13">
        <f>IF(Ischemia_singlenet_25percent_ou!1035:1035,"AAAAAG6N5x4=",0)</f>
        <v>0</v>
      </c>
      <c r="AF13" t="e">
        <f>AND(Ischemia_singlenet_25percent_ou!A1035,"AAAAAG6N5x8=")</f>
        <v>#VALUE!</v>
      </c>
      <c r="AG13" t="e">
        <f>AND(Ischemia_singlenet_25percent_ou!B1035,"AAAAAG6N5yA=")</f>
        <v>#VALUE!</v>
      </c>
      <c r="AH13">
        <f>IF(Ischemia_singlenet_25percent_ou!1036:1036,"AAAAAG6N5yE=",0)</f>
        <v>0</v>
      </c>
      <c r="AI13" t="e">
        <f>AND(Ischemia_singlenet_25percent_ou!A1036,"AAAAAG6N5yI=")</f>
        <v>#VALUE!</v>
      </c>
      <c r="AJ13" t="e">
        <f>AND(Ischemia_singlenet_25percent_ou!B1036,"AAAAAG6N5yM=")</f>
        <v>#VALUE!</v>
      </c>
      <c r="AK13">
        <f>IF(Ischemia_singlenet_25percent_ou!1037:1037,"AAAAAG6N5yQ=",0)</f>
        <v>0</v>
      </c>
      <c r="AL13" t="e">
        <f>AND(Ischemia_singlenet_25percent_ou!A1037,"AAAAAG6N5yU=")</f>
        <v>#VALUE!</v>
      </c>
      <c r="AM13" t="e">
        <f>AND(Ischemia_singlenet_25percent_ou!B1037,"AAAAAG6N5yY=")</f>
        <v>#VALUE!</v>
      </c>
      <c r="AN13">
        <f>IF(Ischemia_singlenet_25percent_ou!1038:1038,"AAAAAG6N5yc=",0)</f>
        <v>0</v>
      </c>
      <c r="AO13" t="e">
        <f>AND(Ischemia_singlenet_25percent_ou!A1038,"AAAAAG6N5yg=")</f>
        <v>#VALUE!</v>
      </c>
      <c r="AP13" t="e">
        <f>AND(Ischemia_singlenet_25percent_ou!B1038,"AAAAAG6N5yk=")</f>
        <v>#VALUE!</v>
      </c>
      <c r="AQ13">
        <f>IF(Ischemia_singlenet_25percent_ou!1039:1039,"AAAAAG6N5yo=",0)</f>
        <v>0</v>
      </c>
      <c r="AR13" t="e">
        <f>AND(Ischemia_singlenet_25percent_ou!A1039,"AAAAAG6N5ys=")</f>
        <v>#VALUE!</v>
      </c>
      <c r="AS13" t="e">
        <f>AND(Ischemia_singlenet_25percent_ou!B1039,"AAAAAG6N5yw=")</f>
        <v>#VALUE!</v>
      </c>
      <c r="AT13">
        <f>IF(Ischemia_singlenet_25percent_ou!1040:1040,"AAAAAG6N5y0=",0)</f>
        <v>0</v>
      </c>
      <c r="AU13" t="e">
        <f>AND(Ischemia_singlenet_25percent_ou!A1040,"AAAAAG6N5y4=")</f>
        <v>#VALUE!</v>
      </c>
      <c r="AV13" t="e">
        <f>AND(Ischemia_singlenet_25percent_ou!B1040,"AAAAAG6N5y8=")</f>
        <v>#VALUE!</v>
      </c>
      <c r="AW13">
        <f>IF(Ischemia_singlenet_25percent_ou!1041:1041,"AAAAAG6N5zA=",0)</f>
        <v>0</v>
      </c>
      <c r="AX13" t="e">
        <f>AND(Ischemia_singlenet_25percent_ou!A1041,"AAAAAG6N5zE=")</f>
        <v>#VALUE!</v>
      </c>
      <c r="AY13" t="e">
        <f>AND(Ischemia_singlenet_25percent_ou!B1041,"AAAAAG6N5zI=")</f>
        <v>#VALUE!</v>
      </c>
      <c r="AZ13">
        <f>IF(Ischemia_singlenet_25percent_ou!1042:1042,"AAAAAG6N5zM=",0)</f>
        <v>0</v>
      </c>
      <c r="BA13" t="e">
        <f>AND(Ischemia_singlenet_25percent_ou!A1042,"AAAAAG6N5zQ=")</f>
        <v>#VALUE!</v>
      </c>
      <c r="BB13" t="e">
        <f>AND(Ischemia_singlenet_25percent_ou!B1042,"AAAAAG6N5zU=")</f>
        <v>#VALUE!</v>
      </c>
      <c r="BC13">
        <f>IF(Ischemia_singlenet_25percent_ou!1043:1043,"AAAAAG6N5zY=",0)</f>
        <v>0</v>
      </c>
      <c r="BD13" t="e">
        <f>AND(Ischemia_singlenet_25percent_ou!A1043,"AAAAAG6N5zc=")</f>
        <v>#VALUE!</v>
      </c>
      <c r="BE13" t="e">
        <f>AND(Ischemia_singlenet_25percent_ou!B1043,"AAAAAG6N5zg=")</f>
        <v>#VALUE!</v>
      </c>
      <c r="BF13">
        <f>IF(Ischemia_singlenet_25percent_ou!1044:1044,"AAAAAG6N5zk=",0)</f>
        <v>0</v>
      </c>
      <c r="BG13" t="e">
        <f>AND(Ischemia_singlenet_25percent_ou!A1044,"AAAAAG6N5zo=")</f>
        <v>#VALUE!</v>
      </c>
      <c r="BH13" t="e">
        <f>AND(Ischemia_singlenet_25percent_ou!B1044,"AAAAAG6N5zs=")</f>
        <v>#VALUE!</v>
      </c>
      <c r="BI13">
        <f>IF(Ischemia_singlenet_25percent_ou!1045:1045,"AAAAAG6N5zw=",0)</f>
        <v>0</v>
      </c>
      <c r="BJ13" t="e">
        <f>AND(Ischemia_singlenet_25percent_ou!A1045,"AAAAAG6N5z0=")</f>
        <v>#VALUE!</v>
      </c>
      <c r="BK13" t="e">
        <f>AND(Ischemia_singlenet_25percent_ou!B1045,"AAAAAG6N5z4=")</f>
        <v>#VALUE!</v>
      </c>
      <c r="BL13">
        <f>IF(Ischemia_singlenet_25percent_ou!1046:1046,"AAAAAG6N5z8=",0)</f>
        <v>0</v>
      </c>
      <c r="BM13" t="e">
        <f>AND(Ischemia_singlenet_25percent_ou!A1046,"AAAAAG6N50A=")</f>
        <v>#VALUE!</v>
      </c>
      <c r="BN13" t="e">
        <f>AND(Ischemia_singlenet_25percent_ou!B1046,"AAAAAG6N50E=")</f>
        <v>#VALUE!</v>
      </c>
      <c r="BO13">
        <f>IF(Ischemia_singlenet_25percent_ou!1047:1047,"AAAAAG6N50I=",0)</f>
        <v>0</v>
      </c>
      <c r="BP13" t="e">
        <f>AND(Ischemia_singlenet_25percent_ou!A1047,"AAAAAG6N50M=")</f>
        <v>#VALUE!</v>
      </c>
      <c r="BQ13" t="e">
        <f>AND(Ischemia_singlenet_25percent_ou!B1047,"AAAAAG6N50Q=")</f>
        <v>#VALUE!</v>
      </c>
      <c r="BR13">
        <f>IF(Ischemia_singlenet_25percent_ou!1048:1048,"AAAAAG6N50U=",0)</f>
        <v>0</v>
      </c>
      <c r="BS13" t="e">
        <f>AND(Ischemia_singlenet_25percent_ou!A1048,"AAAAAG6N50Y=")</f>
        <v>#VALUE!</v>
      </c>
      <c r="BT13" t="e">
        <f>AND(Ischemia_singlenet_25percent_ou!B1048,"AAAAAG6N50c=")</f>
        <v>#VALUE!</v>
      </c>
      <c r="BU13">
        <f>IF(Ischemia_singlenet_25percent_ou!1049:1049,"AAAAAG6N50g=",0)</f>
        <v>0</v>
      </c>
      <c r="BV13" t="e">
        <f>AND(Ischemia_singlenet_25percent_ou!A1049,"AAAAAG6N50k=")</f>
        <v>#VALUE!</v>
      </c>
      <c r="BW13" t="e">
        <f>AND(Ischemia_singlenet_25percent_ou!B1049,"AAAAAG6N50o=")</f>
        <v>#VALUE!</v>
      </c>
      <c r="BX13">
        <f>IF(Ischemia_singlenet_25percent_ou!1050:1050,"AAAAAG6N50s=",0)</f>
        <v>0</v>
      </c>
      <c r="BY13" t="e">
        <f>AND(Ischemia_singlenet_25percent_ou!A1050,"AAAAAG6N50w=")</f>
        <v>#VALUE!</v>
      </c>
      <c r="BZ13" t="e">
        <f>AND(Ischemia_singlenet_25percent_ou!B1050,"AAAAAG6N500=")</f>
        <v>#VALUE!</v>
      </c>
      <c r="CA13">
        <f>IF(Ischemia_singlenet_25percent_ou!1051:1051,"AAAAAG6N504=",0)</f>
        <v>0</v>
      </c>
      <c r="CB13" t="e">
        <f>AND(Ischemia_singlenet_25percent_ou!A1051,"AAAAAG6N508=")</f>
        <v>#VALUE!</v>
      </c>
      <c r="CC13" t="e">
        <f>AND(Ischemia_singlenet_25percent_ou!B1051,"AAAAAG6N51A=")</f>
        <v>#VALUE!</v>
      </c>
      <c r="CD13">
        <f>IF(Ischemia_singlenet_25percent_ou!1052:1052,"AAAAAG6N51E=",0)</f>
        <v>0</v>
      </c>
      <c r="CE13" t="e">
        <f>AND(Ischemia_singlenet_25percent_ou!A1052,"AAAAAG6N51I=")</f>
        <v>#VALUE!</v>
      </c>
      <c r="CF13" t="e">
        <f>AND(Ischemia_singlenet_25percent_ou!B1052,"AAAAAG6N51M=")</f>
        <v>#VALUE!</v>
      </c>
      <c r="CG13">
        <f>IF(Ischemia_singlenet_25percent_ou!1053:1053,"AAAAAG6N51Q=",0)</f>
        <v>0</v>
      </c>
      <c r="CH13" t="e">
        <f>AND(Ischemia_singlenet_25percent_ou!A1053,"AAAAAG6N51U=")</f>
        <v>#VALUE!</v>
      </c>
      <c r="CI13" t="e">
        <f>AND(Ischemia_singlenet_25percent_ou!B1053,"AAAAAG6N51Y=")</f>
        <v>#VALUE!</v>
      </c>
      <c r="CJ13">
        <f>IF(Ischemia_singlenet_25percent_ou!1054:1054,"AAAAAG6N51c=",0)</f>
        <v>0</v>
      </c>
      <c r="CK13" t="e">
        <f>AND(Ischemia_singlenet_25percent_ou!A1054,"AAAAAG6N51g=")</f>
        <v>#VALUE!</v>
      </c>
      <c r="CL13" t="e">
        <f>AND(Ischemia_singlenet_25percent_ou!B1054,"AAAAAG6N51k=")</f>
        <v>#VALUE!</v>
      </c>
      <c r="CM13">
        <f>IF(Ischemia_singlenet_25percent_ou!1055:1055,"AAAAAG6N51o=",0)</f>
        <v>0</v>
      </c>
      <c r="CN13" t="e">
        <f>AND(Ischemia_singlenet_25percent_ou!A1055,"AAAAAG6N51s=")</f>
        <v>#VALUE!</v>
      </c>
      <c r="CO13" t="e">
        <f>AND(Ischemia_singlenet_25percent_ou!B1055,"AAAAAG6N51w=")</f>
        <v>#VALUE!</v>
      </c>
      <c r="CP13">
        <f>IF(Ischemia_singlenet_25percent_ou!1056:1056,"AAAAAG6N510=",0)</f>
        <v>0</v>
      </c>
      <c r="CQ13" t="e">
        <f>AND(Ischemia_singlenet_25percent_ou!A1056,"AAAAAG6N514=")</f>
        <v>#VALUE!</v>
      </c>
      <c r="CR13" t="e">
        <f>AND(Ischemia_singlenet_25percent_ou!B1056,"AAAAAG6N518=")</f>
        <v>#VALUE!</v>
      </c>
      <c r="CS13">
        <f>IF(Ischemia_singlenet_25percent_ou!1057:1057,"AAAAAG6N52A=",0)</f>
        <v>0</v>
      </c>
      <c r="CT13" t="e">
        <f>AND(Ischemia_singlenet_25percent_ou!A1057,"AAAAAG6N52E=")</f>
        <v>#VALUE!</v>
      </c>
      <c r="CU13" t="e">
        <f>AND(Ischemia_singlenet_25percent_ou!B1057,"AAAAAG6N52I=")</f>
        <v>#VALUE!</v>
      </c>
      <c r="CV13">
        <f>IF(Ischemia_singlenet_25percent_ou!1058:1058,"AAAAAG6N52M=",0)</f>
        <v>0</v>
      </c>
      <c r="CW13" t="e">
        <f>AND(Ischemia_singlenet_25percent_ou!A1058,"AAAAAG6N52Q=")</f>
        <v>#VALUE!</v>
      </c>
      <c r="CX13" t="e">
        <f>AND(Ischemia_singlenet_25percent_ou!B1058,"AAAAAG6N52U=")</f>
        <v>#VALUE!</v>
      </c>
      <c r="CY13">
        <f>IF(Ischemia_singlenet_25percent_ou!1059:1059,"AAAAAG6N52Y=",0)</f>
        <v>0</v>
      </c>
      <c r="CZ13" t="e">
        <f>AND(Ischemia_singlenet_25percent_ou!A1059,"AAAAAG6N52c=")</f>
        <v>#VALUE!</v>
      </c>
      <c r="DA13" t="e">
        <f>AND(Ischemia_singlenet_25percent_ou!B1059,"AAAAAG6N52g=")</f>
        <v>#VALUE!</v>
      </c>
      <c r="DB13">
        <f>IF(Ischemia_singlenet_25percent_ou!1060:1060,"AAAAAG6N52k=",0)</f>
        <v>0</v>
      </c>
      <c r="DC13" t="e">
        <f>AND(Ischemia_singlenet_25percent_ou!A1060,"AAAAAG6N52o=")</f>
        <v>#VALUE!</v>
      </c>
      <c r="DD13" t="e">
        <f>AND(Ischemia_singlenet_25percent_ou!B1060,"AAAAAG6N52s=")</f>
        <v>#VALUE!</v>
      </c>
      <c r="DE13">
        <f>IF(Ischemia_singlenet_25percent_ou!1061:1061,"AAAAAG6N52w=",0)</f>
        <v>0</v>
      </c>
      <c r="DF13" t="e">
        <f>AND(Ischemia_singlenet_25percent_ou!A1061,"AAAAAG6N520=")</f>
        <v>#VALUE!</v>
      </c>
      <c r="DG13" t="e">
        <f>AND(Ischemia_singlenet_25percent_ou!B1061,"AAAAAG6N524=")</f>
        <v>#VALUE!</v>
      </c>
      <c r="DH13">
        <f>IF(Ischemia_singlenet_25percent_ou!1062:1062,"AAAAAG6N528=",0)</f>
        <v>0</v>
      </c>
      <c r="DI13" t="e">
        <f>AND(Ischemia_singlenet_25percent_ou!A1062,"AAAAAG6N53A=")</f>
        <v>#VALUE!</v>
      </c>
      <c r="DJ13" t="e">
        <f>AND(Ischemia_singlenet_25percent_ou!B1062,"AAAAAG6N53E=")</f>
        <v>#VALUE!</v>
      </c>
      <c r="DK13">
        <f>IF(Ischemia_singlenet_25percent_ou!1063:1063,"AAAAAG6N53I=",0)</f>
        <v>0</v>
      </c>
      <c r="DL13" t="e">
        <f>AND(Ischemia_singlenet_25percent_ou!A1063,"AAAAAG6N53M=")</f>
        <v>#VALUE!</v>
      </c>
      <c r="DM13" t="e">
        <f>AND(Ischemia_singlenet_25percent_ou!B1063,"AAAAAG6N53Q=")</f>
        <v>#VALUE!</v>
      </c>
      <c r="DN13">
        <f>IF(Ischemia_singlenet_25percent_ou!1064:1064,"AAAAAG6N53U=",0)</f>
        <v>0</v>
      </c>
      <c r="DO13" t="e">
        <f>AND(Ischemia_singlenet_25percent_ou!A1064,"AAAAAG6N53Y=")</f>
        <v>#VALUE!</v>
      </c>
      <c r="DP13" t="e">
        <f>AND(Ischemia_singlenet_25percent_ou!B1064,"AAAAAG6N53c=")</f>
        <v>#VALUE!</v>
      </c>
      <c r="DQ13">
        <f>IF(Ischemia_singlenet_25percent_ou!1065:1065,"AAAAAG6N53g=",0)</f>
        <v>0</v>
      </c>
      <c r="DR13" t="e">
        <f>AND(Ischemia_singlenet_25percent_ou!A1065,"AAAAAG6N53k=")</f>
        <v>#VALUE!</v>
      </c>
      <c r="DS13" t="e">
        <f>AND(Ischemia_singlenet_25percent_ou!B1065,"AAAAAG6N53o=")</f>
        <v>#VALUE!</v>
      </c>
      <c r="DT13">
        <f>IF(Ischemia_singlenet_25percent_ou!1066:1066,"AAAAAG6N53s=",0)</f>
        <v>0</v>
      </c>
      <c r="DU13" t="e">
        <f>AND(Ischemia_singlenet_25percent_ou!A1066,"AAAAAG6N53w=")</f>
        <v>#VALUE!</v>
      </c>
      <c r="DV13" t="e">
        <f>AND(Ischemia_singlenet_25percent_ou!B1066,"AAAAAG6N530=")</f>
        <v>#VALUE!</v>
      </c>
      <c r="DW13">
        <f>IF(Ischemia_singlenet_25percent_ou!1067:1067,"AAAAAG6N534=",0)</f>
        <v>0</v>
      </c>
      <c r="DX13" t="e">
        <f>AND(Ischemia_singlenet_25percent_ou!A1067,"AAAAAG6N538=")</f>
        <v>#VALUE!</v>
      </c>
      <c r="DY13" t="e">
        <f>AND(Ischemia_singlenet_25percent_ou!B1067,"AAAAAG6N54A=")</f>
        <v>#VALUE!</v>
      </c>
      <c r="DZ13">
        <f>IF(Ischemia_singlenet_25percent_ou!1068:1068,"AAAAAG6N54E=",0)</f>
        <v>0</v>
      </c>
      <c r="EA13" t="e">
        <f>AND(Ischemia_singlenet_25percent_ou!A1068,"AAAAAG6N54I=")</f>
        <v>#VALUE!</v>
      </c>
      <c r="EB13" t="e">
        <f>AND(Ischemia_singlenet_25percent_ou!B1068,"AAAAAG6N54M=")</f>
        <v>#VALUE!</v>
      </c>
      <c r="EC13">
        <f>IF(Ischemia_singlenet_25percent_ou!1069:1069,"AAAAAG6N54Q=",0)</f>
        <v>0</v>
      </c>
      <c r="ED13" t="e">
        <f>AND(Ischemia_singlenet_25percent_ou!A1069,"AAAAAG6N54U=")</f>
        <v>#VALUE!</v>
      </c>
      <c r="EE13" t="e">
        <f>AND(Ischemia_singlenet_25percent_ou!B1069,"AAAAAG6N54Y=")</f>
        <v>#VALUE!</v>
      </c>
      <c r="EF13">
        <f>IF(Ischemia_singlenet_25percent_ou!1070:1070,"AAAAAG6N54c=",0)</f>
        <v>0</v>
      </c>
      <c r="EG13" t="e">
        <f>AND(Ischemia_singlenet_25percent_ou!A1070,"AAAAAG6N54g=")</f>
        <v>#VALUE!</v>
      </c>
      <c r="EH13" t="e">
        <f>AND(Ischemia_singlenet_25percent_ou!B1070,"AAAAAG6N54k=")</f>
        <v>#VALUE!</v>
      </c>
      <c r="EI13">
        <f>IF(Ischemia_singlenet_25percent_ou!1071:1071,"AAAAAG6N54o=",0)</f>
        <v>0</v>
      </c>
      <c r="EJ13" t="e">
        <f>AND(Ischemia_singlenet_25percent_ou!A1071,"AAAAAG6N54s=")</f>
        <v>#VALUE!</v>
      </c>
      <c r="EK13" t="e">
        <f>AND(Ischemia_singlenet_25percent_ou!B1071,"AAAAAG6N54w=")</f>
        <v>#VALUE!</v>
      </c>
      <c r="EL13">
        <f>IF(Ischemia_singlenet_25percent_ou!1072:1072,"AAAAAG6N540=",0)</f>
        <v>0</v>
      </c>
      <c r="EM13" t="e">
        <f>AND(Ischemia_singlenet_25percent_ou!A1072,"AAAAAG6N544=")</f>
        <v>#VALUE!</v>
      </c>
      <c r="EN13" t="e">
        <f>AND(Ischemia_singlenet_25percent_ou!B1072,"AAAAAG6N548=")</f>
        <v>#VALUE!</v>
      </c>
      <c r="EO13">
        <f>IF(Ischemia_singlenet_25percent_ou!1073:1073,"AAAAAG6N55A=",0)</f>
        <v>0</v>
      </c>
      <c r="EP13" t="e">
        <f>AND(Ischemia_singlenet_25percent_ou!A1073,"AAAAAG6N55E=")</f>
        <v>#VALUE!</v>
      </c>
      <c r="EQ13" t="e">
        <f>AND(Ischemia_singlenet_25percent_ou!B1073,"AAAAAG6N55I=")</f>
        <v>#VALUE!</v>
      </c>
      <c r="ER13">
        <f>IF(Ischemia_singlenet_25percent_ou!1074:1074,"AAAAAG6N55M=",0)</f>
        <v>0</v>
      </c>
      <c r="ES13" t="e">
        <f>AND(Ischemia_singlenet_25percent_ou!A1074,"AAAAAG6N55Q=")</f>
        <v>#VALUE!</v>
      </c>
      <c r="ET13" t="e">
        <f>AND(Ischemia_singlenet_25percent_ou!B1074,"AAAAAG6N55U=")</f>
        <v>#VALUE!</v>
      </c>
      <c r="EU13">
        <f>IF(Ischemia_singlenet_25percent_ou!1075:1075,"AAAAAG6N55Y=",0)</f>
        <v>0</v>
      </c>
      <c r="EV13" t="e">
        <f>AND(Ischemia_singlenet_25percent_ou!A1075,"AAAAAG6N55c=")</f>
        <v>#VALUE!</v>
      </c>
      <c r="EW13" t="e">
        <f>AND(Ischemia_singlenet_25percent_ou!B1075,"AAAAAG6N55g=")</f>
        <v>#VALUE!</v>
      </c>
      <c r="EX13">
        <f>IF(Ischemia_singlenet_25percent_ou!1076:1076,"AAAAAG6N55k=",0)</f>
        <v>0</v>
      </c>
      <c r="EY13" t="e">
        <f>AND(Ischemia_singlenet_25percent_ou!A1076,"AAAAAG6N55o=")</f>
        <v>#VALUE!</v>
      </c>
      <c r="EZ13" t="e">
        <f>AND(Ischemia_singlenet_25percent_ou!B1076,"AAAAAG6N55s=")</f>
        <v>#VALUE!</v>
      </c>
      <c r="FA13">
        <f>IF(Ischemia_singlenet_25percent_ou!1077:1077,"AAAAAG6N55w=",0)</f>
        <v>0</v>
      </c>
      <c r="FB13" t="e">
        <f>AND(Ischemia_singlenet_25percent_ou!A1077,"AAAAAG6N550=")</f>
        <v>#VALUE!</v>
      </c>
      <c r="FC13" t="e">
        <f>AND(Ischemia_singlenet_25percent_ou!B1077,"AAAAAG6N554=")</f>
        <v>#VALUE!</v>
      </c>
      <c r="FD13">
        <f>IF(Ischemia_singlenet_25percent_ou!1078:1078,"AAAAAG6N558=",0)</f>
        <v>0</v>
      </c>
      <c r="FE13" t="e">
        <f>AND(Ischemia_singlenet_25percent_ou!A1078,"AAAAAG6N56A=")</f>
        <v>#VALUE!</v>
      </c>
      <c r="FF13" t="e">
        <f>AND(Ischemia_singlenet_25percent_ou!B1078,"AAAAAG6N56E=")</f>
        <v>#VALUE!</v>
      </c>
      <c r="FG13">
        <f>IF(Ischemia_singlenet_25percent_ou!1079:1079,"AAAAAG6N56I=",0)</f>
        <v>0</v>
      </c>
      <c r="FH13" t="e">
        <f>AND(Ischemia_singlenet_25percent_ou!A1079,"AAAAAG6N56M=")</f>
        <v>#VALUE!</v>
      </c>
      <c r="FI13" t="e">
        <f>AND(Ischemia_singlenet_25percent_ou!B1079,"AAAAAG6N56Q=")</f>
        <v>#VALUE!</v>
      </c>
      <c r="FJ13">
        <f>IF(Ischemia_singlenet_25percent_ou!1080:1080,"AAAAAG6N56U=",0)</f>
        <v>0</v>
      </c>
      <c r="FK13" t="e">
        <f>AND(Ischemia_singlenet_25percent_ou!A1080,"AAAAAG6N56Y=")</f>
        <v>#VALUE!</v>
      </c>
      <c r="FL13" t="e">
        <f>AND(Ischemia_singlenet_25percent_ou!B1080,"AAAAAG6N56c=")</f>
        <v>#VALUE!</v>
      </c>
      <c r="FM13">
        <f>IF(Ischemia_singlenet_25percent_ou!1081:1081,"AAAAAG6N56g=",0)</f>
        <v>0</v>
      </c>
      <c r="FN13" t="e">
        <f>AND(Ischemia_singlenet_25percent_ou!A1081,"AAAAAG6N56k=")</f>
        <v>#VALUE!</v>
      </c>
      <c r="FO13" t="e">
        <f>AND(Ischemia_singlenet_25percent_ou!B1081,"AAAAAG6N56o=")</f>
        <v>#VALUE!</v>
      </c>
      <c r="FP13">
        <f>IF(Ischemia_singlenet_25percent_ou!1082:1082,"AAAAAG6N56s=",0)</f>
        <v>0</v>
      </c>
      <c r="FQ13" t="e">
        <f>AND(Ischemia_singlenet_25percent_ou!A1082,"AAAAAG6N56w=")</f>
        <v>#VALUE!</v>
      </c>
      <c r="FR13" t="e">
        <f>AND(Ischemia_singlenet_25percent_ou!B1082,"AAAAAG6N560=")</f>
        <v>#VALUE!</v>
      </c>
      <c r="FS13">
        <f>IF(Ischemia_singlenet_25percent_ou!1083:1083,"AAAAAG6N564=",0)</f>
        <v>0</v>
      </c>
      <c r="FT13" t="e">
        <f>AND(Ischemia_singlenet_25percent_ou!A1083,"AAAAAG6N568=")</f>
        <v>#VALUE!</v>
      </c>
      <c r="FU13" t="e">
        <f>AND(Ischemia_singlenet_25percent_ou!B1083,"AAAAAG6N57A=")</f>
        <v>#VALUE!</v>
      </c>
      <c r="FV13">
        <f>IF(Ischemia_singlenet_25percent_ou!1084:1084,"AAAAAG6N57E=",0)</f>
        <v>0</v>
      </c>
      <c r="FW13" t="e">
        <f>AND(Ischemia_singlenet_25percent_ou!A1084,"AAAAAG6N57I=")</f>
        <v>#VALUE!</v>
      </c>
      <c r="FX13" t="e">
        <f>AND(Ischemia_singlenet_25percent_ou!B1084,"AAAAAG6N57M=")</f>
        <v>#VALUE!</v>
      </c>
      <c r="FY13">
        <f>IF(Ischemia_singlenet_25percent_ou!1085:1085,"AAAAAG6N57Q=",0)</f>
        <v>0</v>
      </c>
      <c r="FZ13" t="e">
        <f>AND(Ischemia_singlenet_25percent_ou!A1085,"AAAAAG6N57U=")</f>
        <v>#VALUE!</v>
      </c>
      <c r="GA13" t="e">
        <f>AND(Ischemia_singlenet_25percent_ou!B1085,"AAAAAG6N57Y=")</f>
        <v>#VALUE!</v>
      </c>
      <c r="GB13">
        <f>IF(Ischemia_singlenet_25percent_ou!1086:1086,"AAAAAG6N57c=",0)</f>
        <v>0</v>
      </c>
      <c r="GC13" t="e">
        <f>AND(Ischemia_singlenet_25percent_ou!A1086,"AAAAAG6N57g=")</f>
        <v>#VALUE!</v>
      </c>
      <c r="GD13" t="e">
        <f>AND(Ischemia_singlenet_25percent_ou!B1086,"AAAAAG6N57k=")</f>
        <v>#VALUE!</v>
      </c>
      <c r="GE13">
        <f>IF(Ischemia_singlenet_25percent_ou!1087:1087,"AAAAAG6N57o=",0)</f>
        <v>0</v>
      </c>
      <c r="GF13" t="e">
        <f>AND(Ischemia_singlenet_25percent_ou!A1087,"AAAAAG6N57s=")</f>
        <v>#VALUE!</v>
      </c>
      <c r="GG13" t="e">
        <f>AND(Ischemia_singlenet_25percent_ou!B1087,"AAAAAG6N57w=")</f>
        <v>#VALUE!</v>
      </c>
      <c r="GH13">
        <f>IF(Ischemia_singlenet_25percent_ou!1088:1088,"AAAAAG6N570=",0)</f>
        <v>0</v>
      </c>
      <c r="GI13" t="e">
        <f>AND(Ischemia_singlenet_25percent_ou!A1088,"AAAAAG6N574=")</f>
        <v>#VALUE!</v>
      </c>
      <c r="GJ13" t="e">
        <f>AND(Ischemia_singlenet_25percent_ou!B1088,"AAAAAG6N578=")</f>
        <v>#VALUE!</v>
      </c>
      <c r="GK13">
        <f>IF(Ischemia_singlenet_25percent_ou!1089:1089,"AAAAAG6N58A=",0)</f>
        <v>0</v>
      </c>
      <c r="GL13" t="e">
        <f>AND(Ischemia_singlenet_25percent_ou!A1089,"AAAAAG6N58E=")</f>
        <v>#VALUE!</v>
      </c>
      <c r="GM13" t="e">
        <f>AND(Ischemia_singlenet_25percent_ou!B1089,"AAAAAG6N58I=")</f>
        <v>#VALUE!</v>
      </c>
      <c r="GN13">
        <f>IF(Ischemia_singlenet_25percent_ou!1090:1090,"AAAAAG6N58M=",0)</f>
        <v>0</v>
      </c>
      <c r="GO13" t="e">
        <f>AND(Ischemia_singlenet_25percent_ou!A1090,"AAAAAG6N58Q=")</f>
        <v>#VALUE!</v>
      </c>
      <c r="GP13" t="e">
        <f>AND(Ischemia_singlenet_25percent_ou!B1090,"AAAAAG6N58U=")</f>
        <v>#VALUE!</v>
      </c>
      <c r="GQ13">
        <f>IF(Ischemia_singlenet_25percent_ou!1091:1091,"AAAAAG6N58Y=",0)</f>
        <v>0</v>
      </c>
      <c r="GR13" t="e">
        <f>AND(Ischemia_singlenet_25percent_ou!A1091,"AAAAAG6N58c=")</f>
        <v>#VALUE!</v>
      </c>
      <c r="GS13" t="e">
        <f>AND(Ischemia_singlenet_25percent_ou!B1091,"AAAAAG6N58g=")</f>
        <v>#VALUE!</v>
      </c>
      <c r="GT13">
        <f>IF(Ischemia_singlenet_25percent_ou!1092:1092,"AAAAAG6N58k=",0)</f>
        <v>0</v>
      </c>
      <c r="GU13" t="e">
        <f>AND(Ischemia_singlenet_25percent_ou!A1092,"AAAAAG6N58o=")</f>
        <v>#VALUE!</v>
      </c>
      <c r="GV13" t="e">
        <f>AND(Ischemia_singlenet_25percent_ou!B1092,"AAAAAG6N58s=")</f>
        <v>#VALUE!</v>
      </c>
      <c r="GW13">
        <f>IF(Ischemia_singlenet_25percent_ou!1093:1093,"AAAAAG6N58w=",0)</f>
        <v>0</v>
      </c>
      <c r="GX13" t="e">
        <f>AND(Ischemia_singlenet_25percent_ou!A1093,"AAAAAG6N580=")</f>
        <v>#VALUE!</v>
      </c>
      <c r="GY13" t="e">
        <f>AND(Ischemia_singlenet_25percent_ou!B1093,"AAAAAG6N584=")</f>
        <v>#VALUE!</v>
      </c>
      <c r="GZ13">
        <f>IF(Ischemia_singlenet_25percent_ou!1094:1094,"AAAAAG6N588=",0)</f>
        <v>0</v>
      </c>
      <c r="HA13" t="e">
        <f>AND(Ischemia_singlenet_25percent_ou!A1094,"AAAAAG6N59A=")</f>
        <v>#VALUE!</v>
      </c>
      <c r="HB13" t="e">
        <f>AND(Ischemia_singlenet_25percent_ou!B1094,"AAAAAG6N59E=")</f>
        <v>#VALUE!</v>
      </c>
      <c r="HC13">
        <f>IF(Ischemia_singlenet_25percent_ou!1095:1095,"AAAAAG6N59I=",0)</f>
        <v>0</v>
      </c>
      <c r="HD13" t="e">
        <f>AND(Ischemia_singlenet_25percent_ou!A1095,"AAAAAG6N59M=")</f>
        <v>#VALUE!</v>
      </c>
      <c r="HE13" t="e">
        <f>AND(Ischemia_singlenet_25percent_ou!B1095,"AAAAAG6N59Q=")</f>
        <v>#VALUE!</v>
      </c>
      <c r="HF13">
        <f>IF(Ischemia_singlenet_25percent_ou!1096:1096,"AAAAAG6N59U=",0)</f>
        <v>0</v>
      </c>
      <c r="HG13" t="e">
        <f>AND(Ischemia_singlenet_25percent_ou!A1096,"AAAAAG6N59Y=")</f>
        <v>#VALUE!</v>
      </c>
      <c r="HH13" t="e">
        <f>AND(Ischemia_singlenet_25percent_ou!B1096,"AAAAAG6N59c=")</f>
        <v>#VALUE!</v>
      </c>
      <c r="HI13">
        <f>IF(Ischemia_singlenet_25percent_ou!1097:1097,"AAAAAG6N59g=",0)</f>
        <v>0</v>
      </c>
      <c r="HJ13" t="e">
        <f>AND(Ischemia_singlenet_25percent_ou!A1097,"AAAAAG6N59k=")</f>
        <v>#VALUE!</v>
      </c>
      <c r="HK13" t="e">
        <f>AND(Ischemia_singlenet_25percent_ou!B1097,"AAAAAG6N59o=")</f>
        <v>#VALUE!</v>
      </c>
      <c r="HL13">
        <f>IF(Ischemia_singlenet_25percent_ou!1098:1098,"AAAAAG6N59s=",0)</f>
        <v>0</v>
      </c>
      <c r="HM13" t="e">
        <f>AND(Ischemia_singlenet_25percent_ou!A1098,"AAAAAG6N59w=")</f>
        <v>#VALUE!</v>
      </c>
      <c r="HN13" t="e">
        <f>AND(Ischemia_singlenet_25percent_ou!B1098,"AAAAAG6N590=")</f>
        <v>#VALUE!</v>
      </c>
      <c r="HO13">
        <f>IF(Ischemia_singlenet_25percent_ou!1099:1099,"AAAAAG6N594=",0)</f>
        <v>0</v>
      </c>
      <c r="HP13" t="e">
        <f>AND(Ischemia_singlenet_25percent_ou!A1099,"AAAAAG6N598=")</f>
        <v>#VALUE!</v>
      </c>
      <c r="HQ13" t="e">
        <f>AND(Ischemia_singlenet_25percent_ou!B1099,"AAAAAG6N5+A=")</f>
        <v>#VALUE!</v>
      </c>
      <c r="HR13">
        <f>IF(Ischemia_singlenet_25percent_ou!1100:1100,"AAAAAG6N5+E=",0)</f>
        <v>0</v>
      </c>
      <c r="HS13" t="e">
        <f>AND(Ischemia_singlenet_25percent_ou!A1100,"AAAAAG6N5+I=")</f>
        <v>#VALUE!</v>
      </c>
      <c r="HT13" t="e">
        <f>AND(Ischemia_singlenet_25percent_ou!B1100,"AAAAAG6N5+M=")</f>
        <v>#VALUE!</v>
      </c>
      <c r="HU13">
        <f>IF(Ischemia_singlenet_25percent_ou!1101:1101,"AAAAAG6N5+Q=",0)</f>
        <v>0</v>
      </c>
      <c r="HV13" t="e">
        <f>AND(Ischemia_singlenet_25percent_ou!A1101,"AAAAAG6N5+U=")</f>
        <v>#VALUE!</v>
      </c>
      <c r="HW13" t="e">
        <f>AND(Ischemia_singlenet_25percent_ou!B1101,"AAAAAG6N5+Y=")</f>
        <v>#VALUE!</v>
      </c>
      <c r="HX13">
        <f>IF(Ischemia_singlenet_25percent_ou!1102:1102,"AAAAAG6N5+c=",0)</f>
        <v>0</v>
      </c>
      <c r="HY13" t="e">
        <f>AND(Ischemia_singlenet_25percent_ou!A1102,"AAAAAG6N5+g=")</f>
        <v>#VALUE!</v>
      </c>
      <c r="HZ13" t="e">
        <f>AND(Ischemia_singlenet_25percent_ou!B1102,"AAAAAG6N5+k=")</f>
        <v>#VALUE!</v>
      </c>
      <c r="IA13">
        <f>IF(Ischemia_singlenet_25percent_ou!1103:1103,"AAAAAG6N5+o=",0)</f>
        <v>0</v>
      </c>
      <c r="IB13" t="e">
        <f>AND(Ischemia_singlenet_25percent_ou!A1103,"AAAAAG6N5+s=")</f>
        <v>#VALUE!</v>
      </c>
      <c r="IC13" t="e">
        <f>AND(Ischemia_singlenet_25percent_ou!B1103,"AAAAAG6N5+w=")</f>
        <v>#VALUE!</v>
      </c>
      <c r="ID13">
        <f>IF(Ischemia_singlenet_25percent_ou!1104:1104,"AAAAAG6N5+0=",0)</f>
        <v>0</v>
      </c>
      <c r="IE13" t="e">
        <f>AND(Ischemia_singlenet_25percent_ou!A1104,"AAAAAG6N5+4=")</f>
        <v>#VALUE!</v>
      </c>
      <c r="IF13" t="e">
        <f>AND(Ischemia_singlenet_25percent_ou!B1104,"AAAAAG6N5+8=")</f>
        <v>#VALUE!</v>
      </c>
      <c r="IG13">
        <f>IF(Ischemia_singlenet_25percent_ou!1105:1105,"AAAAAG6N5/A=",0)</f>
        <v>0</v>
      </c>
      <c r="IH13" t="e">
        <f>AND(Ischemia_singlenet_25percent_ou!A1105,"AAAAAG6N5/E=")</f>
        <v>#VALUE!</v>
      </c>
      <c r="II13" t="e">
        <f>AND(Ischemia_singlenet_25percent_ou!B1105,"AAAAAG6N5/I=")</f>
        <v>#VALUE!</v>
      </c>
      <c r="IJ13">
        <f>IF(Ischemia_singlenet_25percent_ou!1106:1106,"AAAAAG6N5/M=",0)</f>
        <v>0</v>
      </c>
      <c r="IK13" t="e">
        <f>AND(Ischemia_singlenet_25percent_ou!A1106,"AAAAAG6N5/Q=")</f>
        <v>#VALUE!</v>
      </c>
      <c r="IL13" t="e">
        <f>AND(Ischemia_singlenet_25percent_ou!B1106,"AAAAAG6N5/U=")</f>
        <v>#VALUE!</v>
      </c>
      <c r="IM13">
        <f>IF(Ischemia_singlenet_25percent_ou!1107:1107,"AAAAAG6N5/Y=",0)</f>
        <v>0</v>
      </c>
      <c r="IN13" t="e">
        <f>AND(Ischemia_singlenet_25percent_ou!A1107,"AAAAAG6N5/c=")</f>
        <v>#VALUE!</v>
      </c>
      <c r="IO13" t="e">
        <f>AND(Ischemia_singlenet_25percent_ou!B1107,"AAAAAG6N5/g=")</f>
        <v>#VALUE!</v>
      </c>
      <c r="IP13">
        <f>IF(Ischemia_singlenet_25percent_ou!1108:1108,"AAAAAG6N5/k=",0)</f>
        <v>0</v>
      </c>
      <c r="IQ13" t="e">
        <f>AND(Ischemia_singlenet_25percent_ou!A1108,"AAAAAG6N5/o=")</f>
        <v>#VALUE!</v>
      </c>
      <c r="IR13" t="e">
        <f>AND(Ischemia_singlenet_25percent_ou!B1108,"AAAAAG6N5/s=")</f>
        <v>#VALUE!</v>
      </c>
      <c r="IS13">
        <f>IF(Ischemia_singlenet_25percent_ou!1109:1109,"AAAAAG6N5/w=",0)</f>
        <v>0</v>
      </c>
      <c r="IT13" t="e">
        <f>AND(Ischemia_singlenet_25percent_ou!A1109,"AAAAAG6N5/0=")</f>
        <v>#VALUE!</v>
      </c>
      <c r="IU13" t="e">
        <f>AND(Ischemia_singlenet_25percent_ou!B1109,"AAAAAG6N5/4=")</f>
        <v>#VALUE!</v>
      </c>
      <c r="IV13">
        <f>IF(Ischemia_singlenet_25percent_ou!1110:1110,"AAAAAG6N5/8=",0)</f>
        <v>0</v>
      </c>
    </row>
    <row r="14" spans="1:256">
      <c r="A14" t="e">
        <f>AND(Ischemia_singlenet_25percent_ou!A1110,"AAAAACl89wA=")</f>
        <v>#VALUE!</v>
      </c>
      <c r="B14" t="e">
        <f>AND(Ischemia_singlenet_25percent_ou!B1110,"AAAAACl89wE=")</f>
        <v>#VALUE!</v>
      </c>
      <c r="C14">
        <f>IF(Ischemia_singlenet_25percent_ou!1111:1111,"AAAAACl89wI=",0)</f>
        <v>0</v>
      </c>
      <c r="D14" t="e">
        <f>AND(Ischemia_singlenet_25percent_ou!A1111,"AAAAACl89wM=")</f>
        <v>#VALUE!</v>
      </c>
      <c r="E14" t="e">
        <f>AND(Ischemia_singlenet_25percent_ou!B1111,"AAAAACl89wQ=")</f>
        <v>#VALUE!</v>
      </c>
      <c r="F14">
        <f>IF(Ischemia_singlenet_25percent_ou!1112:1112,"AAAAACl89wU=",0)</f>
        <v>0</v>
      </c>
      <c r="G14" t="e">
        <f>AND(Ischemia_singlenet_25percent_ou!A1112,"AAAAACl89wY=")</f>
        <v>#VALUE!</v>
      </c>
      <c r="H14" t="e">
        <f>AND(Ischemia_singlenet_25percent_ou!B1112,"AAAAACl89wc=")</f>
        <v>#VALUE!</v>
      </c>
      <c r="I14">
        <f>IF(Ischemia_singlenet_25percent_ou!1113:1113,"AAAAACl89wg=",0)</f>
        <v>0</v>
      </c>
      <c r="J14" t="e">
        <f>AND(Ischemia_singlenet_25percent_ou!A1113,"AAAAACl89wk=")</f>
        <v>#VALUE!</v>
      </c>
      <c r="K14" t="e">
        <f>AND(Ischemia_singlenet_25percent_ou!B1113,"AAAAACl89wo=")</f>
        <v>#VALUE!</v>
      </c>
      <c r="L14">
        <f>IF(Ischemia_singlenet_25percent_ou!1114:1114,"AAAAACl89ws=",0)</f>
        <v>0</v>
      </c>
      <c r="M14" t="e">
        <f>AND(Ischemia_singlenet_25percent_ou!A1114,"AAAAACl89ww=")</f>
        <v>#VALUE!</v>
      </c>
      <c r="N14" t="e">
        <f>AND(Ischemia_singlenet_25percent_ou!B1114,"AAAAACl89w0=")</f>
        <v>#VALUE!</v>
      </c>
      <c r="O14">
        <f>IF(Ischemia_singlenet_25percent_ou!1115:1115,"AAAAACl89w4=",0)</f>
        <v>0</v>
      </c>
      <c r="P14" t="e">
        <f>AND(Ischemia_singlenet_25percent_ou!A1115,"AAAAACl89w8=")</f>
        <v>#VALUE!</v>
      </c>
      <c r="Q14" t="e">
        <f>AND(Ischemia_singlenet_25percent_ou!B1115,"AAAAACl89xA=")</f>
        <v>#VALUE!</v>
      </c>
      <c r="R14">
        <f>IF(Ischemia_singlenet_25percent_ou!1116:1116,"AAAAACl89xE=",0)</f>
        <v>0</v>
      </c>
      <c r="S14" t="e">
        <f>AND(Ischemia_singlenet_25percent_ou!A1116,"AAAAACl89xI=")</f>
        <v>#VALUE!</v>
      </c>
      <c r="T14" t="e">
        <f>AND(Ischemia_singlenet_25percent_ou!B1116,"AAAAACl89xM=")</f>
        <v>#VALUE!</v>
      </c>
      <c r="U14">
        <f>IF(Ischemia_singlenet_25percent_ou!1117:1117,"AAAAACl89xQ=",0)</f>
        <v>0</v>
      </c>
      <c r="V14" t="e">
        <f>AND(Ischemia_singlenet_25percent_ou!A1117,"AAAAACl89xU=")</f>
        <v>#VALUE!</v>
      </c>
      <c r="W14" t="e">
        <f>AND(Ischemia_singlenet_25percent_ou!B1117,"AAAAACl89xY=")</f>
        <v>#VALUE!</v>
      </c>
      <c r="X14">
        <f>IF(Ischemia_singlenet_25percent_ou!1118:1118,"AAAAACl89xc=",0)</f>
        <v>0</v>
      </c>
      <c r="Y14" t="e">
        <f>AND(Ischemia_singlenet_25percent_ou!A1118,"AAAAACl89xg=")</f>
        <v>#VALUE!</v>
      </c>
      <c r="Z14" t="e">
        <f>AND(Ischemia_singlenet_25percent_ou!B1118,"AAAAACl89xk=")</f>
        <v>#VALUE!</v>
      </c>
      <c r="AA14">
        <f>IF(Ischemia_singlenet_25percent_ou!1119:1119,"AAAAACl89xo=",0)</f>
        <v>0</v>
      </c>
      <c r="AB14" t="e">
        <f>AND(Ischemia_singlenet_25percent_ou!A1119,"AAAAACl89xs=")</f>
        <v>#VALUE!</v>
      </c>
      <c r="AC14" t="e">
        <f>AND(Ischemia_singlenet_25percent_ou!B1119,"AAAAACl89xw=")</f>
        <v>#VALUE!</v>
      </c>
      <c r="AD14">
        <f>IF(Ischemia_singlenet_25percent_ou!1120:1120,"AAAAACl89x0=",0)</f>
        <v>0</v>
      </c>
      <c r="AE14" t="e">
        <f>AND(Ischemia_singlenet_25percent_ou!A1120,"AAAAACl89x4=")</f>
        <v>#VALUE!</v>
      </c>
      <c r="AF14" t="e">
        <f>AND(Ischemia_singlenet_25percent_ou!B1120,"AAAAACl89x8=")</f>
        <v>#VALUE!</v>
      </c>
      <c r="AG14">
        <f>IF(Ischemia_singlenet_25percent_ou!1121:1121,"AAAAACl89yA=",0)</f>
        <v>0</v>
      </c>
      <c r="AH14" t="e">
        <f>AND(Ischemia_singlenet_25percent_ou!A1121,"AAAAACl89yE=")</f>
        <v>#VALUE!</v>
      </c>
      <c r="AI14" t="e">
        <f>AND(Ischemia_singlenet_25percent_ou!B1121,"AAAAACl89yI=")</f>
        <v>#VALUE!</v>
      </c>
      <c r="AJ14">
        <f>IF(Ischemia_singlenet_25percent_ou!1122:1122,"AAAAACl89yM=",0)</f>
        <v>0</v>
      </c>
      <c r="AK14" t="e">
        <f>AND(Ischemia_singlenet_25percent_ou!A1122,"AAAAACl89yQ=")</f>
        <v>#VALUE!</v>
      </c>
      <c r="AL14" t="e">
        <f>AND(Ischemia_singlenet_25percent_ou!B1122,"AAAAACl89yU=")</f>
        <v>#VALUE!</v>
      </c>
      <c r="AM14">
        <f>IF(Ischemia_singlenet_25percent_ou!1123:1123,"AAAAACl89yY=",0)</f>
        <v>0</v>
      </c>
      <c r="AN14" t="e">
        <f>AND(Ischemia_singlenet_25percent_ou!A1123,"AAAAACl89yc=")</f>
        <v>#VALUE!</v>
      </c>
      <c r="AO14" t="e">
        <f>AND(Ischemia_singlenet_25percent_ou!B1123,"AAAAACl89yg=")</f>
        <v>#VALUE!</v>
      </c>
      <c r="AP14">
        <f>IF(Ischemia_singlenet_25percent_ou!1124:1124,"AAAAACl89yk=",0)</f>
        <v>0</v>
      </c>
      <c r="AQ14" t="e">
        <f>AND(Ischemia_singlenet_25percent_ou!A1124,"AAAAACl89yo=")</f>
        <v>#VALUE!</v>
      </c>
      <c r="AR14" t="e">
        <f>AND(Ischemia_singlenet_25percent_ou!B1124,"AAAAACl89ys=")</f>
        <v>#VALUE!</v>
      </c>
      <c r="AS14">
        <f>IF(Ischemia_singlenet_25percent_ou!1125:1125,"AAAAACl89yw=",0)</f>
        <v>0</v>
      </c>
      <c r="AT14" t="e">
        <f>AND(Ischemia_singlenet_25percent_ou!A1125,"AAAAACl89y0=")</f>
        <v>#VALUE!</v>
      </c>
      <c r="AU14" t="e">
        <f>AND(Ischemia_singlenet_25percent_ou!B1125,"AAAAACl89y4=")</f>
        <v>#VALUE!</v>
      </c>
      <c r="AV14">
        <f>IF(Ischemia_singlenet_25percent_ou!1126:1126,"AAAAACl89y8=",0)</f>
        <v>0</v>
      </c>
      <c r="AW14" t="e">
        <f>AND(Ischemia_singlenet_25percent_ou!A1126,"AAAAACl89zA=")</f>
        <v>#VALUE!</v>
      </c>
      <c r="AX14" t="e">
        <f>AND(Ischemia_singlenet_25percent_ou!B1126,"AAAAACl89zE=")</f>
        <v>#VALUE!</v>
      </c>
      <c r="AY14">
        <f>IF(Ischemia_singlenet_25percent_ou!1127:1127,"AAAAACl89zI=",0)</f>
        <v>0</v>
      </c>
      <c r="AZ14" t="e">
        <f>AND(Ischemia_singlenet_25percent_ou!A1127,"AAAAACl89zM=")</f>
        <v>#VALUE!</v>
      </c>
      <c r="BA14" t="e">
        <f>AND(Ischemia_singlenet_25percent_ou!B1127,"AAAAACl89zQ=")</f>
        <v>#VALUE!</v>
      </c>
      <c r="BB14">
        <f>IF(Ischemia_singlenet_25percent_ou!1128:1128,"AAAAACl89zU=",0)</f>
        <v>0</v>
      </c>
      <c r="BC14" t="e">
        <f>AND(Ischemia_singlenet_25percent_ou!A1128,"AAAAACl89zY=")</f>
        <v>#VALUE!</v>
      </c>
      <c r="BD14" t="e">
        <f>AND(Ischemia_singlenet_25percent_ou!B1128,"AAAAACl89zc=")</f>
        <v>#VALUE!</v>
      </c>
      <c r="BE14">
        <f>IF(Ischemia_singlenet_25percent_ou!1129:1129,"AAAAACl89zg=",0)</f>
        <v>0</v>
      </c>
      <c r="BF14" t="e">
        <f>AND(Ischemia_singlenet_25percent_ou!A1129,"AAAAACl89zk=")</f>
        <v>#VALUE!</v>
      </c>
      <c r="BG14" t="e">
        <f>AND(Ischemia_singlenet_25percent_ou!B1129,"AAAAACl89zo=")</f>
        <v>#VALUE!</v>
      </c>
      <c r="BH14">
        <f>IF(Ischemia_singlenet_25percent_ou!1130:1130,"AAAAACl89zs=",0)</f>
        <v>0</v>
      </c>
      <c r="BI14" t="e">
        <f>AND(Ischemia_singlenet_25percent_ou!A1130,"AAAAACl89zw=")</f>
        <v>#VALUE!</v>
      </c>
      <c r="BJ14" t="e">
        <f>AND(Ischemia_singlenet_25percent_ou!B1130,"AAAAACl89z0=")</f>
        <v>#VALUE!</v>
      </c>
      <c r="BK14">
        <f>IF(Ischemia_singlenet_25percent_ou!1131:1131,"AAAAACl89z4=",0)</f>
        <v>0</v>
      </c>
      <c r="BL14" t="e">
        <f>AND(Ischemia_singlenet_25percent_ou!A1131,"AAAAACl89z8=")</f>
        <v>#VALUE!</v>
      </c>
      <c r="BM14" t="e">
        <f>AND(Ischemia_singlenet_25percent_ou!B1131,"AAAAACl890A=")</f>
        <v>#VALUE!</v>
      </c>
      <c r="BN14">
        <f>IF(Ischemia_singlenet_25percent_ou!1132:1132,"AAAAACl890E=",0)</f>
        <v>0</v>
      </c>
      <c r="BO14" t="e">
        <f>AND(Ischemia_singlenet_25percent_ou!A1132,"AAAAACl890I=")</f>
        <v>#VALUE!</v>
      </c>
      <c r="BP14" t="e">
        <f>AND(Ischemia_singlenet_25percent_ou!B1132,"AAAAACl890M=")</f>
        <v>#VALUE!</v>
      </c>
      <c r="BQ14">
        <f>IF(Ischemia_singlenet_25percent_ou!1133:1133,"AAAAACl890Q=",0)</f>
        <v>0</v>
      </c>
      <c r="BR14" t="e">
        <f>AND(Ischemia_singlenet_25percent_ou!A1133,"AAAAACl890U=")</f>
        <v>#VALUE!</v>
      </c>
      <c r="BS14" t="e">
        <f>AND(Ischemia_singlenet_25percent_ou!B1133,"AAAAACl890Y=")</f>
        <v>#VALUE!</v>
      </c>
      <c r="BT14">
        <f>IF(Ischemia_singlenet_25percent_ou!1134:1134,"AAAAACl890c=",0)</f>
        <v>0</v>
      </c>
      <c r="BU14" t="e">
        <f>AND(Ischemia_singlenet_25percent_ou!A1134,"AAAAACl890g=")</f>
        <v>#VALUE!</v>
      </c>
      <c r="BV14" t="e">
        <f>AND(Ischemia_singlenet_25percent_ou!B1134,"AAAAACl890k=")</f>
        <v>#VALUE!</v>
      </c>
      <c r="BW14">
        <f>IF(Ischemia_singlenet_25percent_ou!1135:1135,"AAAAACl890o=",0)</f>
        <v>0</v>
      </c>
      <c r="BX14" t="e">
        <f>AND(Ischemia_singlenet_25percent_ou!A1135,"AAAAACl890s=")</f>
        <v>#VALUE!</v>
      </c>
      <c r="BY14" t="e">
        <f>AND(Ischemia_singlenet_25percent_ou!B1135,"AAAAACl890w=")</f>
        <v>#VALUE!</v>
      </c>
      <c r="BZ14">
        <f>IF(Ischemia_singlenet_25percent_ou!1136:1136,"AAAAACl8900=",0)</f>
        <v>0</v>
      </c>
      <c r="CA14" t="e">
        <f>AND(Ischemia_singlenet_25percent_ou!A1136,"AAAAACl8904=")</f>
        <v>#VALUE!</v>
      </c>
      <c r="CB14" t="e">
        <f>AND(Ischemia_singlenet_25percent_ou!B1136,"AAAAACl8908=")</f>
        <v>#VALUE!</v>
      </c>
      <c r="CC14">
        <f>IF(Ischemia_singlenet_25percent_ou!1137:1137,"AAAAACl891A=",0)</f>
        <v>0</v>
      </c>
      <c r="CD14" t="e">
        <f>AND(Ischemia_singlenet_25percent_ou!A1137,"AAAAACl891E=")</f>
        <v>#VALUE!</v>
      </c>
      <c r="CE14" t="e">
        <f>AND(Ischemia_singlenet_25percent_ou!B1137,"AAAAACl891I=")</f>
        <v>#VALUE!</v>
      </c>
      <c r="CF14">
        <f>IF(Ischemia_singlenet_25percent_ou!1138:1138,"AAAAACl891M=",0)</f>
        <v>0</v>
      </c>
      <c r="CG14" t="e">
        <f>AND(Ischemia_singlenet_25percent_ou!A1138,"AAAAACl891Q=")</f>
        <v>#VALUE!</v>
      </c>
      <c r="CH14" t="e">
        <f>AND(Ischemia_singlenet_25percent_ou!B1138,"AAAAACl891U=")</f>
        <v>#VALUE!</v>
      </c>
      <c r="CI14">
        <f>IF(Ischemia_singlenet_25percent_ou!1139:1139,"AAAAACl891Y=",0)</f>
        <v>0</v>
      </c>
      <c r="CJ14" t="e">
        <f>AND(Ischemia_singlenet_25percent_ou!A1139,"AAAAACl891c=")</f>
        <v>#VALUE!</v>
      </c>
      <c r="CK14" t="e">
        <f>AND(Ischemia_singlenet_25percent_ou!B1139,"AAAAACl891g=")</f>
        <v>#VALUE!</v>
      </c>
      <c r="CL14">
        <f>IF(Ischemia_singlenet_25percent_ou!1140:1140,"AAAAACl891k=",0)</f>
        <v>0</v>
      </c>
      <c r="CM14" t="e">
        <f>AND(Ischemia_singlenet_25percent_ou!A1140,"AAAAACl891o=")</f>
        <v>#VALUE!</v>
      </c>
      <c r="CN14" t="e">
        <f>AND(Ischemia_singlenet_25percent_ou!B1140,"AAAAACl891s=")</f>
        <v>#VALUE!</v>
      </c>
      <c r="CO14">
        <f>IF(Ischemia_singlenet_25percent_ou!1141:1141,"AAAAACl891w=",0)</f>
        <v>0</v>
      </c>
      <c r="CP14" t="e">
        <f>AND(Ischemia_singlenet_25percent_ou!A1141,"AAAAACl8910=")</f>
        <v>#VALUE!</v>
      </c>
      <c r="CQ14" t="e">
        <f>AND(Ischemia_singlenet_25percent_ou!B1141,"AAAAACl8914=")</f>
        <v>#VALUE!</v>
      </c>
      <c r="CR14">
        <f>IF(Ischemia_singlenet_25percent_ou!1142:1142,"AAAAACl8918=",0)</f>
        <v>0</v>
      </c>
      <c r="CS14" t="e">
        <f>AND(Ischemia_singlenet_25percent_ou!A1142,"AAAAACl892A=")</f>
        <v>#VALUE!</v>
      </c>
      <c r="CT14" t="e">
        <f>AND(Ischemia_singlenet_25percent_ou!B1142,"AAAAACl892E=")</f>
        <v>#VALUE!</v>
      </c>
      <c r="CU14">
        <f>IF(Ischemia_singlenet_25percent_ou!1143:1143,"AAAAACl892I=",0)</f>
        <v>0</v>
      </c>
      <c r="CV14" t="e">
        <f>AND(Ischemia_singlenet_25percent_ou!A1143,"AAAAACl892M=")</f>
        <v>#VALUE!</v>
      </c>
      <c r="CW14" t="e">
        <f>AND(Ischemia_singlenet_25percent_ou!B1143,"AAAAACl892Q=")</f>
        <v>#VALUE!</v>
      </c>
      <c r="CX14">
        <f>IF(Ischemia_singlenet_25percent_ou!1144:1144,"AAAAACl892U=",0)</f>
        <v>0</v>
      </c>
      <c r="CY14" t="e">
        <f>AND(Ischemia_singlenet_25percent_ou!A1144,"AAAAACl892Y=")</f>
        <v>#VALUE!</v>
      </c>
      <c r="CZ14" t="e">
        <f>AND(Ischemia_singlenet_25percent_ou!B1144,"AAAAACl892c=")</f>
        <v>#VALUE!</v>
      </c>
      <c r="DA14">
        <f>IF(Ischemia_singlenet_25percent_ou!1145:1145,"AAAAACl892g=",0)</f>
        <v>0</v>
      </c>
      <c r="DB14" t="e">
        <f>AND(Ischemia_singlenet_25percent_ou!A1145,"AAAAACl892k=")</f>
        <v>#VALUE!</v>
      </c>
      <c r="DC14" t="e">
        <f>AND(Ischemia_singlenet_25percent_ou!B1145,"AAAAACl892o=")</f>
        <v>#VALUE!</v>
      </c>
      <c r="DD14">
        <f>IF(Ischemia_singlenet_25percent_ou!1146:1146,"AAAAACl892s=",0)</f>
        <v>0</v>
      </c>
      <c r="DE14" t="e">
        <f>AND(Ischemia_singlenet_25percent_ou!A1146,"AAAAACl892w=")</f>
        <v>#VALUE!</v>
      </c>
      <c r="DF14" t="e">
        <f>AND(Ischemia_singlenet_25percent_ou!B1146,"AAAAACl8920=")</f>
        <v>#VALUE!</v>
      </c>
      <c r="DG14">
        <f>IF(Ischemia_singlenet_25percent_ou!1147:1147,"AAAAACl8924=",0)</f>
        <v>0</v>
      </c>
      <c r="DH14" t="e">
        <f>AND(Ischemia_singlenet_25percent_ou!A1147,"AAAAACl8928=")</f>
        <v>#VALUE!</v>
      </c>
      <c r="DI14" t="e">
        <f>AND(Ischemia_singlenet_25percent_ou!B1147,"AAAAACl893A=")</f>
        <v>#VALUE!</v>
      </c>
      <c r="DJ14">
        <f>IF(Ischemia_singlenet_25percent_ou!1148:1148,"AAAAACl893E=",0)</f>
        <v>0</v>
      </c>
      <c r="DK14" t="e">
        <f>AND(Ischemia_singlenet_25percent_ou!A1148,"AAAAACl893I=")</f>
        <v>#VALUE!</v>
      </c>
      <c r="DL14" t="e">
        <f>AND(Ischemia_singlenet_25percent_ou!B1148,"AAAAACl893M=")</f>
        <v>#VALUE!</v>
      </c>
      <c r="DM14">
        <f>IF(Ischemia_singlenet_25percent_ou!1149:1149,"AAAAACl893Q=",0)</f>
        <v>0</v>
      </c>
      <c r="DN14" t="e">
        <f>AND(Ischemia_singlenet_25percent_ou!A1149,"AAAAACl893U=")</f>
        <v>#VALUE!</v>
      </c>
      <c r="DO14" t="e">
        <f>AND(Ischemia_singlenet_25percent_ou!B1149,"AAAAACl893Y=")</f>
        <v>#VALUE!</v>
      </c>
      <c r="DP14">
        <f>IF(Ischemia_singlenet_25percent_ou!1150:1150,"AAAAACl893c=",0)</f>
        <v>0</v>
      </c>
      <c r="DQ14" t="e">
        <f>AND(Ischemia_singlenet_25percent_ou!A1150,"AAAAACl893g=")</f>
        <v>#VALUE!</v>
      </c>
      <c r="DR14" t="e">
        <f>AND(Ischemia_singlenet_25percent_ou!B1150,"AAAAACl893k=")</f>
        <v>#VALUE!</v>
      </c>
      <c r="DS14">
        <f>IF(Ischemia_singlenet_25percent_ou!1151:1151,"AAAAACl893o=",0)</f>
        <v>0</v>
      </c>
      <c r="DT14" t="e">
        <f>AND(Ischemia_singlenet_25percent_ou!A1151,"AAAAACl893s=")</f>
        <v>#VALUE!</v>
      </c>
      <c r="DU14" t="e">
        <f>AND(Ischemia_singlenet_25percent_ou!B1151,"AAAAACl893w=")</f>
        <v>#VALUE!</v>
      </c>
      <c r="DV14">
        <f>IF(Ischemia_singlenet_25percent_ou!1152:1152,"AAAAACl8930=",0)</f>
        <v>0</v>
      </c>
      <c r="DW14" t="e">
        <f>AND(Ischemia_singlenet_25percent_ou!A1152,"AAAAACl8934=")</f>
        <v>#VALUE!</v>
      </c>
      <c r="DX14" t="e">
        <f>AND(Ischemia_singlenet_25percent_ou!B1152,"AAAAACl8938=")</f>
        <v>#VALUE!</v>
      </c>
      <c r="DY14">
        <f>IF(Ischemia_singlenet_25percent_ou!1153:1153,"AAAAACl894A=",0)</f>
        <v>0</v>
      </c>
      <c r="DZ14" t="e">
        <f>AND(Ischemia_singlenet_25percent_ou!A1153,"AAAAACl894E=")</f>
        <v>#VALUE!</v>
      </c>
      <c r="EA14" t="e">
        <f>AND(Ischemia_singlenet_25percent_ou!B1153,"AAAAACl894I=")</f>
        <v>#VALUE!</v>
      </c>
      <c r="EB14">
        <f>IF(Ischemia_singlenet_25percent_ou!1154:1154,"AAAAACl894M=",0)</f>
        <v>0</v>
      </c>
      <c r="EC14" t="e">
        <f>AND(Ischemia_singlenet_25percent_ou!A1154,"AAAAACl894Q=")</f>
        <v>#VALUE!</v>
      </c>
      <c r="ED14" t="e">
        <f>AND(Ischemia_singlenet_25percent_ou!B1154,"AAAAACl894U=")</f>
        <v>#VALUE!</v>
      </c>
      <c r="EE14">
        <f>IF(Ischemia_singlenet_25percent_ou!1155:1155,"AAAAACl894Y=",0)</f>
        <v>0</v>
      </c>
      <c r="EF14" t="e">
        <f>AND(Ischemia_singlenet_25percent_ou!A1155,"AAAAACl894c=")</f>
        <v>#VALUE!</v>
      </c>
      <c r="EG14" t="e">
        <f>AND(Ischemia_singlenet_25percent_ou!B1155,"AAAAACl894g=")</f>
        <v>#VALUE!</v>
      </c>
      <c r="EH14">
        <f>IF(Ischemia_singlenet_25percent_ou!1156:1156,"AAAAACl894k=",0)</f>
        <v>0</v>
      </c>
      <c r="EI14" t="e">
        <f>AND(Ischemia_singlenet_25percent_ou!A1156,"AAAAACl894o=")</f>
        <v>#VALUE!</v>
      </c>
      <c r="EJ14" t="e">
        <f>AND(Ischemia_singlenet_25percent_ou!B1156,"AAAAACl894s=")</f>
        <v>#VALUE!</v>
      </c>
      <c r="EK14">
        <f>IF(Ischemia_singlenet_25percent_ou!1157:1157,"AAAAACl894w=",0)</f>
        <v>0</v>
      </c>
      <c r="EL14" t="e">
        <f>AND(Ischemia_singlenet_25percent_ou!A1157,"AAAAACl8940=")</f>
        <v>#VALUE!</v>
      </c>
      <c r="EM14" t="e">
        <f>AND(Ischemia_singlenet_25percent_ou!B1157,"AAAAACl8944=")</f>
        <v>#VALUE!</v>
      </c>
      <c r="EN14">
        <f>IF(Ischemia_singlenet_25percent_ou!1158:1158,"AAAAACl8948=",0)</f>
        <v>0</v>
      </c>
      <c r="EO14" t="e">
        <f>AND(Ischemia_singlenet_25percent_ou!A1158,"AAAAACl895A=")</f>
        <v>#VALUE!</v>
      </c>
      <c r="EP14" t="e">
        <f>AND(Ischemia_singlenet_25percent_ou!B1158,"AAAAACl895E=")</f>
        <v>#VALUE!</v>
      </c>
      <c r="EQ14">
        <f>IF(Ischemia_singlenet_25percent_ou!1159:1159,"AAAAACl895I=",0)</f>
        <v>0</v>
      </c>
      <c r="ER14" t="e">
        <f>AND(Ischemia_singlenet_25percent_ou!A1159,"AAAAACl895M=")</f>
        <v>#VALUE!</v>
      </c>
      <c r="ES14" t="e">
        <f>AND(Ischemia_singlenet_25percent_ou!B1159,"AAAAACl895Q=")</f>
        <v>#VALUE!</v>
      </c>
      <c r="ET14">
        <f>IF(Ischemia_singlenet_25percent_ou!1160:1160,"AAAAACl895U=",0)</f>
        <v>0</v>
      </c>
      <c r="EU14" t="e">
        <f>AND(Ischemia_singlenet_25percent_ou!A1160,"AAAAACl895Y=")</f>
        <v>#VALUE!</v>
      </c>
      <c r="EV14" t="e">
        <f>AND(Ischemia_singlenet_25percent_ou!B1160,"AAAAACl895c=")</f>
        <v>#VALUE!</v>
      </c>
      <c r="EW14">
        <f>IF(Ischemia_singlenet_25percent_ou!1161:1161,"AAAAACl895g=",0)</f>
        <v>0</v>
      </c>
      <c r="EX14" t="e">
        <f>AND(Ischemia_singlenet_25percent_ou!A1161,"AAAAACl895k=")</f>
        <v>#VALUE!</v>
      </c>
      <c r="EY14" t="e">
        <f>AND(Ischemia_singlenet_25percent_ou!B1161,"AAAAACl895o=")</f>
        <v>#VALUE!</v>
      </c>
      <c r="EZ14">
        <f>IF(Ischemia_singlenet_25percent_ou!1162:1162,"AAAAACl895s=",0)</f>
        <v>0</v>
      </c>
      <c r="FA14" t="e">
        <f>AND(Ischemia_singlenet_25percent_ou!A1162,"AAAAACl895w=")</f>
        <v>#VALUE!</v>
      </c>
      <c r="FB14" t="e">
        <f>AND(Ischemia_singlenet_25percent_ou!B1162,"AAAAACl8950=")</f>
        <v>#VALUE!</v>
      </c>
      <c r="FC14">
        <f>IF(Ischemia_singlenet_25percent_ou!1163:1163,"AAAAACl8954=",0)</f>
        <v>0</v>
      </c>
      <c r="FD14" t="e">
        <f>AND(Ischemia_singlenet_25percent_ou!A1163,"AAAAACl8958=")</f>
        <v>#VALUE!</v>
      </c>
      <c r="FE14" t="e">
        <f>AND(Ischemia_singlenet_25percent_ou!B1163,"AAAAACl896A=")</f>
        <v>#VALUE!</v>
      </c>
      <c r="FF14">
        <f>IF(Ischemia_singlenet_25percent_ou!1164:1164,"AAAAACl896E=",0)</f>
        <v>0</v>
      </c>
      <c r="FG14" t="e">
        <f>AND(Ischemia_singlenet_25percent_ou!A1164,"AAAAACl896I=")</f>
        <v>#VALUE!</v>
      </c>
      <c r="FH14" t="e">
        <f>AND(Ischemia_singlenet_25percent_ou!B1164,"AAAAACl896M=")</f>
        <v>#VALUE!</v>
      </c>
      <c r="FI14">
        <f>IF(Ischemia_singlenet_25percent_ou!1165:1165,"AAAAACl896Q=",0)</f>
        <v>0</v>
      </c>
      <c r="FJ14" t="e">
        <f>AND(Ischemia_singlenet_25percent_ou!A1165,"AAAAACl896U=")</f>
        <v>#VALUE!</v>
      </c>
      <c r="FK14" t="e">
        <f>AND(Ischemia_singlenet_25percent_ou!B1165,"AAAAACl896Y=")</f>
        <v>#VALUE!</v>
      </c>
      <c r="FL14">
        <f>IF(Ischemia_singlenet_25percent_ou!1166:1166,"AAAAACl896c=",0)</f>
        <v>0</v>
      </c>
      <c r="FM14" t="e">
        <f>AND(Ischemia_singlenet_25percent_ou!A1166,"AAAAACl896g=")</f>
        <v>#VALUE!</v>
      </c>
      <c r="FN14" t="e">
        <f>AND(Ischemia_singlenet_25percent_ou!B1166,"AAAAACl896k=")</f>
        <v>#VALUE!</v>
      </c>
      <c r="FO14">
        <f>IF(Ischemia_singlenet_25percent_ou!1167:1167,"AAAAACl896o=",0)</f>
        <v>0</v>
      </c>
      <c r="FP14" t="e">
        <f>AND(Ischemia_singlenet_25percent_ou!A1167,"AAAAACl896s=")</f>
        <v>#VALUE!</v>
      </c>
      <c r="FQ14" t="e">
        <f>AND(Ischemia_singlenet_25percent_ou!B1167,"AAAAACl896w=")</f>
        <v>#VALUE!</v>
      </c>
      <c r="FR14">
        <f>IF(Ischemia_singlenet_25percent_ou!1168:1168,"AAAAACl8960=",0)</f>
        <v>0</v>
      </c>
      <c r="FS14" t="e">
        <f>AND(Ischemia_singlenet_25percent_ou!A1168,"AAAAACl8964=")</f>
        <v>#VALUE!</v>
      </c>
      <c r="FT14" t="e">
        <f>AND(Ischemia_singlenet_25percent_ou!B1168,"AAAAACl8968=")</f>
        <v>#VALUE!</v>
      </c>
      <c r="FU14">
        <f>IF(Ischemia_singlenet_25percent_ou!1169:1169,"AAAAACl897A=",0)</f>
        <v>0</v>
      </c>
      <c r="FV14" t="e">
        <f>AND(Ischemia_singlenet_25percent_ou!A1169,"AAAAACl897E=")</f>
        <v>#VALUE!</v>
      </c>
      <c r="FW14" t="e">
        <f>AND(Ischemia_singlenet_25percent_ou!B1169,"AAAAACl897I=")</f>
        <v>#VALUE!</v>
      </c>
      <c r="FX14">
        <f>IF(Ischemia_singlenet_25percent_ou!1170:1170,"AAAAACl897M=",0)</f>
        <v>0</v>
      </c>
      <c r="FY14" t="e">
        <f>AND(Ischemia_singlenet_25percent_ou!A1170,"AAAAACl897Q=")</f>
        <v>#VALUE!</v>
      </c>
      <c r="FZ14" t="e">
        <f>AND(Ischemia_singlenet_25percent_ou!B1170,"AAAAACl897U=")</f>
        <v>#VALUE!</v>
      </c>
      <c r="GA14">
        <f>IF(Ischemia_singlenet_25percent_ou!1171:1171,"AAAAACl897Y=",0)</f>
        <v>0</v>
      </c>
      <c r="GB14" t="e">
        <f>AND(Ischemia_singlenet_25percent_ou!A1171,"AAAAACl897c=")</f>
        <v>#VALUE!</v>
      </c>
      <c r="GC14" t="e">
        <f>AND(Ischemia_singlenet_25percent_ou!B1171,"AAAAACl897g=")</f>
        <v>#VALUE!</v>
      </c>
      <c r="GD14">
        <f>IF(Ischemia_singlenet_25percent_ou!1172:1172,"AAAAACl897k=",0)</f>
        <v>0</v>
      </c>
      <c r="GE14" t="e">
        <f>AND(Ischemia_singlenet_25percent_ou!A1172,"AAAAACl897o=")</f>
        <v>#VALUE!</v>
      </c>
      <c r="GF14" t="e">
        <f>AND(Ischemia_singlenet_25percent_ou!B1172,"AAAAACl897s=")</f>
        <v>#VALUE!</v>
      </c>
      <c r="GG14">
        <f>IF(Ischemia_singlenet_25percent_ou!1173:1173,"AAAAACl897w=",0)</f>
        <v>0</v>
      </c>
      <c r="GH14" t="e">
        <f>AND(Ischemia_singlenet_25percent_ou!A1173,"AAAAACl8970=")</f>
        <v>#VALUE!</v>
      </c>
      <c r="GI14" t="e">
        <f>AND(Ischemia_singlenet_25percent_ou!B1173,"AAAAACl8974=")</f>
        <v>#VALUE!</v>
      </c>
      <c r="GJ14">
        <f>IF(Ischemia_singlenet_25percent_ou!1174:1174,"AAAAACl8978=",0)</f>
        <v>0</v>
      </c>
      <c r="GK14" t="e">
        <f>AND(Ischemia_singlenet_25percent_ou!A1174,"AAAAACl898A=")</f>
        <v>#VALUE!</v>
      </c>
      <c r="GL14" t="e">
        <f>AND(Ischemia_singlenet_25percent_ou!B1174,"AAAAACl898E=")</f>
        <v>#VALUE!</v>
      </c>
      <c r="GM14">
        <f>IF(Ischemia_singlenet_25percent_ou!1175:1175,"AAAAACl898I=",0)</f>
        <v>0</v>
      </c>
      <c r="GN14" t="e">
        <f>AND(Ischemia_singlenet_25percent_ou!A1175,"AAAAACl898M=")</f>
        <v>#VALUE!</v>
      </c>
      <c r="GO14" t="e">
        <f>AND(Ischemia_singlenet_25percent_ou!B1175,"AAAAACl898Q=")</f>
        <v>#VALUE!</v>
      </c>
      <c r="GP14">
        <f>IF(Ischemia_singlenet_25percent_ou!1176:1176,"AAAAACl898U=",0)</f>
        <v>0</v>
      </c>
      <c r="GQ14" t="e">
        <f>AND(Ischemia_singlenet_25percent_ou!A1176,"AAAAACl898Y=")</f>
        <v>#VALUE!</v>
      </c>
      <c r="GR14" t="e">
        <f>AND(Ischemia_singlenet_25percent_ou!B1176,"AAAAACl898c=")</f>
        <v>#VALUE!</v>
      </c>
      <c r="GS14">
        <f>IF(Ischemia_singlenet_25percent_ou!1177:1177,"AAAAACl898g=",0)</f>
        <v>0</v>
      </c>
      <c r="GT14" t="e">
        <f>AND(Ischemia_singlenet_25percent_ou!A1177,"AAAAACl898k=")</f>
        <v>#VALUE!</v>
      </c>
      <c r="GU14" t="e">
        <f>AND(Ischemia_singlenet_25percent_ou!B1177,"AAAAACl898o=")</f>
        <v>#VALUE!</v>
      </c>
      <c r="GV14">
        <f>IF(Ischemia_singlenet_25percent_ou!1178:1178,"AAAAACl898s=",0)</f>
        <v>0</v>
      </c>
      <c r="GW14" t="e">
        <f>AND(Ischemia_singlenet_25percent_ou!A1178,"AAAAACl898w=")</f>
        <v>#VALUE!</v>
      </c>
      <c r="GX14" t="e">
        <f>AND(Ischemia_singlenet_25percent_ou!B1178,"AAAAACl8980=")</f>
        <v>#VALUE!</v>
      </c>
      <c r="GY14">
        <f>IF(Ischemia_singlenet_25percent_ou!1179:1179,"AAAAACl8984=",0)</f>
        <v>0</v>
      </c>
      <c r="GZ14" t="e">
        <f>AND(Ischemia_singlenet_25percent_ou!A1179,"AAAAACl8988=")</f>
        <v>#VALUE!</v>
      </c>
      <c r="HA14" t="e">
        <f>AND(Ischemia_singlenet_25percent_ou!B1179,"AAAAACl899A=")</f>
        <v>#VALUE!</v>
      </c>
      <c r="HB14">
        <f>IF(Ischemia_singlenet_25percent_ou!1180:1180,"AAAAACl899E=",0)</f>
        <v>0</v>
      </c>
      <c r="HC14" t="e">
        <f>AND(Ischemia_singlenet_25percent_ou!A1180,"AAAAACl899I=")</f>
        <v>#VALUE!</v>
      </c>
      <c r="HD14" t="e">
        <f>AND(Ischemia_singlenet_25percent_ou!B1180,"AAAAACl899M=")</f>
        <v>#VALUE!</v>
      </c>
      <c r="HE14">
        <f>IF(Ischemia_singlenet_25percent_ou!1181:1181,"AAAAACl899Q=",0)</f>
        <v>0</v>
      </c>
      <c r="HF14" t="e">
        <f>AND(Ischemia_singlenet_25percent_ou!A1181,"AAAAACl899U=")</f>
        <v>#VALUE!</v>
      </c>
      <c r="HG14" t="e">
        <f>AND(Ischemia_singlenet_25percent_ou!B1181,"AAAAACl899Y=")</f>
        <v>#VALUE!</v>
      </c>
      <c r="HH14">
        <f>IF(Ischemia_singlenet_25percent_ou!1182:1182,"AAAAACl899c=",0)</f>
        <v>0</v>
      </c>
      <c r="HI14" t="e">
        <f>AND(Ischemia_singlenet_25percent_ou!A1182,"AAAAACl899g=")</f>
        <v>#VALUE!</v>
      </c>
      <c r="HJ14" t="e">
        <f>AND(Ischemia_singlenet_25percent_ou!B1182,"AAAAACl899k=")</f>
        <v>#VALUE!</v>
      </c>
      <c r="HK14">
        <f>IF(Ischemia_singlenet_25percent_ou!1183:1183,"AAAAACl899o=",0)</f>
        <v>0</v>
      </c>
      <c r="HL14" t="e">
        <f>AND(Ischemia_singlenet_25percent_ou!A1183,"AAAAACl899s=")</f>
        <v>#VALUE!</v>
      </c>
      <c r="HM14" t="e">
        <f>AND(Ischemia_singlenet_25percent_ou!B1183,"AAAAACl899w=")</f>
        <v>#VALUE!</v>
      </c>
      <c r="HN14">
        <f>IF(Ischemia_singlenet_25percent_ou!1184:1184,"AAAAACl8990=",0)</f>
        <v>0</v>
      </c>
      <c r="HO14" t="e">
        <f>AND(Ischemia_singlenet_25percent_ou!A1184,"AAAAACl8994=")</f>
        <v>#VALUE!</v>
      </c>
      <c r="HP14" t="e">
        <f>AND(Ischemia_singlenet_25percent_ou!B1184,"AAAAACl8998=")</f>
        <v>#VALUE!</v>
      </c>
      <c r="HQ14">
        <f>IF(Ischemia_singlenet_25percent_ou!1185:1185,"AAAAACl89+A=",0)</f>
        <v>0</v>
      </c>
      <c r="HR14" t="e">
        <f>AND(Ischemia_singlenet_25percent_ou!A1185,"AAAAACl89+E=")</f>
        <v>#VALUE!</v>
      </c>
      <c r="HS14" t="e">
        <f>AND(Ischemia_singlenet_25percent_ou!B1185,"AAAAACl89+I=")</f>
        <v>#VALUE!</v>
      </c>
      <c r="HT14">
        <f>IF(Ischemia_singlenet_25percent_ou!1186:1186,"AAAAACl89+M=",0)</f>
        <v>0</v>
      </c>
      <c r="HU14" t="e">
        <f>AND(Ischemia_singlenet_25percent_ou!A1186,"AAAAACl89+Q=")</f>
        <v>#VALUE!</v>
      </c>
      <c r="HV14" t="e">
        <f>AND(Ischemia_singlenet_25percent_ou!B1186,"AAAAACl89+U=")</f>
        <v>#VALUE!</v>
      </c>
      <c r="HW14">
        <f>IF(Ischemia_singlenet_25percent_ou!1187:1187,"AAAAACl89+Y=",0)</f>
        <v>0</v>
      </c>
      <c r="HX14" t="e">
        <f>AND(Ischemia_singlenet_25percent_ou!A1187,"AAAAACl89+c=")</f>
        <v>#VALUE!</v>
      </c>
      <c r="HY14" t="e">
        <f>AND(Ischemia_singlenet_25percent_ou!B1187,"AAAAACl89+g=")</f>
        <v>#VALUE!</v>
      </c>
      <c r="HZ14">
        <f>IF(Ischemia_singlenet_25percent_ou!1188:1188,"AAAAACl89+k=",0)</f>
        <v>0</v>
      </c>
      <c r="IA14" t="e">
        <f>AND(Ischemia_singlenet_25percent_ou!A1188,"AAAAACl89+o=")</f>
        <v>#VALUE!</v>
      </c>
      <c r="IB14" t="e">
        <f>AND(Ischemia_singlenet_25percent_ou!B1188,"AAAAACl89+s=")</f>
        <v>#VALUE!</v>
      </c>
      <c r="IC14">
        <f>IF(Ischemia_singlenet_25percent_ou!1189:1189,"AAAAACl89+w=",0)</f>
        <v>0</v>
      </c>
      <c r="ID14" t="e">
        <f>AND(Ischemia_singlenet_25percent_ou!A1189,"AAAAACl89+0=")</f>
        <v>#VALUE!</v>
      </c>
      <c r="IE14" t="e">
        <f>AND(Ischemia_singlenet_25percent_ou!B1189,"AAAAACl89+4=")</f>
        <v>#VALUE!</v>
      </c>
      <c r="IF14">
        <f>IF(Ischemia_singlenet_25percent_ou!1190:1190,"AAAAACl89+8=",0)</f>
        <v>0</v>
      </c>
      <c r="IG14" t="e">
        <f>AND(Ischemia_singlenet_25percent_ou!A1190,"AAAAACl89/A=")</f>
        <v>#VALUE!</v>
      </c>
      <c r="IH14" t="e">
        <f>AND(Ischemia_singlenet_25percent_ou!B1190,"AAAAACl89/E=")</f>
        <v>#VALUE!</v>
      </c>
      <c r="II14">
        <f>IF(Ischemia_singlenet_25percent_ou!1191:1191,"AAAAACl89/I=",0)</f>
        <v>0</v>
      </c>
      <c r="IJ14" t="e">
        <f>AND(Ischemia_singlenet_25percent_ou!A1191,"AAAAACl89/M=")</f>
        <v>#VALUE!</v>
      </c>
      <c r="IK14" t="e">
        <f>AND(Ischemia_singlenet_25percent_ou!B1191,"AAAAACl89/Q=")</f>
        <v>#VALUE!</v>
      </c>
      <c r="IL14">
        <f>IF(Ischemia_singlenet_25percent_ou!1192:1192,"AAAAACl89/U=",0)</f>
        <v>0</v>
      </c>
      <c r="IM14" t="e">
        <f>AND(Ischemia_singlenet_25percent_ou!A1192,"AAAAACl89/Y=")</f>
        <v>#VALUE!</v>
      </c>
      <c r="IN14" t="e">
        <f>AND(Ischemia_singlenet_25percent_ou!B1192,"AAAAACl89/c=")</f>
        <v>#VALUE!</v>
      </c>
      <c r="IO14">
        <f>IF(Ischemia_singlenet_25percent_ou!1193:1193,"AAAAACl89/g=",0)</f>
        <v>0</v>
      </c>
      <c r="IP14" t="e">
        <f>AND(Ischemia_singlenet_25percent_ou!A1193,"AAAAACl89/k=")</f>
        <v>#VALUE!</v>
      </c>
      <c r="IQ14" t="e">
        <f>AND(Ischemia_singlenet_25percent_ou!B1193,"AAAAACl89/o=")</f>
        <v>#VALUE!</v>
      </c>
      <c r="IR14">
        <f>IF(Ischemia_singlenet_25percent_ou!1194:1194,"AAAAACl89/s=",0)</f>
        <v>0</v>
      </c>
      <c r="IS14" t="e">
        <f>AND(Ischemia_singlenet_25percent_ou!A1194,"AAAAACl89/w=")</f>
        <v>#VALUE!</v>
      </c>
      <c r="IT14" t="e">
        <f>AND(Ischemia_singlenet_25percent_ou!B1194,"AAAAACl89/0=")</f>
        <v>#VALUE!</v>
      </c>
      <c r="IU14">
        <f>IF(Ischemia_singlenet_25percent_ou!1195:1195,"AAAAACl89/4=",0)</f>
        <v>0</v>
      </c>
      <c r="IV14" t="e">
        <f>AND(Ischemia_singlenet_25percent_ou!A1195,"AAAAACl89/8=")</f>
        <v>#VALUE!</v>
      </c>
    </row>
    <row r="15" spans="1:256">
      <c r="A15" t="e">
        <f>AND(Ischemia_singlenet_25percent_ou!B1195,"AAAAAHv/7QA=")</f>
        <v>#VALUE!</v>
      </c>
      <c r="B15" t="e">
        <f>IF(Ischemia_singlenet_25percent_ou!1196:1196,"AAAAAHv/7QE=",0)</f>
        <v>#VALUE!</v>
      </c>
      <c r="C15" t="e">
        <f>AND(Ischemia_singlenet_25percent_ou!A1196,"AAAAAHv/7QI=")</f>
        <v>#VALUE!</v>
      </c>
      <c r="D15" t="e">
        <f>AND(Ischemia_singlenet_25percent_ou!B1196,"AAAAAHv/7QM=")</f>
        <v>#VALUE!</v>
      </c>
      <c r="E15">
        <f>IF(Ischemia_singlenet_25percent_ou!1197:1197,"AAAAAHv/7QQ=",0)</f>
        <v>0</v>
      </c>
      <c r="F15" t="e">
        <f>AND(Ischemia_singlenet_25percent_ou!A1197,"AAAAAHv/7QU=")</f>
        <v>#VALUE!</v>
      </c>
      <c r="G15" t="e">
        <f>AND(Ischemia_singlenet_25percent_ou!B1197,"AAAAAHv/7QY=")</f>
        <v>#VALUE!</v>
      </c>
      <c r="H15">
        <f>IF(Ischemia_singlenet_25percent_ou!1198:1198,"AAAAAHv/7Qc=",0)</f>
        <v>0</v>
      </c>
      <c r="I15" t="e">
        <f>AND(Ischemia_singlenet_25percent_ou!A1198,"AAAAAHv/7Qg=")</f>
        <v>#VALUE!</v>
      </c>
      <c r="J15" t="e">
        <f>AND(Ischemia_singlenet_25percent_ou!B1198,"AAAAAHv/7Qk=")</f>
        <v>#VALUE!</v>
      </c>
      <c r="K15">
        <f>IF(Ischemia_singlenet_25percent_ou!1199:1199,"AAAAAHv/7Qo=",0)</f>
        <v>0</v>
      </c>
      <c r="L15" t="e">
        <f>AND(Ischemia_singlenet_25percent_ou!A1199,"AAAAAHv/7Qs=")</f>
        <v>#VALUE!</v>
      </c>
      <c r="M15" t="e">
        <f>AND(Ischemia_singlenet_25percent_ou!B1199,"AAAAAHv/7Qw=")</f>
        <v>#VALUE!</v>
      </c>
      <c r="N15">
        <f>IF(Ischemia_singlenet_25percent_ou!1200:1200,"AAAAAHv/7Q0=",0)</f>
        <v>0</v>
      </c>
      <c r="O15" t="e">
        <f>AND(Ischemia_singlenet_25percent_ou!A1200,"AAAAAHv/7Q4=")</f>
        <v>#VALUE!</v>
      </c>
      <c r="P15" t="e">
        <f>AND(Ischemia_singlenet_25percent_ou!B1200,"AAAAAHv/7Q8=")</f>
        <v>#VALUE!</v>
      </c>
      <c r="Q15">
        <f>IF(Ischemia_singlenet_25percent_ou!1201:1201,"AAAAAHv/7RA=",0)</f>
        <v>0</v>
      </c>
      <c r="R15" t="e">
        <f>AND(Ischemia_singlenet_25percent_ou!A1201,"AAAAAHv/7RE=")</f>
        <v>#VALUE!</v>
      </c>
      <c r="S15" t="e">
        <f>AND(Ischemia_singlenet_25percent_ou!B1201,"AAAAAHv/7RI=")</f>
        <v>#VALUE!</v>
      </c>
      <c r="T15">
        <f>IF(Ischemia_singlenet_25percent_ou!1202:1202,"AAAAAHv/7RM=",0)</f>
        <v>0</v>
      </c>
      <c r="U15" t="e">
        <f>AND(Ischemia_singlenet_25percent_ou!A1202,"AAAAAHv/7RQ=")</f>
        <v>#VALUE!</v>
      </c>
      <c r="V15" t="e">
        <f>AND(Ischemia_singlenet_25percent_ou!B1202,"AAAAAHv/7RU=")</f>
        <v>#VALUE!</v>
      </c>
      <c r="W15">
        <f>IF(Ischemia_singlenet_25percent_ou!1203:1203,"AAAAAHv/7RY=",0)</f>
        <v>0</v>
      </c>
      <c r="X15" t="e">
        <f>AND(Ischemia_singlenet_25percent_ou!A1203,"AAAAAHv/7Rc=")</f>
        <v>#VALUE!</v>
      </c>
      <c r="Y15" t="e">
        <f>AND(Ischemia_singlenet_25percent_ou!B1203,"AAAAAHv/7Rg=")</f>
        <v>#VALUE!</v>
      </c>
      <c r="Z15">
        <f>IF(Ischemia_singlenet_25percent_ou!1204:1204,"AAAAAHv/7Rk=",0)</f>
        <v>0</v>
      </c>
      <c r="AA15" t="e">
        <f>AND(Ischemia_singlenet_25percent_ou!A1204,"AAAAAHv/7Ro=")</f>
        <v>#VALUE!</v>
      </c>
      <c r="AB15" t="e">
        <f>AND(Ischemia_singlenet_25percent_ou!B1204,"AAAAAHv/7Rs=")</f>
        <v>#VALUE!</v>
      </c>
      <c r="AC15">
        <f>IF(Ischemia_singlenet_25percent_ou!1205:1205,"AAAAAHv/7Rw=",0)</f>
        <v>0</v>
      </c>
      <c r="AD15" t="e">
        <f>AND(Ischemia_singlenet_25percent_ou!A1205,"AAAAAHv/7R0=")</f>
        <v>#VALUE!</v>
      </c>
      <c r="AE15" t="e">
        <f>AND(Ischemia_singlenet_25percent_ou!B1205,"AAAAAHv/7R4=")</f>
        <v>#VALUE!</v>
      </c>
      <c r="AF15">
        <f>IF(Ischemia_singlenet_25percent_ou!1206:1206,"AAAAAHv/7R8=",0)</f>
        <v>0</v>
      </c>
      <c r="AG15" t="e">
        <f>AND(Ischemia_singlenet_25percent_ou!A1206,"AAAAAHv/7SA=")</f>
        <v>#VALUE!</v>
      </c>
      <c r="AH15" t="e">
        <f>AND(Ischemia_singlenet_25percent_ou!B1206,"AAAAAHv/7SE=")</f>
        <v>#VALUE!</v>
      </c>
      <c r="AI15">
        <f>IF(Ischemia_singlenet_25percent_ou!1207:1207,"AAAAAHv/7SI=",0)</f>
        <v>0</v>
      </c>
      <c r="AJ15" t="e">
        <f>AND(Ischemia_singlenet_25percent_ou!A1207,"AAAAAHv/7SM=")</f>
        <v>#VALUE!</v>
      </c>
      <c r="AK15" t="e">
        <f>AND(Ischemia_singlenet_25percent_ou!B1207,"AAAAAHv/7SQ=")</f>
        <v>#VALUE!</v>
      </c>
      <c r="AL15">
        <f>IF(Ischemia_singlenet_25percent_ou!1208:1208,"AAAAAHv/7SU=",0)</f>
        <v>0</v>
      </c>
      <c r="AM15" t="e">
        <f>AND(Ischemia_singlenet_25percent_ou!A1208,"AAAAAHv/7SY=")</f>
        <v>#VALUE!</v>
      </c>
      <c r="AN15" t="e">
        <f>AND(Ischemia_singlenet_25percent_ou!B1208,"AAAAAHv/7Sc=")</f>
        <v>#VALUE!</v>
      </c>
      <c r="AO15">
        <f>IF(Ischemia_singlenet_25percent_ou!1209:1209,"AAAAAHv/7Sg=",0)</f>
        <v>0</v>
      </c>
      <c r="AP15" t="e">
        <f>AND(Ischemia_singlenet_25percent_ou!A1209,"AAAAAHv/7Sk=")</f>
        <v>#VALUE!</v>
      </c>
      <c r="AQ15" t="e">
        <f>AND(Ischemia_singlenet_25percent_ou!B1209,"AAAAAHv/7So=")</f>
        <v>#VALUE!</v>
      </c>
      <c r="AR15">
        <f>IF(Ischemia_singlenet_25percent_ou!1210:1210,"AAAAAHv/7Ss=",0)</f>
        <v>0</v>
      </c>
      <c r="AS15" t="e">
        <f>AND(Ischemia_singlenet_25percent_ou!A1210,"AAAAAHv/7Sw=")</f>
        <v>#VALUE!</v>
      </c>
      <c r="AT15" t="e">
        <f>AND(Ischemia_singlenet_25percent_ou!B1210,"AAAAAHv/7S0=")</f>
        <v>#VALUE!</v>
      </c>
      <c r="AU15">
        <f>IF(Ischemia_singlenet_25percent_ou!1211:1211,"AAAAAHv/7S4=",0)</f>
        <v>0</v>
      </c>
      <c r="AV15" t="e">
        <f>AND(Ischemia_singlenet_25percent_ou!A1211,"AAAAAHv/7S8=")</f>
        <v>#VALUE!</v>
      </c>
      <c r="AW15" t="e">
        <f>AND(Ischemia_singlenet_25percent_ou!B1211,"AAAAAHv/7TA=")</f>
        <v>#VALUE!</v>
      </c>
      <c r="AX15">
        <f>IF(Ischemia_singlenet_25percent_ou!1212:1212,"AAAAAHv/7TE=",0)</f>
        <v>0</v>
      </c>
      <c r="AY15" t="e">
        <f>AND(Ischemia_singlenet_25percent_ou!A1212,"AAAAAHv/7TI=")</f>
        <v>#VALUE!</v>
      </c>
      <c r="AZ15" t="e">
        <f>AND(Ischemia_singlenet_25percent_ou!B1212,"AAAAAHv/7TM=")</f>
        <v>#VALUE!</v>
      </c>
      <c r="BA15">
        <f>IF(Ischemia_singlenet_25percent_ou!1213:1213,"AAAAAHv/7TQ=",0)</f>
        <v>0</v>
      </c>
      <c r="BB15" t="e">
        <f>AND(Ischemia_singlenet_25percent_ou!A1213,"AAAAAHv/7TU=")</f>
        <v>#VALUE!</v>
      </c>
      <c r="BC15" t="e">
        <f>AND(Ischemia_singlenet_25percent_ou!B1213,"AAAAAHv/7TY=")</f>
        <v>#VALUE!</v>
      </c>
      <c r="BD15">
        <f>IF(Ischemia_singlenet_25percent_ou!1214:1214,"AAAAAHv/7Tc=",0)</f>
        <v>0</v>
      </c>
      <c r="BE15" t="e">
        <f>AND(Ischemia_singlenet_25percent_ou!A1214,"AAAAAHv/7Tg=")</f>
        <v>#VALUE!</v>
      </c>
      <c r="BF15" t="e">
        <f>AND(Ischemia_singlenet_25percent_ou!B1214,"AAAAAHv/7Tk=")</f>
        <v>#VALUE!</v>
      </c>
      <c r="BG15">
        <f>IF(Ischemia_singlenet_25percent_ou!1215:1215,"AAAAAHv/7To=",0)</f>
        <v>0</v>
      </c>
      <c r="BH15" t="e">
        <f>AND(Ischemia_singlenet_25percent_ou!A1215,"AAAAAHv/7Ts=")</f>
        <v>#VALUE!</v>
      </c>
      <c r="BI15" t="e">
        <f>AND(Ischemia_singlenet_25percent_ou!B1215,"AAAAAHv/7Tw=")</f>
        <v>#VALUE!</v>
      </c>
      <c r="BJ15">
        <f>IF(Ischemia_singlenet_25percent_ou!1216:1216,"AAAAAHv/7T0=",0)</f>
        <v>0</v>
      </c>
      <c r="BK15" t="e">
        <f>AND(Ischemia_singlenet_25percent_ou!A1216,"AAAAAHv/7T4=")</f>
        <v>#VALUE!</v>
      </c>
      <c r="BL15" t="e">
        <f>AND(Ischemia_singlenet_25percent_ou!B1216,"AAAAAHv/7T8=")</f>
        <v>#VALUE!</v>
      </c>
      <c r="BM15">
        <f>IF(Ischemia_singlenet_25percent_ou!1217:1217,"AAAAAHv/7UA=",0)</f>
        <v>0</v>
      </c>
      <c r="BN15" t="e">
        <f>AND(Ischemia_singlenet_25percent_ou!A1217,"AAAAAHv/7UE=")</f>
        <v>#VALUE!</v>
      </c>
      <c r="BO15" t="e">
        <f>AND(Ischemia_singlenet_25percent_ou!B1217,"AAAAAHv/7UI=")</f>
        <v>#VALUE!</v>
      </c>
      <c r="BP15">
        <f>IF(Ischemia_singlenet_25percent_ou!1218:1218,"AAAAAHv/7UM=",0)</f>
        <v>0</v>
      </c>
      <c r="BQ15" t="e">
        <f>AND(Ischemia_singlenet_25percent_ou!A1218,"AAAAAHv/7UQ=")</f>
        <v>#VALUE!</v>
      </c>
      <c r="BR15" t="e">
        <f>AND(Ischemia_singlenet_25percent_ou!B1218,"AAAAAHv/7UU=")</f>
        <v>#VALUE!</v>
      </c>
      <c r="BS15">
        <f>IF(Ischemia_singlenet_25percent_ou!1219:1219,"AAAAAHv/7UY=",0)</f>
        <v>0</v>
      </c>
      <c r="BT15" t="e">
        <f>AND(Ischemia_singlenet_25percent_ou!A1219,"AAAAAHv/7Uc=")</f>
        <v>#VALUE!</v>
      </c>
      <c r="BU15" t="e">
        <f>AND(Ischemia_singlenet_25percent_ou!B1219,"AAAAAHv/7Ug=")</f>
        <v>#VALUE!</v>
      </c>
      <c r="BV15">
        <f>IF(Ischemia_singlenet_25percent_ou!1220:1220,"AAAAAHv/7Uk=",0)</f>
        <v>0</v>
      </c>
      <c r="BW15" t="e">
        <f>AND(Ischemia_singlenet_25percent_ou!A1220,"AAAAAHv/7Uo=")</f>
        <v>#VALUE!</v>
      </c>
      <c r="BX15" t="e">
        <f>AND(Ischemia_singlenet_25percent_ou!B1220,"AAAAAHv/7Us=")</f>
        <v>#VALUE!</v>
      </c>
      <c r="BY15">
        <f>IF(Ischemia_singlenet_25percent_ou!1221:1221,"AAAAAHv/7Uw=",0)</f>
        <v>0</v>
      </c>
      <c r="BZ15" t="e">
        <f>AND(Ischemia_singlenet_25percent_ou!A1221,"AAAAAHv/7U0=")</f>
        <v>#VALUE!</v>
      </c>
      <c r="CA15" t="e">
        <f>AND(Ischemia_singlenet_25percent_ou!B1221,"AAAAAHv/7U4=")</f>
        <v>#VALUE!</v>
      </c>
      <c r="CB15">
        <f>IF(Ischemia_singlenet_25percent_ou!1222:1222,"AAAAAHv/7U8=",0)</f>
        <v>0</v>
      </c>
      <c r="CC15" t="e">
        <f>AND(Ischemia_singlenet_25percent_ou!A1222,"AAAAAHv/7VA=")</f>
        <v>#VALUE!</v>
      </c>
      <c r="CD15" t="e">
        <f>AND(Ischemia_singlenet_25percent_ou!B1222,"AAAAAHv/7VE=")</f>
        <v>#VALUE!</v>
      </c>
      <c r="CE15">
        <f>IF(Ischemia_singlenet_25percent_ou!1223:1223,"AAAAAHv/7VI=",0)</f>
        <v>0</v>
      </c>
      <c r="CF15" t="e">
        <f>AND(Ischemia_singlenet_25percent_ou!A1223,"AAAAAHv/7VM=")</f>
        <v>#VALUE!</v>
      </c>
      <c r="CG15" t="e">
        <f>AND(Ischemia_singlenet_25percent_ou!B1223,"AAAAAHv/7VQ=")</f>
        <v>#VALUE!</v>
      </c>
      <c r="CH15">
        <f>IF(Ischemia_singlenet_25percent_ou!1224:1224,"AAAAAHv/7VU=",0)</f>
        <v>0</v>
      </c>
      <c r="CI15" t="e">
        <f>AND(Ischemia_singlenet_25percent_ou!A1224,"AAAAAHv/7VY=")</f>
        <v>#VALUE!</v>
      </c>
      <c r="CJ15" t="e">
        <f>AND(Ischemia_singlenet_25percent_ou!B1224,"AAAAAHv/7Vc=")</f>
        <v>#VALUE!</v>
      </c>
      <c r="CK15">
        <f>IF(Ischemia_singlenet_25percent_ou!1225:1225,"AAAAAHv/7Vg=",0)</f>
        <v>0</v>
      </c>
      <c r="CL15" t="e">
        <f>AND(Ischemia_singlenet_25percent_ou!A1225,"AAAAAHv/7Vk=")</f>
        <v>#VALUE!</v>
      </c>
      <c r="CM15" t="e">
        <f>AND(Ischemia_singlenet_25percent_ou!B1225,"AAAAAHv/7Vo=")</f>
        <v>#VALUE!</v>
      </c>
      <c r="CN15">
        <f>IF(Ischemia_singlenet_25percent_ou!1226:1226,"AAAAAHv/7Vs=",0)</f>
        <v>0</v>
      </c>
      <c r="CO15" t="e">
        <f>AND(Ischemia_singlenet_25percent_ou!A1226,"AAAAAHv/7Vw=")</f>
        <v>#VALUE!</v>
      </c>
      <c r="CP15" t="e">
        <f>AND(Ischemia_singlenet_25percent_ou!B1226,"AAAAAHv/7V0=")</f>
        <v>#VALUE!</v>
      </c>
      <c r="CQ15">
        <f>IF(Ischemia_singlenet_25percent_ou!1227:1227,"AAAAAHv/7V4=",0)</f>
        <v>0</v>
      </c>
      <c r="CR15" t="e">
        <f>AND(Ischemia_singlenet_25percent_ou!A1227,"AAAAAHv/7V8=")</f>
        <v>#VALUE!</v>
      </c>
      <c r="CS15" t="e">
        <f>AND(Ischemia_singlenet_25percent_ou!B1227,"AAAAAHv/7WA=")</f>
        <v>#VALUE!</v>
      </c>
      <c r="CT15">
        <f>IF(Ischemia_singlenet_25percent_ou!1228:1228,"AAAAAHv/7WE=",0)</f>
        <v>0</v>
      </c>
      <c r="CU15" t="e">
        <f>AND(Ischemia_singlenet_25percent_ou!A1228,"AAAAAHv/7WI=")</f>
        <v>#VALUE!</v>
      </c>
      <c r="CV15" t="e">
        <f>AND(Ischemia_singlenet_25percent_ou!B1228,"AAAAAHv/7WM=")</f>
        <v>#VALUE!</v>
      </c>
      <c r="CW15">
        <f>IF(Ischemia_singlenet_25percent_ou!1229:1229,"AAAAAHv/7WQ=",0)</f>
        <v>0</v>
      </c>
      <c r="CX15" t="e">
        <f>AND(Ischemia_singlenet_25percent_ou!A1229,"AAAAAHv/7WU=")</f>
        <v>#VALUE!</v>
      </c>
      <c r="CY15" t="e">
        <f>AND(Ischemia_singlenet_25percent_ou!B1229,"AAAAAHv/7WY=")</f>
        <v>#VALUE!</v>
      </c>
      <c r="CZ15">
        <f>IF(Ischemia_singlenet_25percent_ou!1230:1230,"AAAAAHv/7Wc=",0)</f>
        <v>0</v>
      </c>
      <c r="DA15" t="e">
        <f>AND(Ischemia_singlenet_25percent_ou!A1230,"AAAAAHv/7Wg=")</f>
        <v>#VALUE!</v>
      </c>
      <c r="DB15" t="e">
        <f>AND(Ischemia_singlenet_25percent_ou!B1230,"AAAAAHv/7Wk=")</f>
        <v>#VALUE!</v>
      </c>
      <c r="DC15">
        <f>IF(Ischemia_singlenet_25percent_ou!1231:1231,"AAAAAHv/7Wo=",0)</f>
        <v>0</v>
      </c>
      <c r="DD15" t="e">
        <f>AND(Ischemia_singlenet_25percent_ou!A1231,"AAAAAHv/7Ws=")</f>
        <v>#VALUE!</v>
      </c>
      <c r="DE15" t="e">
        <f>AND(Ischemia_singlenet_25percent_ou!B1231,"AAAAAHv/7Ww=")</f>
        <v>#VALUE!</v>
      </c>
      <c r="DF15">
        <f>IF(Ischemia_singlenet_25percent_ou!1232:1232,"AAAAAHv/7W0=",0)</f>
        <v>0</v>
      </c>
      <c r="DG15" t="e">
        <f>AND(Ischemia_singlenet_25percent_ou!A1232,"AAAAAHv/7W4=")</f>
        <v>#VALUE!</v>
      </c>
      <c r="DH15" t="e">
        <f>AND(Ischemia_singlenet_25percent_ou!B1232,"AAAAAHv/7W8=")</f>
        <v>#VALUE!</v>
      </c>
      <c r="DI15">
        <f>IF(Ischemia_singlenet_25percent_ou!1233:1233,"AAAAAHv/7XA=",0)</f>
        <v>0</v>
      </c>
      <c r="DJ15" t="e">
        <f>AND(Ischemia_singlenet_25percent_ou!A1233,"AAAAAHv/7XE=")</f>
        <v>#VALUE!</v>
      </c>
      <c r="DK15" t="e">
        <f>AND(Ischemia_singlenet_25percent_ou!B1233,"AAAAAHv/7XI=")</f>
        <v>#VALUE!</v>
      </c>
      <c r="DL15">
        <f>IF(Ischemia_singlenet_25percent_ou!1234:1234,"AAAAAHv/7XM=",0)</f>
        <v>0</v>
      </c>
      <c r="DM15" t="e">
        <f>AND(Ischemia_singlenet_25percent_ou!A1234,"AAAAAHv/7XQ=")</f>
        <v>#VALUE!</v>
      </c>
      <c r="DN15" t="e">
        <f>AND(Ischemia_singlenet_25percent_ou!B1234,"AAAAAHv/7XU=")</f>
        <v>#VALUE!</v>
      </c>
      <c r="DO15">
        <f>IF(Ischemia_singlenet_25percent_ou!1235:1235,"AAAAAHv/7XY=",0)</f>
        <v>0</v>
      </c>
      <c r="DP15" t="e">
        <f>AND(Ischemia_singlenet_25percent_ou!A1235,"AAAAAHv/7Xc=")</f>
        <v>#VALUE!</v>
      </c>
      <c r="DQ15" t="e">
        <f>AND(Ischemia_singlenet_25percent_ou!B1235,"AAAAAHv/7Xg=")</f>
        <v>#VALUE!</v>
      </c>
      <c r="DR15">
        <f>IF(Ischemia_singlenet_25percent_ou!1236:1236,"AAAAAHv/7Xk=",0)</f>
        <v>0</v>
      </c>
      <c r="DS15" t="e">
        <f>AND(Ischemia_singlenet_25percent_ou!A1236,"AAAAAHv/7Xo=")</f>
        <v>#VALUE!</v>
      </c>
      <c r="DT15" t="e">
        <f>AND(Ischemia_singlenet_25percent_ou!B1236,"AAAAAHv/7Xs=")</f>
        <v>#VALUE!</v>
      </c>
      <c r="DU15">
        <f>IF(Ischemia_singlenet_25percent_ou!1237:1237,"AAAAAHv/7Xw=",0)</f>
        <v>0</v>
      </c>
      <c r="DV15" t="e">
        <f>AND(Ischemia_singlenet_25percent_ou!A1237,"AAAAAHv/7X0=")</f>
        <v>#VALUE!</v>
      </c>
      <c r="DW15" t="e">
        <f>AND(Ischemia_singlenet_25percent_ou!B1237,"AAAAAHv/7X4=")</f>
        <v>#VALUE!</v>
      </c>
      <c r="DX15">
        <f>IF(Ischemia_singlenet_25percent_ou!1238:1238,"AAAAAHv/7X8=",0)</f>
        <v>0</v>
      </c>
      <c r="DY15" t="e">
        <f>AND(Ischemia_singlenet_25percent_ou!A1238,"AAAAAHv/7YA=")</f>
        <v>#VALUE!</v>
      </c>
      <c r="DZ15" t="e">
        <f>AND(Ischemia_singlenet_25percent_ou!B1238,"AAAAAHv/7YE=")</f>
        <v>#VALUE!</v>
      </c>
      <c r="EA15">
        <f>IF(Ischemia_singlenet_25percent_ou!1239:1239,"AAAAAHv/7YI=",0)</f>
        <v>0</v>
      </c>
      <c r="EB15" t="e">
        <f>AND(Ischemia_singlenet_25percent_ou!A1239,"AAAAAHv/7YM=")</f>
        <v>#VALUE!</v>
      </c>
      <c r="EC15" t="e">
        <f>AND(Ischemia_singlenet_25percent_ou!B1239,"AAAAAHv/7YQ=")</f>
        <v>#VALUE!</v>
      </c>
      <c r="ED15">
        <f>IF(Ischemia_singlenet_25percent_ou!1240:1240,"AAAAAHv/7YU=",0)</f>
        <v>0</v>
      </c>
      <c r="EE15" t="e">
        <f>AND(Ischemia_singlenet_25percent_ou!A1240,"AAAAAHv/7YY=")</f>
        <v>#VALUE!</v>
      </c>
      <c r="EF15" t="e">
        <f>AND(Ischemia_singlenet_25percent_ou!B1240,"AAAAAHv/7Yc=")</f>
        <v>#VALUE!</v>
      </c>
      <c r="EG15">
        <f>IF(Ischemia_singlenet_25percent_ou!1241:1241,"AAAAAHv/7Yg=",0)</f>
        <v>0</v>
      </c>
      <c r="EH15" t="e">
        <f>AND(Ischemia_singlenet_25percent_ou!A1241,"AAAAAHv/7Yk=")</f>
        <v>#VALUE!</v>
      </c>
      <c r="EI15" t="e">
        <f>AND(Ischemia_singlenet_25percent_ou!B1241,"AAAAAHv/7Yo=")</f>
        <v>#VALUE!</v>
      </c>
      <c r="EJ15">
        <f>IF(Ischemia_singlenet_25percent_ou!1242:1242,"AAAAAHv/7Ys=",0)</f>
        <v>0</v>
      </c>
      <c r="EK15" t="e">
        <f>AND(Ischemia_singlenet_25percent_ou!A1242,"AAAAAHv/7Yw=")</f>
        <v>#VALUE!</v>
      </c>
      <c r="EL15" t="e">
        <f>AND(Ischemia_singlenet_25percent_ou!B1242,"AAAAAHv/7Y0=")</f>
        <v>#VALUE!</v>
      </c>
      <c r="EM15">
        <f>IF(Ischemia_singlenet_25percent_ou!1243:1243,"AAAAAHv/7Y4=",0)</f>
        <v>0</v>
      </c>
      <c r="EN15" t="e">
        <f>AND(Ischemia_singlenet_25percent_ou!A1243,"AAAAAHv/7Y8=")</f>
        <v>#VALUE!</v>
      </c>
      <c r="EO15" t="e">
        <f>AND(Ischemia_singlenet_25percent_ou!B1243,"AAAAAHv/7ZA=")</f>
        <v>#VALUE!</v>
      </c>
      <c r="EP15">
        <f>IF(Ischemia_singlenet_25percent_ou!1244:1244,"AAAAAHv/7ZE=",0)</f>
        <v>0</v>
      </c>
      <c r="EQ15" t="e">
        <f>AND(Ischemia_singlenet_25percent_ou!A1244,"AAAAAHv/7ZI=")</f>
        <v>#VALUE!</v>
      </c>
      <c r="ER15" t="e">
        <f>AND(Ischemia_singlenet_25percent_ou!B1244,"AAAAAHv/7ZM=")</f>
        <v>#VALUE!</v>
      </c>
      <c r="ES15">
        <f>IF(Ischemia_singlenet_25percent_ou!1245:1245,"AAAAAHv/7ZQ=",0)</f>
        <v>0</v>
      </c>
      <c r="ET15" t="e">
        <f>AND(Ischemia_singlenet_25percent_ou!A1245,"AAAAAHv/7ZU=")</f>
        <v>#VALUE!</v>
      </c>
      <c r="EU15" t="e">
        <f>AND(Ischemia_singlenet_25percent_ou!B1245,"AAAAAHv/7ZY=")</f>
        <v>#VALUE!</v>
      </c>
      <c r="EV15">
        <f>IF(Ischemia_singlenet_25percent_ou!1246:1246,"AAAAAHv/7Zc=",0)</f>
        <v>0</v>
      </c>
      <c r="EW15" t="e">
        <f>AND(Ischemia_singlenet_25percent_ou!A1246,"AAAAAHv/7Zg=")</f>
        <v>#VALUE!</v>
      </c>
      <c r="EX15" t="e">
        <f>AND(Ischemia_singlenet_25percent_ou!B1246,"AAAAAHv/7Zk=")</f>
        <v>#VALUE!</v>
      </c>
      <c r="EY15">
        <f>IF(Ischemia_singlenet_25percent_ou!1247:1247,"AAAAAHv/7Zo=",0)</f>
        <v>0</v>
      </c>
      <c r="EZ15" t="e">
        <f>AND(Ischemia_singlenet_25percent_ou!A1247,"AAAAAHv/7Zs=")</f>
        <v>#VALUE!</v>
      </c>
      <c r="FA15" t="e">
        <f>AND(Ischemia_singlenet_25percent_ou!B1247,"AAAAAHv/7Zw=")</f>
        <v>#VALUE!</v>
      </c>
      <c r="FB15">
        <f>IF(Ischemia_singlenet_25percent_ou!1248:1248,"AAAAAHv/7Z0=",0)</f>
        <v>0</v>
      </c>
      <c r="FC15" t="e">
        <f>AND(Ischemia_singlenet_25percent_ou!A1248,"AAAAAHv/7Z4=")</f>
        <v>#VALUE!</v>
      </c>
      <c r="FD15" t="e">
        <f>AND(Ischemia_singlenet_25percent_ou!B1248,"AAAAAHv/7Z8=")</f>
        <v>#VALUE!</v>
      </c>
      <c r="FE15">
        <f>IF(Ischemia_singlenet_25percent_ou!1249:1249,"AAAAAHv/7aA=",0)</f>
        <v>0</v>
      </c>
      <c r="FF15" t="e">
        <f>AND(Ischemia_singlenet_25percent_ou!A1249,"AAAAAHv/7aE=")</f>
        <v>#VALUE!</v>
      </c>
      <c r="FG15" t="e">
        <f>AND(Ischemia_singlenet_25percent_ou!B1249,"AAAAAHv/7aI=")</f>
        <v>#VALUE!</v>
      </c>
      <c r="FH15">
        <f>IF(Ischemia_singlenet_25percent_ou!1250:1250,"AAAAAHv/7aM=",0)</f>
        <v>0</v>
      </c>
      <c r="FI15" t="e">
        <f>AND(Ischemia_singlenet_25percent_ou!A1250,"AAAAAHv/7aQ=")</f>
        <v>#VALUE!</v>
      </c>
      <c r="FJ15" t="e">
        <f>AND(Ischemia_singlenet_25percent_ou!B1250,"AAAAAHv/7aU=")</f>
        <v>#VALUE!</v>
      </c>
      <c r="FK15">
        <f>IF(Ischemia_singlenet_25percent_ou!1251:1251,"AAAAAHv/7aY=",0)</f>
        <v>0</v>
      </c>
      <c r="FL15" t="e">
        <f>AND(Ischemia_singlenet_25percent_ou!A1251,"AAAAAHv/7ac=")</f>
        <v>#VALUE!</v>
      </c>
      <c r="FM15" t="e">
        <f>AND(Ischemia_singlenet_25percent_ou!B1251,"AAAAAHv/7ag=")</f>
        <v>#VALUE!</v>
      </c>
      <c r="FN15">
        <f>IF(Ischemia_singlenet_25percent_ou!1252:1252,"AAAAAHv/7ak=",0)</f>
        <v>0</v>
      </c>
      <c r="FO15" t="e">
        <f>AND(Ischemia_singlenet_25percent_ou!A1252,"AAAAAHv/7ao=")</f>
        <v>#VALUE!</v>
      </c>
      <c r="FP15" t="e">
        <f>AND(Ischemia_singlenet_25percent_ou!B1252,"AAAAAHv/7as=")</f>
        <v>#VALUE!</v>
      </c>
      <c r="FQ15">
        <f>IF(Ischemia_singlenet_25percent_ou!1253:1253,"AAAAAHv/7aw=",0)</f>
        <v>0</v>
      </c>
      <c r="FR15" t="e">
        <f>AND(Ischemia_singlenet_25percent_ou!A1253,"AAAAAHv/7a0=")</f>
        <v>#VALUE!</v>
      </c>
      <c r="FS15" t="e">
        <f>AND(Ischemia_singlenet_25percent_ou!B1253,"AAAAAHv/7a4=")</f>
        <v>#VALUE!</v>
      </c>
      <c r="FT15">
        <f>IF(Ischemia_singlenet_25percent_ou!1254:1254,"AAAAAHv/7a8=",0)</f>
        <v>0</v>
      </c>
      <c r="FU15" t="e">
        <f>AND(Ischemia_singlenet_25percent_ou!A1254,"AAAAAHv/7bA=")</f>
        <v>#VALUE!</v>
      </c>
      <c r="FV15" t="e">
        <f>AND(Ischemia_singlenet_25percent_ou!B1254,"AAAAAHv/7bE=")</f>
        <v>#VALUE!</v>
      </c>
      <c r="FW15">
        <f>IF(Ischemia_singlenet_25percent_ou!1255:1255,"AAAAAHv/7bI=",0)</f>
        <v>0</v>
      </c>
      <c r="FX15" t="e">
        <f>AND(Ischemia_singlenet_25percent_ou!A1255,"AAAAAHv/7bM=")</f>
        <v>#VALUE!</v>
      </c>
      <c r="FY15" t="e">
        <f>AND(Ischemia_singlenet_25percent_ou!B1255,"AAAAAHv/7bQ=")</f>
        <v>#VALUE!</v>
      </c>
      <c r="FZ15">
        <f>IF(Ischemia_singlenet_25percent_ou!1256:1256,"AAAAAHv/7bU=",0)</f>
        <v>0</v>
      </c>
      <c r="GA15" t="e">
        <f>AND(Ischemia_singlenet_25percent_ou!A1256,"AAAAAHv/7bY=")</f>
        <v>#VALUE!</v>
      </c>
      <c r="GB15" t="e">
        <f>AND(Ischemia_singlenet_25percent_ou!B1256,"AAAAAHv/7bc=")</f>
        <v>#VALUE!</v>
      </c>
      <c r="GC15">
        <f>IF(Ischemia_singlenet_25percent_ou!1257:1257,"AAAAAHv/7bg=",0)</f>
        <v>0</v>
      </c>
      <c r="GD15" t="e">
        <f>AND(Ischemia_singlenet_25percent_ou!A1257,"AAAAAHv/7bk=")</f>
        <v>#VALUE!</v>
      </c>
      <c r="GE15" t="e">
        <f>AND(Ischemia_singlenet_25percent_ou!B1257,"AAAAAHv/7bo=")</f>
        <v>#VALUE!</v>
      </c>
      <c r="GF15">
        <f>IF(Ischemia_singlenet_25percent_ou!1258:1258,"AAAAAHv/7bs=",0)</f>
        <v>0</v>
      </c>
      <c r="GG15" t="e">
        <f>AND(Ischemia_singlenet_25percent_ou!A1258,"AAAAAHv/7bw=")</f>
        <v>#VALUE!</v>
      </c>
      <c r="GH15" t="e">
        <f>AND(Ischemia_singlenet_25percent_ou!B1258,"AAAAAHv/7b0=")</f>
        <v>#VALUE!</v>
      </c>
      <c r="GI15">
        <f>IF(Ischemia_singlenet_25percent_ou!1259:1259,"AAAAAHv/7b4=",0)</f>
        <v>0</v>
      </c>
      <c r="GJ15" t="e">
        <f>AND(Ischemia_singlenet_25percent_ou!A1259,"AAAAAHv/7b8=")</f>
        <v>#VALUE!</v>
      </c>
      <c r="GK15" t="e">
        <f>AND(Ischemia_singlenet_25percent_ou!B1259,"AAAAAHv/7cA=")</f>
        <v>#VALUE!</v>
      </c>
      <c r="GL15">
        <f>IF(Ischemia_singlenet_25percent_ou!1260:1260,"AAAAAHv/7cE=",0)</f>
        <v>0</v>
      </c>
      <c r="GM15" t="e">
        <f>AND(Ischemia_singlenet_25percent_ou!A1260,"AAAAAHv/7cI=")</f>
        <v>#VALUE!</v>
      </c>
      <c r="GN15" t="e">
        <f>AND(Ischemia_singlenet_25percent_ou!B1260,"AAAAAHv/7cM=")</f>
        <v>#VALUE!</v>
      </c>
      <c r="GO15">
        <f>IF(Ischemia_singlenet_25percent_ou!1261:1261,"AAAAAHv/7cQ=",0)</f>
        <v>0</v>
      </c>
      <c r="GP15" t="e">
        <f>AND(Ischemia_singlenet_25percent_ou!A1261,"AAAAAHv/7cU=")</f>
        <v>#VALUE!</v>
      </c>
      <c r="GQ15" t="e">
        <f>AND(Ischemia_singlenet_25percent_ou!B1261,"AAAAAHv/7cY=")</f>
        <v>#VALUE!</v>
      </c>
      <c r="GR15">
        <f>IF(Ischemia_singlenet_25percent_ou!1262:1262,"AAAAAHv/7cc=",0)</f>
        <v>0</v>
      </c>
      <c r="GS15" t="e">
        <f>AND(Ischemia_singlenet_25percent_ou!A1262,"AAAAAHv/7cg=")</f>
        <v>#VALUE!</v>
      </c>
      <c r="GT15" t="e">
        <f>AND(Ischemia_singlenet_25percent_ou!B1262,"AAAAAHv/7ck=")</f>
        <v>#VALUE!</v>
      </c>
      <c r="GU15">
        <f>IF(Ischemia_singlenet_25percent_ou!1263:1263,"AAAAAHv/7co=",0)</f>
        <v>0</v>
      </c>
      <c r="GV15" t="e">
        <f>AND(Ischemia_singlenet_25percent_ou!A1263,"AAAAAHv/7cs=")</f>
        <v>#VALUE!</v>
      </c>
      <c r="GW15" t="e">
        <f>AND(Ischemia_singlenet_25percent_ou!B1263,"AAAAAHv/7cw=")</f>
        <v>#VALUE!</v>
      </c>
      <c r="GX15">
        <f>IF(Ischemia_singlenet_25percent_ou!1264:1264,"AAAAAHv/7c0=",0)</f>
        <v>0</v>
      </c>
      <c r="GY15" t="e">
        <f>AND(Ischemia_singlenet_25percent_ou!A1264,"AAAAAHv/7c4=")</f>
        <v>#VALUE!</v>
      </c>
      <c r="GZ15" t="e">
        <f>AND(Ischemia_singlenet_25percent_ou!B1264,"AAAAAHv/7c8=")</f>
        <v>#VALUE!</v>
      </c>
      <c r="HA15">
        <f>IF(Ischemia_singlenet_25percent_ou!1265:1265,"AAAAAHv/7dA=",0)</f>
        <v>0</v>
      </c>
      <c r="HB15" t="e">
        <f>AND(Ischemia_singlenet_25percent_ou!A1265,"AAAAAHv/7dE=")</f>
        <v>#VALUE!</v>
      </c>
      <c r="HC15" t="e">
        <f>AND(Ischemia_singlenet_25percent_ou!B1265,"AAAAAHv/7dI=")</f>
        <v>#VALUE!</v>
      </c>
      <c r="HD15">
        <f>IF(Ischemia_singlenet_25percent_ou!1266:1266,"AAAAAHv/7dM=",0)</f>
        <v>0</v>
      </c>
      <c r="HE15" t="e">
        <f>AND(Ischemia_singlenet_25percent_ou!A1266,"AAAAAHv/7dQ=")</f>
        <v>#VALUE!</v>
      </c>
      <c r="HF15" t="e">
        <f>AND(Ischemia_singlenet_25percent_ou!B1266,"AAAAAHv/7dU=")</f>
        <v>#VALUE!</v>
      </c>
      <c r="HG15">
        <f>IF(Ischemia_singlenet_25percent_ou!1267:1267,"AAAAAHv/7dY=",0)</f>
        <v>0</v>
      </c>
      <c r="HH15" t="e">
        <f>AND(Ischemia_singlenet_25percent_ou!A1267,"AAAAAHv/7dc=")</f>
        <v>#VALUE!</v>
      </c>
      <c r="HI15" t="e">
        <f>AND(Ischemia_singlenet_25percent_ou!B1267,"AAAAAHv/7dg=")</f>
        <v>#VALUE!</v>
      </c>
      <c r="HJ15">
        <f>IF(Ischemia_singlenet_25percent_ou!1268:1268,"AAAAAHv/7dk=",0)</f>
        <v>0</v>
      </c>
      <c r="HK15" t="e">
        <f>AND(Ischemia_singlenet_25percent_ou!A1268,"AAAAAHv/7do=")</f>
        <v>#VALUE!</v>
      </c>
      <c r="HL15" t="e">
        <f>AND(Ischemia_singlenet_25percent_ou!B1268,"AAAAAHv/7ds=")</f>
        <v>#VALUE!</v>
      </c>
      <c r="HM15">
        <f>IF(Ischemia_singlenet_25percent_ou!1269:1269,"AAAAAHv/7dw=",0)</f>
        <v>0</v>
      </c>
      <c r="HN15" t="e">
        <f>AND(Ischemia_singlenet_25percent_ou!A1269,"AAAAAHv/7d0=")</f>
        <v>#VALUE!</v>
      </c>
      <c r="HO15" t="e">
        <f>AND(Ischemia_singlenet_25percent_ou!B1269,"AAAAAHv/7d4=")</f>
        <v>#VALUE!</v>
      </c>
      <c r="HP15">
        <f>IF(Ischemia_singlenet_25percent_ou!1270:1270,"AAAAAHv/7d8=",0)</f>
        <v>0</v>
      </c>
      <c r="HQ15" t="e">
        <f>AND(Ischemia_singlenet_25percent_ou!A1270,"AAAAAHv/7eA=")</f>
        <v>#VALUE!</v>
      </c>
      <c r="HR15" t="e">
        <f>AND(Ischemia_singlenet_25percent_ou!B1270,"AAAAAHv/7eE=")</f>
        <v>#VALUE!</v>
      </c>
      <c r="HS15">
        <f>IF(Ischemia_singlenet_25percent_ou!1271:1271,"AAAAAHv/7eI=",0)</f>
        <v>0</v>
      </c>
      <c r="HT15" t="e">
        <f>AND(Ischemia_singlenet_25percent_ou!A1271,"AAAAAHv/7eM=")</f>
        <v>#VALUE!</v>
      </c>
      <c r="HU15" t="e">
        <f>AND(Ischemia_singlenet_25percent_ou!B1271,"AAAAAHv/7eQ=")</f>
        <v>#VALUE!</v>
      </c>
      <c r="HV15">
        <f>IF(Ischemia_singlenet_25percent_ou!1272:1272,"AAAAAHv/7eU=",0)</f>
        <v>0</v>
      </c>
      <c r="HW15" t="e">
        <f>AND(Ischemia_singlenet_25percent_ou!A1272,"AAAAAHv/7eY=")</f>
        <v>#VALUE!</v>
      </c>
      <c r="HX15" t="e">
        <f>AND(Ischemia_singlenet_25percent_ou!B1272,"AAAAAHv/7ec=")</f>
        <v>#VALUE!</v>
      </c>
      <c r="HY15">
        <f>IF(Ischemia_singlenet_25percent_ou!1273:1273,"AAAAAHv/7eg=",0)</f>
        <v>0</v>
      </c>
      <c r="HZ15" t="e">
        <f>AND(Ischemia_singlenet_25percent_ou!A1273,"AAAAAHv/7ek=")</f>
        <v>#VALUE!</v>
      </c>
      <c r="IA15" t="e">
        <f>AND(Ischemia_singlenet_25percent_ou!B1273,"AAAAAHv/7eo=")</f>
        <v>#VALUE!</v>
      </c>
      <c r="IB15">
        <f>IF(Ischemia_singlenet_25percent_ou!1274:1274,"AAAAAHv/7es=",0)</f>
        <v>0</v>
      </c>
      <c r="IC15" t="e">
        <f>AND(Ischemia_singlenet_25percent_ou!A1274,"AAAAAHv/7ew=")</f>
        <v>#VALUE!</v>
      </c>
      <c r="ID15" t="e">
        <f>AND(Ischemia_singlenet_25percent_ou!B1274,"AAAAAHv/7e0=")</f>
        <v>#VALUE!</v>
      </c>
      <c r="IE15">
        <f>IF(Ischemia_singlenet_25percent_ou!1275:1275,"AAAAAHv/7e4=",0)</f>
        <v>0</v>
      </c>
      <c r="IF15" t="e">
        <f>AND(Ischemia_singlenet_25percent_ou!A1275,"AAAAAHv/7e8=")</f>
        <v>#VALUE!</v>
      </c>
      <c r="IG15" t="e">
        <f>AND(Ischemia_singlenet_25percent_ou!B1275,"AAAAAHv/7fA=")</f>
        <v>#VALUE!</v>
      </c>
      <c r="IH15">
        <f>IF(Ischemia_singlenet_25percent_ou!1276:1276,"AAAAAHv/7fE=",0)</f>
        <v>0</v>
      </c>
      <c r="II15" t="e">
        <f>AND(Ischemia_singlenet_25percent_ou!A1276,"AAAAAHv/7fI=")</f>
        <v>#VALUE!</v>
      </c>
      <c r="IJ15" t="e">
        <f>AND(Ischemia_singlenet_25percent_ou!B1276,"AAAAAHv/7fM=")</f>
        <v>#VALUE!</v>
      </c>
      <c r="IK15">
        <f>IF(Ischemia_singlenet_25percent_ou!1277:1277,"AAAAAHv/7fQ=",0)</f>
        <v>0</v>
      </c>
      <c r="IL15" t="e">
        <f>AND(Ischemia_singlenet_25percent_ou!A1277,"AAAAAHv/7fU=")</f>
        <v>#VALUE!</v>
      </c>
      <c r="IM15" t="e">
        <f>AND(Ischemia_singlenet_25percent_ou!B1277,"AAAAAHv/7fY=")</f>
        <v>#VALUE!</v>
      </c>
      <c r="IN15">
        <f>IF(Ischemia_singlenet_25percent_ou!1278:1278,"AAAAAHv/7fc=",0)</f>
        <v>0</v>
      </c>
      <c r="IO15" t="e">
        <f>AND(Ischemia_singlenet_25percent_ou!A1278,"AAAAAHv/7fg=")</f>
        <v>#VALUE!</v>
      </c>
      <c r="IP15" t="e">
        <f>AND(Ischemia_singlenet_25percent_ou!B1278,"AAAAAHv/7fk=")</f>
        <v>#VALUE!</v>
      </c>
      <c r="IQ15">
        <f>IF(Ischemia_singlenet_25percent_ou!1279:1279,"AAAAAHv/7fo=",0)</f>
        <v>0</v>
      </c>
      <c r="IR15" t="e">
        <f>AND(Ischemia_singlenet_25percent_ou!A1279,"AAAAAHv/7fs=")</f>
        <v>#VALUE!</v>
      </c>
      <c r="IS15" t="e">
        <f>AND(Ischemia_singlenet_25percent_ou!B1279,"AAAAAHv/7fw=")</f>
        <v>#VALUE!</v>
      </c>
      <c r="IT15">
        <f>IF(Ischemia_singlenet_25percent_ou!1280:1280,"AAAAAHv/7f0=",0)</f>
        <v>0</v>
      </c>
      <c r="IU15" t="e">
        <f>AND(Ischemia_singlenet_25percent_ou!A1280,"AAAAAHv/7f4=")</f>
        <v>#VALUE!</v>
      </c>
      <c r="IV15" t="e">
        <f>AND(Ischemia_singlenet_25percent_ou!B1280,"AAAAAHv/7f8=")</f>
        <v>#VALUE!</v>
      </c>
    </row>
    <row r="16" spans="1:256">
      <c r="A16" t="e">
        <f>IF(Ischemia_singlenet_25percent_ou!1281:1281,"AAAAAHY/zQA=",0)</f>
        <v>#VALUE!</v>
      </c>
      <c r="B16" t="e">
        <f>AND(Ischemia_singlenet_25percent_ou!A1281,"AAAAAHY/zQE=")</f>
        <v>#VALUE!</v>
      </c>
      <c r="C16" t="e">
        <f>AND(Ischemia_singlenet_25percent_ou!B1281,"AAAAAHY/zQI=")</f>
        <v>#VALUE!</v>
      </c>
      <c r="D16">
        <f>IF(Ischemia_singlenet_25percent_ou!1282:1282,"AAAAAHY/zQM=",0)</f>
        <v>0</v>
      </c>
      <c r="E16" t="e">
        <f>AND(Ischemia_singlenet_25percent_ou!A1282,"AAAAAHY/zQQ=")</f>
        <v>#VALUE!</v>
      </c>
      <c r="F16" t="e">
        <f>AND(Ischemia_singlenet_25percent_ou!B1282,"AAAAAHY/zQU=")</f>
        <v>#VALUE!</v>
      </c>
      <c r="G16">
        <f>IF(Ischemia_singlenet_25percent_ou!1283:1283,"AAAAAHY/zQY=",0)</f>
        <v>0</v>
      </c>
      <c r="H16" t="e">
        <f>AND(Ischemia_singlenet_25percent_ou!A1283,"AAAAAHY/zQc=")</f>
        <v>#VALUE!</v>
      </c>
      <c r="I16" t="e">
        <f>AND(Ischemia_singlenet_25percent_ou!B1283,"AAAAAHY/zQg=")</f>
        <v>#VALUE!</v>
      </c>
      <c r="J16">
        <f>IF(Ischemia_singlenet_25percent_ou!1284:1284,"AAAAAHY/zQk=",0)</f>
        <v>0</v>
      </c>
      <c r="K16" t="e">
        <f>AND(Ischemia_singlenet_25percent_ou!A1284,"AAAAAHY/zQo=")</f>
        <v>#VALUE!</v>
      </c>
      <c r="L16" t="e">
        <f>AND(Ischemia_singlenet_25percent_ou!B1284,"AAAAAHY/zQs=")</f>
        <v>#VALUE!</v>
      </c>
      <c r="M16">
        <f>IF(Ischemia_singlenet_25percent_ou!1285:1285,"AAAAAHY/zQw=",0)</f>
        <v>0</v>
      </c>
      <c r="N16" t="e">
        <f>AND(Ischemia_singlenet_25percent_ou!A1285,"AAAAAHY/zQ0=")</f>
        <v>#VALUE!</v>
      </c>
      <c r="O16" t="e">
        <f>AND(Ischemia_singlenet_25percent_ou!B1285,"AAAAAHY/zQ4=")</f>
        <v>#VALUE!</v>
      </c>
      <c r="P16">
        <f>IF(Ischemia_singlenet_25percent_ou!1286:1286,"AAAAAHY/zQ8=",0)</f>
        <v>0</v>
      </c>
      <c r="Q16" t="e">
        <f>AND(Ischemia_singlenet_25percent_ou!A1286,"AAAAAHY/zRA=")</f>
        <v>#VALUE!</v>
      </c>
      <c r="R16" t="e">
        <f>AND(Ischemia_singlenet_25percent_ou!B1286,"AAAAAHY/zRE=")</f>
        <v>#VALUE!</v>
      </c>
      <c r="S16">
        <f>IF(Ischemia_singlenet_25percent_ou!1287:1287,"AAAAAHY/zRI=",0)</f>
        <v>0</v>
      </c>
      <c r="T16" t="e">
        <f>AND(Ischemia_singlenet_25percent_ou!A1287,"AAAAAHY/zRM=")</f>
        <v>#VALUE!</v>
      </c>
      <c r="U16" t="e">
        <f>AND(Ischemia_singlenet_25percent_ou!B1287,"AAAAAHY/zRQ=")</f>
        <v>#VALUE!</v>
      </c>
      <c r="V16">
        <f>IF(Ischemia_singlenet_25percent_ou!1288:1288,"AAAAAHY/zRU=",0)</f>
        <v>0</v>
      </c>
      <c r="W16" t="e">
        <f>AND(Ischemia_singlenet_25percent_ou!A1288,"AAAAAHY/zRY=")</f>
        <v>#VALUE!</v>
      </c>
      <c r="X16" t="e">
        <f>AND(Ischemia_singlenet_25percent_ou!B1288,"AAAAAHY/zRc=")</f>
        <v>#VALUE!</v>
      </c>
      <c r="Y16">
        <f>IF(Ischemia_singlenet_25percent_ou!1289:1289,"AAAAAHY/zRg=",0)</f>
        <v>0</v>
      </c>
      <c r="Z16" t="e">
        <f>AND(Ischemia_singlenet_25percent_ou!A1289,"AAAAAHY/zRk=")</f>
        <v>#VALUE!</v>
      </c>
      <c r="AA16" t="e">
        <f>AND(Ischemia_singlenet_25percent_ou!B1289,"AAAAAHY/zRo=")</f>
        <v>#VALUE!</v>
      </c>
      <c r="AB16">
        <f>IF(Ischemia_singlenet_25percent_ou!1290:1290,"AAAAAHY/zRs=",0)</f>
        <v>0</v>
      </c>
      <c r="AC16" t="e">
        <f>AND(Ischemia_singlenet_25percent_ou!A1290,"AAAAAHY/zRw=")</f>
        <v>#VALUE!</v>
      </c>
      <c r="AD16" t="e">
        <f>AND(Ischemia_singlenet_25percent_ou!B1290,"AAAAAHY/zR0=")</f>
        <v>#VALUE!</v>
      </c>
      <c r="AE16">
        <f>IF(Ischemia_singlenet_25percent_ou!1291:1291,"AAAAAHY/zR4=",0)</f>
        <v>0</v>
      </c>
      <c r="AF16" t="e">
        <f>AND(Ischemia_singlenet_25percent_ou!A1291,"AAAAAHY/zR8=")</f>
        <v>#VALUE!</v>
      </c>
      <c r="AG16" t="e">
        <f>AND(Ischemia_singlenet_25percent_ou!B1291,"AAAAAHY/zSA=")</f>
        <v>#VALUE!</v>
      </c>
      <c r="AH16">
        <f>IF(Ischemia_singlenet_25percent_ou!1292:1292,"AAAAAHY/zSE=",0)</f>
        <v>0</v>
      </c>
      <c r="AI16" t="e">
        <f>AND(Ischemia_singlenet_25percent_ou!A1292,"AAAAAHY/zSI=")</f>
        <v>#VALUE!</v>
      </c>
      <c r="AJ16" t="e">
        <f>AND(Ischemia_singlenet_25percent_ou!B1292,"AAAAAHY/zSM=")</f>
        <v>#VALUE!</v>
      </c>
      <c r="AK16">
        <f>IF(Ischemia_singlenet_25percent_ou!1293:1293,"AAAAAHY/zSQ=",0)</f>
        <v>0</v>
      </c>
      <c r="AL16" t="e">
        <f>AND(Ischemia_singlenet_25percent_ou!A1293,"AAAAAHY/zSU=")</f>
        <v>#VALUE!</v>
      </c>
      <c r="AM16" t="e">
        <f>AND(Ischemia_singlenet_25percent_ou!B1293,"AAAAAHY/zSY=")</f>
        <v>#VALUE!</v>
      </c>
      <c r="AN16">
        <f>IF(Ischemia_singlenet_25percent_ou!1294:1294,"AAAAAHY/zSc=",0)</f>
        <v>0</v>
      </c>
      <c r="AO16" t="e">
        <f>AND(Ischemia_singlenet_25percent_ou!A1294,"AAAAAHY/zSg=")</f>
        <v>#VALUE!</v>
      </c>
      <c r="AP16" t="e">
        <f>AND(Ischemia_singlenet_25percent_ou!B1294,"AAAAAHY/zSk=")</f>
        <v>#VALUE!</v>
      </c>
      <c r="AQ16">
        <f>IF(Ischemia_singlenet_25percent_ou!1295:1295,"AAAAAHY/zSo=",0)</f>
        <v>0</v>
      </c>
      <c r="AR16" t="e">
        <f>AND(Ischemia_singlenet_25percent_ou!A1295,"AAAAAHY/zSs=")</f>
        <v>#VALUE!</v>
      </c>
      <c r="AS16" t="e">
        <f>AND(Ischemia_singlenet_25percent_ou!B1295,"AAAAAHY/zSw=")</f>
        <v>#VALUE!</v>
      </c>
      <c r="AT16">
        <f>IF(Ischemia_singlenet_25percent_ou!1296:1296,"AAAAAHY/zS0=",0)</f>
        <v>0</v>
      </c>
      <c r="AU16" t="e">
        <f>AND(Ischemia_singlenet_25percent_ou!A1296,"AAAAAHY/zS4=")</f>
        <v>#VALUE!</v>
      </c>
      <c r="AV16" t="e">
        <f>AND(Ischemia_singlenet_25percent_ou!B1296,"AAAAAHY/zS8=")</f>
        <v>#VALUE!</v>
      </c>
      <c r="AW16">
        <f>IF(Ischemia_singlenet_25percent_ou!1297:1297,"AAAAAHY/zTA=",0)</f>
        <v>0</v>
      </c>
      <c r="AX16" t="e">
        <f>AND(Ischemia_singlenet_25percent_ou!A1297,"AAAAAHY/zTE=")</f>
        <v>#VALUE!</v>
      </c>
      <c r="AY16" t="e">
        <f>AND(Ischemia_singlenet_25percent_ou!B1297,"AAAAAHY/zTI=")</f>
        <v>#VALUE!</v>
      </c>
      <c r="AZ16">
        <f>IF(Ischemia_singlenet_25percent_ou!1298:1298,"AAAAAHY/zTM=",0)</f>
        <v>0</v>
      </c>
      <c r="BA16" t="e">
        <f>AND(Ischemia_singlenet_25percent_ou!A1298,"AAAAAHY/zTQ=")</f>
        <v>#VALUE!</v>
      </c>
      <c r="BB16" t="e">
        <f>AND(Ischemia_singlenet_25percent_ou!B1298,"AAAAAHY/zTU=")</f>
        <v>#VALUE!</v>
      </c>
      <c r="BC16">
        <f>IF(Ischemia_singlenet_25percent_ou!1299:1299,"AAAAAHY/zTY=",0)</f>
        <v>0</v>
      </c>
      <c r="BD16" t="e">
        <f>AND(Ischemia_singlenet_25percent_ou!A1299,"AAAAAHY/zTc=")</f>
        <v>#VALUE!</v>
      </c>
      <c r="BE16" t="e">
        <f>AND(Ischemia_singlenet_25percent_ou!B1299,"AAAAAHY/zTg=")</f>
        <v>#VALUE!</v>
      </c>
      <c r="BF16">
        <f>IF(Ischemia_singlenet_25percent_ou!1300:1300,"AAAAAHY/zTk=",0)</f>
        <v>0</v>
      </c>
      <c r="BG16" t="e">
        <f>AND(Ischemia_singlenet_25percent_ou!A1300,"AAAAAHY/zTo=")</f>
        <v>#VALUE!</v>
      </c>
      <c r="BH16" t="e">
        <f>AND(Ischemia_singlenet_25percent_ou!B1300,"AAAAAHY/zTs=")</f>
        <v>#VALUE!</v>
      </c>
      <c r="BI16">
        <f>IF(Ischemia_singlenet_25percent_ou!1301:1301,"AAAAAHY/zTw=",0)</f>
        <v>0</v>
      </c>
      <c r="BJ16" t="e">
        <f>AND(Ischemia_singlenet_25percent_ou!A1301,"AAAAAHY/zT0=")</f>
        <v>#VALUE!</v>
      </c>
      <c r="BK16" t="e">
        <f>AND(Ischemia_singlenet_25percent_ou!B1301,"AAAAAHY/zT4=")</f>
        <v>#VALUE!</v>
      </c>
      <c r="BL16">
        <f>IF(Ischemia_singlenet_25percent_ou!1302:1302,"AAAAAHY/zT8=",0)</f>
        <v>0</v>
      </c>
      <c r="BM16" t="e">
        <f>AND(Ischemia_singlenet_25percent_ou!A1302,"AAAAAHY/zUA=")</f>
        <v>#VALUE!</v>
      </c>
      <c r="BN16" t="e">
        <f>AND(Ischemia_singlenet_25percent_ou!B1302,"AAAAAHY/zUE=")</f>
        <v>#VALUE!</v>
      </c>
      <c r="BO16">
        <f>IF(Ischemia_singlenet_25percent_ou!1303:1303,"AAAAAHY/zUI=",0)</f>
        <v>0</v>
      </c>
      <c r="BP16" t="e">
        <f>AND(Ischemia_singlenet_25percent_ou!A1303,"AAAAAHY/zUM=")</f>
        <v>#VALUE!</v>
      </c>
      <c r="BQ16" t="e">
        <f>AND(Ischemia_singlenet_25percent_ou!B1303,"AAAAAHY/zUQ=")</f>
        <v>#VALUE!</v>
      </c>
      <c r="BR16">
        <f>IF(Ischemia_singlenet_25percent_ou!1304:1304,"AAAAAHY/zUU=",0)</f>
        <v>0</v>
      </c>
      <c r="BS16" t="e">
        <f>AND(Ischemia_singlenet_25percent_ou!A1304,"AAAAAHY/zUY=")</f>
        <v>#VALUE!</v>
      </c>
      <c r="BT16" t="e">
        <f>AND(Ischemia_singlenet_25percent_ou!B1304,"AAAAAHY/zUc=")</f>
        <v>#VALUE!</v>
      </c>
      <c r="BU16">
        <f>IF(Ischemia_singlenet_25percent_ou!1305:1305,"AAAAAHY/zUg=",0)</f>
        <v>0</v>
      </c>
      <c r="BV16" t="e">
        <f>AND(Ischemia_singlenet_25percent_ou!A1305,"AAAAAHY/zUk=")</f>
        <v>#VALUE!</v>
      </c>
      <c r="BW16" t="e">
        <f>AND(Ischemia_singlenet_25percent_ou!B1305,"AAAAAHY/zUo=")</f>
        <v>#VALUE!</v>
      </c>
      <c r="BX16">
        <f>IF(Ischemia_singlenet_25percent_ou!1306:1306,"AAAAAHY/zUs=",0)</f>
        <v>0</v>
      </c>
      <c r="BY16" t="e">
        <f>AND(Ischemia_singlenet_25percent_ou!A1306,"AAAAAHY/zUw=")</f>
        <v>#VALUE!</v>
      </c>
      <c r="BZ16" t="e">
        <f>AND(Ischemia_singlenet_25percent_ou!B1306,"AAAAAHY/zU0=")</f>
        <v>#VALUE!</v>
      </c>
      <c r="CA16">
        <f>IF(Ischemia_singlenet_25percent_ou!1307:1307,"AAAAAHY/zU4=",0)</f>
        <v>0</v>
      </c>
      <c r="CB16" t="e">
        <f>AND(Ischemia_singlenet_25percent_ou!A1307,"AAAAAHY/zU8=")</f>
        <v>#VALUE!</v>
      </c>
      <c r="CC16" t="e">
        <f>AND(Ischemia_singlenet_25percent_ou!B1307,"AAAAAHY/zVA=")</f>
        <v>#VALUE!</v>
      </c>
      <c r="CD16">
        <f>IF(Ischemia_singlenet_25percent_ou!1308:1308,"AAAAAHY/zVE=",0)</f>
        <v>0</v>
      </c>
      <c r="CE16" t="e">
        <f>AND(Ischemia_singlenet_25percent_ou!A1308,"AAAAAHY/zVI=")</f>
        <v>#VALUE!</v>
      </c>
      <c r="CF16" t="e">
        <f>AND(Ischemia_singlenet_25percent_ou!B1308,"AAAAAHY/zVM=")</f>
        <v>#VALUE!</v>
      </c>
      <c r="CG16">
        <f>IF(Ischemia_singlenet_25percent_ou!1309:1309,"AAAAAHY/zVQ=",0)</f>
        <v>0</v>
      </c>
      <c r="CH16" t="e">
        <f>AND(Ischemia_singlenet_25percent_ou!A1309,"AAAAAHY/zVU=")</f>
        <v>#VALUE!</v>
      </c>
      <c r="CI16" t="e">
        <f>AND(Ischemia_singlenet_25percent_ou!B1309,"AAAAAHY/zVY=")</f>
        <v>#VALUE!</v>
      </c>
      <c r="CJ16">
        <f>IF(Ischemia_singlenet_25percent_ou!1310:1310,"AAAAAHY/zVc=",0)</f>
        <v>0</v>
      </c>
      <c r="CK16" t="e">
        <f>AND(Ischemia_singlenet_25percent_ou!A1310,"AAAAAHY/zVg=")</f>
        <v>#VALUE!</v>
      </c>
      <c r="CL16" t="e">
        <f>AND(Ischemia_singlenet_25percent_ou!B1310,"AAAAAHY/zVk=")</f>
        <v>#VALUE!</v>
      </c>
      <c r="CM16">
        <f>IF(Ischemia_singlenet_25percent_ou!1311:1311,"AAAAAHY/zVo=",0)</f>
        <v>0</v>
      </c>
      <c r="CN16" t="e">
        <f>AND(Ischemia_singlenet_25percent_ou!A1311,"AAAAAHY/zVs=")</f>
        <v>#VALUE!</v>
      </c>
      <c r="CO16" t="e">
        <f>AND(Ischemia_singlenet_25percent_ou!B1311,"AAAAAHY/zVw=")</f>
        <v>#VALUE!</v>
      </c>
      <c r="CP16">
        <f>IF(Ischemia_singlenet_25percent_ou!1312:1312,"AAAAAHY/zV0=",0)</f>
        <v>0</v>
      </c>
      <c r="CQ16" t="e">
        <f>AND(Ischemia_singlenet_25percent_ou!A1312,"AAAAAHY/zV4=")</f>
        <v>#VALUE!</v>
      </c>
      <c r="CR16" t="e">
        <f>AND(Ischemia_singlenet_25percent_ou!B1312,"AAAAAHY/zV8=")</f>
        <v>#VALUE!</v>
      </c>
      <c r="CS16">
        <f>IF(Ischemia_singlenet_25percent_ou!1313:1313,"AAAAAHY/zWA=",0)</f>
        <v>0</v>
      </c>
      <c r="CT16" t="e">
        <f>AND(Ischemia_singlenet_25percent_ou!A1313,"AAAAAHY/zWE=")</f>
        <v>#VALUE!</v>
      </c>
      <c r="CU16" t="e">
        <f>AND(Ischemia_singlenet_25percent_ou!B1313,"AAAAAHY/zWI=")</f>
        <v>#VALUE!</v>
      </c>
      <c r="CV16">
        <f>IF(Ischemia_singlenet_25percent_ou!1314:1314,"AAAAAHY/zWM=",0)</f>
        <v>0</v>
      </c>
      <c r="CW16" t="e">
        <f>AND(Ischemia_singlenet_25percent_ou!A1314,"AAAAAHY/zWQ=")</f>
        <v>#VALUE!</v>
      </c>
      <c r="CX16" t="e">
        <f>AND(Ischemia_singlenet_25percent_ou!B1314,"AAAAAHY/zWU=")</f>
        <v>#VALUE!</v>
      </c>
      <c r="CY16">
        <f>IF(Ischemia_singlenet_25percent_ou!1315:1315,"AAAAAHY/zWY=",0)</f>
        <v>0</v>
      </c>
      <c r="CZ16" t="e">
        <f>AND(Ischemia_singlenet_25percent_ou!A1315,"AAAAAHY/zWc=")</f>
        <v>#VALUE!</v>
      </c>
      <c r="DA16" t="e">
        <f>AND(Ischemia_singlenet_25percent_ou!B1315,"AAAAAHY/zWg=")</f>
        <v>#VALUE!</v>
      </c>
      <c r="DB16">
        <f>IF(Ischemia_singlenet_25percent_ou!1316:1316,"AAAAAHY/zWk=",0)</f>
        <v>0</v>
      </c>
      <c r="DC16" t="e">
        <f>AND(Ischemia_singlenet_25percent_ou!A1316,"AAAAAHY/zWo=")</f>
        <v>#VALUE!</v>
      </c>
      <c r="DD16" t="e">
        <f>AND(Ischemia_singlenet_25percent_ou!B1316,"AAAAAHY/zWs=")</f>
        <v>#VALUE!</v>
      </c>
      <c r="DE16">
        <f>IF(Ischemia_singlenet_25percent_ou!1317:1317,"AAAAAHY/zWw=",0)</f>
        <v>0</v>
      </c>
      <c r="DF16" t="e">
        <f>AND(Ischemia_singlenet_25percent_ou!A1317,"AAAAAHY/zW0=")</f>
        <v>#VALUE!</v>
      </c>
      <c r="DG16" t="e">
        <f>AND(Ischemia_singlenet_25percent_ou!B1317,"AAAAAHY/zW4=")</f>
        <v>#VALUE!</v>
      </c>
      <c r="DH16">
        <f>IF(Ischemia_singlenet_25percent_ou!1318:1318,"AAAAAHY/zW8=",0)</f>
        <v>0</v>
      </c>
      <c r="DI16" t="e">
        <f>AND(Ischemia_singlenet_25percent_ou!A1318,"AAAAAHY/zXA=")</f>
        <v>#VALUE!</v>
      </c>
      <c r="DJ16" t="e">
        <f>AND(Ischemia_singlenet_25percent_ou!B1318,"AAAAAHY/zXE=")</f>
        <v>#VALUE!</v>
      </c>
      <c r="DK16">
        <f>IF(Ischemia_singlenet_25percent_ou!1319:1319,"AAAAAHY/zXI=",0)</f>
        <v>0</v>
      </c>
      <c r="DL16" t="e">
        <f>AND(Ischemia_singlenet_25percent_ou!A1319,"AAAAAHY/zXM=")</f>
        <v>#VALUE!</v>
      </c>
      <c r="DM16" t="e">
        <f>AND(Ischemia_singlenet_25percent_ou!B1319,"AAAAAHY/zXQ=")</f>
        <v>#VALUE!</v>
      </c>
      <c r="DN16">
        <f>IF(Ischemia_singlenet_25percent_ou!1320:1320,"AAAAAHY/zXU=",0)</f>
        <v>0</v>
      </c>
      <c r="DO16" t="e">
        <f>AND(Ischemia_singlenet_25percent_ou!A1320,"AAAAAHY/zXY=")</f>
        <v>#VALUE!</v>
      </c>
      <c r="DP16" t="e">
        <f>AND(Ischemia_singlenet_25percent_ou!B1320,"AAAAAHY/zXc=")</f>
        <v>#VALUE!</v>
      </c>
      <c r="DQ16">
        <f>IF(Ischemia_singlenet_25percent_ou!1321:1321,"AAAAAHY/zXg=",0)</f>
        <v>0</v>
      </c>
      <c r="DR16" t="e">
        <f>AND(Ischemia_singlenet_25percent_ou!A1321,"AAAAAHY/zXk=")</f>
        <v>#VALUE!</v>
      </c>
      <c r="DS16" t="e">
        <f>AND(Ischemia_singlenet_25percent_ou!B1321,"AAAAAHY/zXo=")</f>
        <v>#VALUE!</v>
      </c>
      <c r="DT16">
        <f>IF(Ischemia_singlenet_25percent_ou!1322:1322,"AAAAAHY/zXs=",0)</f>
        <v>0</v>
      </c>
      <c r="DU16" t="e">
        <f>AND(Ischemia_singlenet_25percent_ou!A1322,"AAAAAHY/zXw=")</f>
        <v>#VALUE!</v>
      </c>
      <c r="DV16" t="e">
        <f>AND(Ischemia_singlenet_25percent_ou!B1322,"AAAAAHY/zX0=")</f>
        <v>#VALUE!</v>
      </c>
      <c r="DW16">
        <f>IF(Ischemia_singlenet_25percent_ou!1323:1323,"AAAAAHY/zX4=",0)</f>
        <v>0</v>
      </c>
      <c r="DX16" t="e">
        <f>AND(Ischemia_singlenet_25percent_ou!A1323,"AAAAAHY/zX8=")</f>
        <v>#VALUE!</v>
      </c>
      <c r="DY16" t="e">
        <f>AND(Ischemia_singlenet_25percent_ou!B1323,"AAAAAHY/zYA=")</f>
        <v>#VALUE!</v>
      </c>
      <c r="DZ16">
        <f>IF(Ischemia_singlenet_25percent_ou!1324:1324,"AAAAAHY/zYE=",0)</f>
        <v>0</v>
      </c>
      <c r="EA16" t="e">
        <f>AND(Ischemia_singlenet_25percent_ou!A1324,"AAAAAHY/zYI=")</f>
        <v>#VALUE!</v>
      </c>
      <c r="EB16" t="e">
        <f>AND(Ischemia_singlenet_25percent_ou!B1324,"AAAAAHY/zYM=")</f>
        <v>#VALUE!</v>
      </c>
      <c r="EC16">
        <f>IF(Ischemia_singlenet_25percent_ou!1325:1325,"AAAAAHY/zYQ=",0)</f>
        <v>0</v>
      </c>
      <c r="ED16" t="e">
        <f>AND(Ischemia_singlenet_25percent_ou!A1325,"AAAAAHY/zYU=")</f>
        <v>#VALUE!</v>
      </c>
      <c r="EE16" t="e">
        <f>AND(Ischemia_singlenet_25percent_ou!B1325,"AAAAAHY/zYY=")</f>
        <v>#VALUE!</v>
      </c>
      <c r="EF16">
        <f>IF(Ischemia_singlenet_25percent_ou!1326:1326,"AAAAAHY/zYc=",0)</f>
        <v>0</v>
      </c>
      <c r="EG16" t="e">
        <f>AND(Ischemia_singlenet_25percent_ou!A1326,"AAAAAHY/zYg=")</f>
        <v>#VALUE!</v>
      </c>
      <c r="EH16" t="e">
        <f>AND(Ischemia_singlenet_25percent_ou!B1326,"AAAAAHY/zYk=")</f>
        <v>#VALUE!</v>
      </c>
      <c r="EI16">
        <f>IF(Ischemia_singlenet_25percent_ou!1327:1327,"AAAAAHY/zYo=",0)</f>
        <v>0</v>
      </c>
      <c r="EJ16" t="e">
        <f>AND(Ischemia_singlenet_25percent_ou!A1327,"AAAAAHY/zYs=")</f>
        <v>#VALUE!</v>
      </c>
      <c r="EK16" t="e">
        <f>AND(Ischemia_singlenet_25percent_ou!B1327,"AAAAAHY/zYw=")</f>
        <v>#VALUE!</v>
      </c>
      <c r="EL16">
        <f>IF(Ischemia_singlenet_25percent_ou!1328:1328,"AAAAAHY/zY0=",0)</f>
        <v>0</v>
      </c>
      <c r="EM16" t="e">
        <f>AND(Ischemia_singlenet_25percent_ou!A1328,"AAAAAHY/zY4=")</f>
        <v>#VALUE!</v>
      </c>
      <c r="EN16" t="e">
        <f>AND(Ischemia_singlenet_25percent_ou!B1328,"AAAAAHY/zY8=")</f>
        <v>#VALUE!</v>
      </c>
      <c r="EO16">
        <f>IF(Ischemia_singlenet_25percent_ou!1329:1329,"AAAAAHY/zZA=",0)</f>
        <v>0</v>
      </c>
      <c r="EP16" t="e">
        <f>AND(Ischemia_singlenet_25percent_ou!A1329,"AAAAAHY/zZE=")</f>
        <v>#VALUE!</v>
      </c>
      <c r="EQ16" t="e">
        <f>AND(Ischemia_singlenet_25percent_ou!B1329,"AAAAAHY/zZI=")</f>
        <v>#VALUE!</v>
      </c>
      <c r="ER16">
        <f>IF(Ischemia_singlenet_25percent_ou!1330:1330,"AAAAAHY/zZM=",0)</f>
        <v>0</v>
      </c>
      <c r="ES16" t="e">
        <f>AND(Ischemia_singlenet_25percent_ou!A1330,"AAAAAHY/zZQ=")</f>
        <v>#VALUE!</v>
      </c>
      <c r="ET16" t="e">
        <f>AND(Ischemia_singlenet_25percent_ou!B1330,"AAAAAHY/zZU=")</f>
        <v>#VALUE!</v>
      </c>
      <c r="EU16">
        <f>IF(Ischemia_singlenet_25percent_ou!1331:1331,"AAAAAHY/zZY=",0)</f>
        <v>0</v>
      </c>
      <c r="EV16" t="e">
        <f>AND(Ischemia_singlenet_25percent_ou!A1331,"AAAAAHY/zZc=")</f>
        <v>#VALUE!</v>
      </c>
      <c r="EW16" t="e">
        <f>AND(Ischemia_singlenet_25percent_ou!B1331,"AAAAAHY/zZg=")</f>
        <v>#VALUE!</v>
      </c>
      <c r="EX16">
        <f>IF(Ischemia_singlenet_25percent_ou!1332:1332,"AAAAAHY/zZk=",0)</f>
        <v>0</v>
      </c>
      <c r="EY16" t="e">
        <f>AND(Ischemia_singlenet_25percent_ou!A1332,"AAAAAHY/zZo=")</f>
        <v>#VALUE!</v>
      </c>
      <c r="EZ16" t="e">
        <f>AND(Ischemia_singlenet_25percent_ou!B1332,"AAAAAHY/zZs=")</f>
        <v>#VALUE!</v>
      </c>
      <c r="FA16">
        <f>IF(Ischemia_singlenet_25percent_ou!1333:1333,"AAAAAHY/zZw=",0)</f>
        <v>0</v>
      </c>
      <c r="FB16" t="e">
        <f>AND(Ischemia_singlenet_25percent_ou!A1333,"AAAAAHY/zZ0=")</f>
        <v>#VALUE!</v>
      </c>
      <c r="FC16" t="e">
        <f>AND(Ischemia_singlenet_25percent_ou!B1333,"AAAAAHY/zZ4=")</f>
        <v>#VALUE!</v>
      </c>
      <c r="FD16">
        <f>IF(Ischemia_singlenet_25percent_ou!1334:1334,"AAAAAHY/zZ8=",0)</f>
        <v>0</v>
      </c>
      <c r="FE16" t="e">
        <f>AND(Ischemia_singlenet_25percent_ou!A1334,"AAAAAHY/zaA=")</f>
        <v>#VALUE!</v>
      </c>
      <c r="FF16" t="e">
        <f>AND(Ischemia_singlenet_25percent_ou!B1334,"AAAAAHY/zaE=")</f>
        <v>#VALUE!</v>
      </c>
      <c r="FG16">
        <f>IF(Ischemia_singlenet_25percent_ou!1335:1335,"AAAAAHY/zaI=",0)</f>
        <v>0</v>
      </c>
      <c r="FH16" t="e">
        <f>AND(Ischemia_singlenet_25percent_ou!A1335,"AAAAAHY/zaM=")</f>
        <v>#VALUE!</v>
      </c>
      <c r="FI16" t="e">
        <f>AND(Ischemia_singlenet_25percent_ou!B1335,"AAAAAHY/zaQ=")</f>
        <v>#VALUE!</v>
      </c>
      <c r="FJ16">
        <f>IF(Ischemia_singlenet_25percent_ou!1336:1336,"AAAAAHY/zaU=",0)</f>
        <v>0</v>
      </c>
      <c r="FK16" t="e">
        <f>AND(Ischemia_singlenet_25percent_ou!A1336,"AAAAAHY/zaY=")</f>
        <v>#VALUE!</v>
      </c>
      <c r="FL16" t="e">
        <f>AND(Ischemia_singlenet_25percent_ou!B1336,"AAAAAHY/zac=")</f>
        <v>#VALUE!</v>
      </c>
      <c r="FM16">
        <f>IF(Ischemia_singlenet_25percent_ou!1337:1337,"AAAAAHY/zag=",0)</f>
        <v>0</v>
      </c>
      <c r="FN16" t="e">
        <f>AND(Ischemia_singlenet_25percent_ou!A1337,"AAAAAHY/zak=")</f>
        <v>#VALUE!</v>
      </c>
      <c r="FO16" t="e">
        <f>AND(Ischemia_singlenet_25percent_ou!B1337,"AAAAAHY/zao=")</f>
        <v>#VALUE!</v>
      </c>
      <c r="FP16">
        <f>IF(Ischemia_singlenet_25percent_ou!1338:1338,"AAAAAHY/zas=",0)</f>
        <v>0</v>
      </c>
      <c r="FQ16" t="e">
        <f>AND(Ischemia_singlenet_25percent_ou!A1338,"AAAAAHY/zaw=")</f>
        <v>#VALUE!</v>
      </c>
      <c r="FR16" t="e">
        <f>AND(Ischemia_singlenet_25percent_ou!B1338,"AAAAAHY/za0=")</f>
        <v>#VALUE!</v>
      </c>
      <c r="FS16">
        <f>IF(Ischemia_singlenet_25percent_ou!1339:1339,"AAAAAHY/za4=",0)</f>
        <v>0</v>
      </c>
      <c r="FT16" t="e">
        <f>AND(Ischemia_singlenet_25percent_ou!A1339,"AAAAAHY/za8=")</f>
        <v>#VALUE!</v>
      </c>
      <c r="FU16" t="e">
        <f>AND(Ischemia_singlenet_25percent_ou!B1339,"AAAAAHY/zbA=")</f>
        <v>#VALUE!</v>
      </c>
      <c r="FV16">
        <f>IF(Ischemia_singlenet_25percent_ou!1340:1340,"AAAAAHY/zbE=",0)</f>
        <v>0</v>
      </c>
      <c r="FW16" t="e">
        <f>AND(Ischemia_singlenet_25percent_ou!A1340,"AAAAAHY/zbI=")</f>
        <v>#VALUE!</v>
      </c>
      <c r="FX16" t="e">
        <f>AND(Ischemia_singlenet_25percent_ou!B1340,"AAAAAHY/zbM=")</f>
        <v>#VALUE!</v>
      </c>
      <c r="FY16">
        <f>IF(Ischemia_singlenet_25percent_ou!1341:1341,"AAAAAHY/zbQ=",0)</f>
        <v>0</v>
      </c>
      <c r="FZ16" t="e">
        <f>AND(Ischemia_singlenet_25percent_ou!A1341,"AAAAAHY/zbU=")</f>
        <v>#VALUE!</v>
      </c>
      <c r="GA16" t="e">
        <f>AND(Ischemia_singlenet_25percent_ou!B1341,"AAAAAHY/zbY=")</f>
        <v>#VALUE!</v>
      </c>
      <c r="GB16">
        <f>IF(Ischemia_singlenet_25percent_ou!1342:1342,"AAAAAHY/zbc=",0)</f>
        <v>0</v>
      </c>
      <c r="GC16" t="e">
        <f>AND(Ischemia_singlenet_25percent_ou!A1342,"AAAAAHY/zbg=")</f>
        <v>#VALUE!</v>
      </c>
      <c r="GD16" t="e">
        <f>AND(Ischemia_singlenet_25percent_ou!B1342,"AAAAAHY/zbk=")</f>
        <v>#VALUE!</v>
      </c>
      <c r="GE16">
        <f>IF(Ischemia_singlenet_25percent_ou!1343:1343,"AAAAAHY/zbo=",0)</f>
        <v>0</v>
      </c>
      <c r="GF16" t="e">
        <f>AND(Ischemia_singlenet_25percent_ou!A1343,"AAAAAHY/zbs=")</f>
        <v>#VALUE!</v>
      </c>
      <c r="GG16" t="e">
        <f>AND(Ischemia_singlenet_25percent_ou!B1343,"AAAAAHY/zbw=")</f>
        <v>#VALUE!</v>
      </c>
      <c r="GH16">
        <f>IF(Ischemia_singlenet_25percent_ou!1344:1344,"AAAAAHY/zb0=",0)</f>
        <v>0</v>
      </c>
      <c r="GI16" t="e">
        <f>AND(Ischemia_singlenet_25percent_ou!A1344,"AAAAAHY/zb4=")</f>
        <v>#VALUE!</v>
      </c>
      <c r="GJ16" t="e">
        <f>AND(Ischemia_singlenet_25percent_ou!B1344,"AAAAAHY/zb8=")</f>
        <v>#VALUE!</v>
      </c>
      <c r="GK16">
        <f>IF(Ischemia_singlenet_25percent_ou!1345:1345,"AAAAAHY/zcA=",0)</f>
        <v>0</v>
      </c>
      <c r="GL16" t="e">
        <f>AND(Ischemia_singlenet_25percent_ou!A1345,"AAAAAHY/zcE=")</f>
        <v>#VALUE!</v>
      </c>
      <c r="GM16" t="e">
        <f>AND(Ischemia_singlenet_25percent_ou!B1345,"AAAAAHY/zcI=")</f>
        <v>#VALUE!</v>
      </c>
      <c r="GN16">
        <f>IF(Ischemia_singlenet_25percent_ou!1346:1346,"AAAAAHY/zcM=",0)</f>
        <v>0</v>
      </c>
      <c r="GO16" t="e">
        <f>AND(Ischemia_singlenet_25percent_ou!A1346,"AAAAAHY/zcQ=")</f>
        <v>#VALUE!</v>
      </c>
      <c r="GP16" t="e">
        <f>AND(Ischemia_singlenet_25percent_ou!B1346,"AAAAAHY/zcU=")</f>
        <v>#VALUE!</v>
      </c>
      <c r="GQ16">
        <f>IF(Ischemia_singlenet_25percent_ou!1347:1347,"AAAAAHY/zcY=",0)</f>
        <v>0</v>
      </c>
      <c r="GR16" t="e">
        <f>AND(Ischemia_singlenet_25percent_ou!A1347,"AAAAAHY/zcc=")</f>
        <v>#VALUE!</v>
      </c>
      <c r="GS16" t="e">
        <f>AND(Ischemia_singlenet_25percent_ou!B1347,"AAAAAHY/zcg=")</f>
        <v>#VALUE!</v>
      </c>
      <c r="GT16">
        <f>IF(Ischemia_singlenet_25percent_ou!1348:1348,"AAAAAHY/zck=",0)</f>
        <v>0</v>
      </c>
      <c r="GU16" t="e">
        <f>AND(Ischemia_singlenet_25percent_ou!A1348,"AAAAAHY/zco=")</f>
        <v>#VALUE!</v>
      </c>
      <c r="GV16" t="e">
        <f>AND(Ischemia_singlenet_25percent_ou!B1348,"AAAAAHY/zcs=")</f>
        <v>#VALUE!</v>
      </c>
      <c r="GW16">
        <f>IF(Ischemia_singlenet_25percent_ou!1349:1349,"AAAAAHY/zcw=",0)</f>
        <v>0</v>
      </c>
      <c r="GX16" t="e">
        <f>AND(Ischemia_singlenet_25percent_ou!A1349,"AAAAAHY/zc0=")</f>
        <v>#VALUE!</v>
      </c>
      <c r="GY16" t="e">
        <f>AND(Ischemia_singlenet_25percent_ou!B1349,"AAAAAHY/zc4=")</f>
        <v>#VALUE!</v>
      </c>
      <c r="GZ16">
        <f>IF(Ischemia_singlenet_25percent_ou!1350:1350,"AAAAAHY/zc8=",0)</f>
        <v>0</v>
      </c>
      <c r="HA16" t="e">
        <f>AND(Ischemia_singlenet_25percent_ou!A1350,"AAAAAHY/zdA=")</f>
        <v>#VALUE!</v>
      </c>
      <c r="HB16" t="e">
        <f>AND(Ischemia_singlenet_25percent_ou!B1350,"AAAAAHY/zdE=")</f>
        <v>#VALUE!</v>
      </c>
      <c r="HC16">
        <f>IF(Ischemia_singlenet_25percent_ou!1351:1351,"AAAAAHY/zdI=",0)</f>
        <v>0</v>
      </c>
      <c r="HD16" t="e">
        <f>AND(Ischemia_singlenet_25percent_ou!A1351,"AAAAAHY/zdM=")</f>
        <v>#VALUE!</v>
      </c>
      <c r="HE16" t="e">
        <f>AND(Ischemia_singlenet_25percent_ou!B1351,"AAAAAHY/zdQ=")</f>
        <v>#VALUE!</v>
      </c>
      <c r="HF16">
        <f>IF(Ischemia_singlenet_25percent_ou!1352:1352,"AAAAAHY/zdU=",0)</f>
        <v>0</v>
      </c>
      <c r="HG16" t="e">
        <f>AND(Ischemia_singlenet_25percent_ou!A1352,"AAAAAHY/zdY=")</f>
        <v>#VALUE!</v>
      </c>
      <c r="HH16" t="e">
        <f>AND(Ischemia_singlenet_25percent_ou!B1352,"AAAAAHY/zdc=")</f>
        <v>#VALUE!</v>
      </c>
      <c r="HI16">
        <f>IF(Ischemia_singlenet_25percent_ou!1353:1353,"AAAAAHY/zdg=",0)</f>
        <v>0</v>
      </c>
      <c r="HJ16" t="e">
        <f>AND(Ischemia_singlenet_25percent_ou!A1353,"AAAAAHY/zdk=")</f>
        <v>#VALUE!</v>
      </c>
      <c r="HK16" t="e">
        <f>AND(Ischemia_singlenet_25percent_ou!B1353,"AAAAAHY/zdo=")</f>
        <v>#VALUE!</v>
      </c>
      <c r="HL16">
        <f>IF(Ischemia_singlenet_25percent_ou!1354:1354,"AAAAAHY/zds=",0)</f>
        <v>0</v>
      </c>
      <c r="HM16" t="e">
        <f>AND(Ischemia_singlenet_25percent_ou!A1354,"AAAAAHY/zdw=")</f>
        <v>#VALUE!</v>
      </c>
      <c r="HN16" t="e">
        <f>AND(Ischemia_singlenet_25percent_ou!B1354,"AAAAAHY/zd0=")</f>
        <v>#VALUE!</v>
      </c>
      <c r="HO16">
        <f>IF(Ischemia_singlenet_25percent_ou!1355:1355,"AAAAAHY/zd4=",0)</f>
        <v>0</v>
      </c>
      <c r="HP16" t="e">
        <f>AND(Ischemia_singlenet_25percent_ou!A1355,"AAAAAHY/zd8=")</f>
        <v>#VALUE!</v>
      </c>
      <c r="HQ16" t="e">
        <f>AND(Ischemia_singlenet_25percent_ou!B1355,"AAAAAHY/zeA=")</f>
        <v>#VALUE!</v>
      </c>
      <c r="HR16">
        <f>IF(Ischemia_singlenet_25percent_ou!1356:1356,"AAAAAHY/zeE=",0)</f>
        <v>0</v>
      </c>
      <c r="HS16" t="e">
        <f>AND(Ischemia_singlenet_25percent_ou!A1356,"AAAAAHY/zeI=")</f>
        <v>#VALUE!</v>
      </c>
      <c r="HT16" t="e">
        <f>AND(Ischemia_singlenet_25percent_ou!B1356,"AAAAAHY/zeM=")</f>
        <v>#VALUE!</v>
      </c>
      <c r="HU16">
        <f>IF(Ischemia_singlenet_25percent_ou!1357:1357,"AAAAAHY/zeQ=",0)</f>
        <v>0</v>
      </c>
      <c r="HV16" t="e">
        <f>AND(Ischemia_singlenet_25percent_ou!A1357,"AAAAAHY/zeU=")</f>
        <v>#VALUE!</v>
      </c>
      <c r="HW16" t="e">
        <f>AND(Ischemia_singlenet_25percent_ou!B1357,"AAAAAHY/zeY=")</f>
        <v>#VALUE!</v>
      </c>
      <c r="HX16">
        <f>IF(Ischemia_singlenet_25percent_ou!1358:1358,"AAAAAHY/zec=",0)</f>
        <v>0</v>
      </c>
      <c r="HY16" t="e">
        <f>AND(Ischemia_singlenet_25percent_ou!A1358,"AAAAAHY/zeg=")</f>
        <v>#VALUE!</v>
      </c>
      <c r="HZ16" t="e">
        <f>AND(Ischemia_singlenet_25percent_ou!B1358,"AAAAAHY/zek=")</f>
        <v>#VALUE!</v>
      </c>
      <c r="IA16">
        <f>IF(Ischemia_singlenet_25percent_ou!1359:1359,"AAAAAHY/zeo=",0)</f>
        <v>0</v>
      </c>
      <c r="IB16" t="e">
        <f>AND(Ischemia_singlenet_25percent_ou!A1359,"AAAAAHY/zes=")</f>
        <v>#VALUE!</v>
      </c>
      <c r="IC16" t="e">
        <f>AND(Ischemia_singlenet_25percent_ou!B1359,"AAAAAHY/zew=")</f>
        <v>#VALUE!</v>
      </c>
      <c r="ID16">
        <f>IF(Ischemia_singlenet_25percent_ou!1360:1360,"AAAAAHY/ze0=",0)</f>
        <v>0</v>
      </c>
      <c r="IE16" t="e">
        <f>AND(Ischemia_singlenet_25percent_ou!A1360,"AAAAAHY/ze4=")</f>
        <v>#VALUE!</v>
      </c>
      <c r="IF16" t="e">
        <f>AND(Ischemia_singlenet_25percent_ou!B1360,"AAAAAHY/ze8=")</f>
        <v>#VALUE!</v>
      </c>
      <c r="IG16">
        <f>IF(Ischemia_singlenet_25percent_ou!1361:1361,"AAAAAHY/zfA=",0)</f>
        <v>0</v>
      </c>
      <c r="IH16" t="e">
        <f>AND(Ischemia_singlenet_25percent_ou!A1361,"AAAAAHY/zfE=")</f>
        <v>#VALUE!</v>
      </c>
      <c r="II16" t="e">
        <f>AND(Ischemia_singlenet_25percent_ou!B1361,"AAAAAHY/zfI=")</f>
        <v>#VALUE!</v>
      </c>
      <c r="IJ16">
        <f>IF(Ischemia_singlenet_25percent_ou!1362:1362,"AAAAAHY/zfM=",0)</f>
        <v>0</v>
      </c>
      <c r="IK16" t="e">
        <f>AND(Ischemia_singlenet_25percent_ou!A1362,"AAAAAHY/zfQ=")</f>
        <v>#VALUE!</v>
      </c>
      <c r="IL16" t="e">
        <f>AND(Ischemia_singlenet_25percent_ou!B1362,"AAAAAHY/zfU=")</f>
        <v>#VALUE!</v>
      </c>
      <c r="IM16">
        <f>IF(Ischemia_singlenet_25percent_ou!1363:1363,"AAAAAHY/zfY=",0)</f>
        <v>0</v>
      </c>
      <c r="IN16" t="e">
        <f>AND(Ischemia_singlenet_25percent_ou!A1363,"AAAAAHY/zfc=")</f>
        <v>#VALUE!</v>
      </c>
      <c r="IO16" t="e">
        <f>AND(Ischemia_singlenet_25percent_ou!B1363,"AAAAAHY/zfg=")</f>
        <v>#VALUE!</v>
      </c>
      <c r="IP16">
        <f>IF(Ischemia_singlenet_25percent_ou!1364:1364,"AAAAAHY/zfk=",0)</f>
        <v>0</v>
      </c>
      <c r="IQ16" t="e">
        <f>AND(Ischemia_singlenet_25percent_ou!A1364,"AAAAAHY/zfo=")</f>
        <v>#VALUE!</v>
      </c>
      <c r="IR16" t="e">
        <f>AND(Ischemia_singlenet_25percent_ou!B1364,"AAAAAHY/zfs=")</f>
        <v>#VALUE!</v>
      </c>
      <c r="IS16">
        <f>IF(Ischemia_singlenet_25percent_ou!1365:1365,"AAAAAHY/zfw=",0)</f>
        <v>0</v>
      </c>
      <c r="IT16" t="e">
        <f>AND(Ischemia_singlenet_25percent_ou!A1365,"AAAAAHY/zf0=")</f>
        <v>#VALUE!</v>
      </c>
      <c r="IU16" t="e">
        <f>AND(Ischemia_singlenet_25percent_ou!B1365,"AAAAAHY/zf4=")</f>
        <v>#VALUE!</v>
      </c>
      <c r="IV16">
        <f>IF(Ischemia_singlenet_25percent_ou!1366:1366,"AAAAAHY/zf8=",0)</f>
        <v>0</v>
      </c>
    </row>
    <row r="17" spans="1:256">
      <c r="A17" t="e">
        <f>AND(Ischemia_singlenet_25percent_ou!A1366,"AAAAAHn/yQA=")</f>
        <v>#VALUE!</v>
      </c>
      <c r="B17" t="e">
        <f>AND(Ischemia_singlenet_25percent_ou!B1366,"AAAAAHn/yQE=")</f>
        <v>#VALUE!</v>
      </c>
      <c r="C17">
        <f>IF(Ischemia_singlenet_25percent_ou!1367:1367,"AAAAAHn/yQI=",0)</f>
        <v>0</v>
      </c>
      <c r="D17" t="e">
        <f>AND(Ischemia_singlenet_25percent_ou!A1367,"AAAAAHn/yQM=")</f>
        <v>#VALUE!</v>
      </c>
      <c r="E17" t="e">
        <f>AND(Ischemia_singlenet_25percent_ou!B1367,"AAAAAHn/yQQ=")</f>
        <v>#VALUE!</v>
      </c>
      <c r="F17">
        <f>IF(Ischemia_singlenet_25percent_ou!1368:1368,"AAAAAHn/yQU=",0)</f>
        <v>0</v>
      </c>
      <c r="G17" t="e">
        <f>AND(Ischemia_singlenet_25percent_ou!A1368,"AAAAAHn/yQY=")</f>
        <v>#VALUE!</v>
      </c>
      <c r="H17" t="e">
        <f>AND(Ischemia_singlenet_25percent_ou!B1368,"AAAAAHn/yQc=")</f>
        <v>#VALUE!</v>
      </c>
      <c r="I17">
        <f>IF(Ischemia_singlenet_25percent_ou!1369:1369,"AAAAAHn/yQg=",0)</f>
        <v>0</v>
      </c>
      <c r="J17" t="e">
        <f>AND(Ischemia_singlenet_25percent_ou!A1369,"AAAAAHn/yQk=")</f>
        <v>#VALUE!</v>
      </c>
      <c r="K17" t="e">
        <f>AND(Ischemia_singlenet_25percent_ou!B1369,"AAAAAHn/yQo=")</f>
        <v>#VALUE!</v>
      </c>
      <c r="L17">
        <f>IF(Ischemia_singlenet_25percent_ou!1370:1370,"AAAAAHn/yQs=",0)</f>
        <v>0</v>
      </c>
      <c r="M17" t="e">
        <f>AND(Ischemia_singlenet_25percent_ou!A1370,"AAAAAHn/yQw=")</f>
        <v>#VALUE!</v>
      </c>
      <c r="N17" t="e">
        <f>AND(Ischemia_singlenet_25percent_ou!B1370,"AAAAAHn/yQ0=")</f>
        <v>#VALUE!</v>
      </c>
      <c r="O17">
        <f>IF(Ischemia_singlenet_25percent_ou!1371:1371,"AAAAAHn/yQ4=",0)</f>
        <v>0</v>
      </c>
      <c r="P17" t="e">
        <f>AND(Ischemia_singlenet_25percent_ou!A1371,"AAAAAHn/yQ8=")</f>
        <v>#VALUE!</v>
      </c>
      <c r="Q17" t="e">
        <f>AND(Ischemia_singlenet_25percent_ou!B1371,"AAAAAHn/yRA=")</f>
        <v>#VALUE!</v>
      </c>
      <c r="R17">
        <f>IF(Ischemia_singlenet_25percent_ou!1372:1372,"AAAAAHn/yRE=",0)</f>
        <v>0</v>
      </c>
      <c r="S17" t="e">
        <f>AND(Ischemia_singlenet_25percent_ou!A1372,"AAAAAHn/yRI=")</f>
        <v>#VALUE!</v>
      </c>
      <c r="T17" t="e">
        <f>AND(Ischemia_singlenet_25percent_ou!B1372,"AAAAAHn/yRM=")</f>
        <v>#VALUE!</v>
      </c>
      <c r="U17">
        <f>IF(Ischemia_singlenet_25percent_ou!1373:1373,"AAAAAHn/yRQ=",0)</f>
        <v>0</v>
      </c>
      <c r="V17" t="e">
        <f>AND(Ischemia_singlenet_25percent_ou!A1373,"AAAAAHn/yRU=")</f>
        <v>#VALUE!</v>
      </c>
      <c r="W17" t="e">
        <f>AND(Ischemia_singlenet_25percent_ou!B1373,"AAAAAHn/yRY=")</f>
        <v>#VALUE!</v>
      </c>
      <c r="X17">
        <f>IF(Ischemia_singlenet_25percent_ou!1374:1374,"AAAAAHn/yRc=",0)</f>
        <v>0</v>
      </c>
      <c r="Y17" t="e">
        <f>AND(Ischemia_singlenet_25percent_ou!A1374,"AAAAAHn/yRg=")</f>
        <v>#VALUE!</v>
      </c>
      <c r="Z17" t="e">
        <f>AND(Ischemia_singlenet_25percent_ou!B1374,"AAAAAHn/yRk=")</f>
        <v>#VALUE!</v>
      </c>
      <c r="AA17">
        <f>IF(Ischemia_singlenet_25percent_ou!1375:1375,"AAAAAHn/yRo=",0)</f>
        <v>0</v>
      </c>
      <c r="AB17" t="e">
        <f>AND(Ischemia_singlenet_25percent_ou!A1375,"AAAAAHn/yRs=")</f>
        <v>#VALUE!</v>
      </c>
      <c r="AC17" t="e">
        <f>AND(Ischemia_singlenet_25percent_ou!B1375,"AAAAAHn/yRw=")</f>
        <v>#VALUE!</v>
      </c>
      <c r="AD17">
        <f>IF(Ischemia_singlenet_25percent_ou!1376:1376,"AAAAAHn/yR0=",0)</f>
        <v>0</v>
      </c>
      <c r="AE17" t="e">
        <f>AND(Ischemia_singlenet_25percent_ou!A1376,"AAAAAHn/yR4=")</f>
        <v>#VALUE!</v>
      </c>
      <c r="AF17" t="e">
        <f>AND(Ischemia_singlenet_25percent_ou!B1376,"AAAAAHn/yR8=")</f>
        <v>#VALUE!</v>
      </c>
      <c r="AG17">
        <f>IF(Ischemia_singlenet_25percent_ou!1377:1377,"AAAAAHn/ySA=",0)</f>
        <v>0</v>
      </c>
      <c r="AH17" t="e">
        <f>AND(Ischemia_singlenet_25percent_ou!A1377,"AAAAAHn/ySE=")</f>
        <v>#VALUE!</v>
      </c>
      <c r="AI17" t="e">
        <f>AND(Ischemia_singlenet_25percent_ou!B1377,"AAAAAHn/ySI=")</f>
        <v>#VALUE!</v>
      </c>
      <c r="AJ17">
        <f>IF(Ischemia_singlenet_25percent_ou!1378:1378,"AAAAAHn/ySM=",0)</f>
        <v>0</v>
      </c>
      <c r="AK17" t="e">
        <f>AND(Ischemia_singlenet_25percent_ou!A1378,"AAAAAHn/ySQ=")</f>
        <v>#VALUE!</v>
      </c>
      <c r="AL17" t="e">
        <f>AND(Ischemia_singlenet_25percent_ou!B1378,"AAAAAHn/ySU=")</f>
        <v>#VALUE!</v>
      </c>
      <c r="AM17">
        <f>IF(Ischemia_singlenet_25percent_ou!1379:1379,"AAAAAHn/ySY=",0)</f>
        <v>0</v>
      </c>
      <c r="AN17" t="e">
        <f>AND(Ischemia_singlenet_25percent_ou!A1379,"AAAAAHn/ySc=")</f>
        <v>#VALUE!</v>
      </c>
      <c r="AO17" t="e">
        <f>AND(Ischemia_singlenet_25percent_ou!B1379,"AAAAAHn/ySg=")</f>
        <v>#VALUE!</v>
      </c>
      <c r="AP17">
        <f>IF(Ischemia_singlenet_25percent_ou!1380:1380,"AAAAAHn/ySk=",0)</f>
        <v>0</v>
      </c>
      <c r="AQ17" t="e">
        <f>AND(Ischemia_singlenet_25percent_ou!A1380,"AAAAAHn/ySo=")</f>
        <v>#VALUE!</v>
      </c>
      <c r="AR17" t="e">
        <f>AND(Ischemia_singlenet_25percent_ou!B1380,"AAAAAHn/ySs=")</f>
        <v>#VALUE!</v>
      </c>
      <c r="AS17">
        <f>IF(Ischemia_singlenet_25percent_ou!1381:1381,"AAAAAHn/ySw=",0)</f>
        <v>0</v>
      </c>
      <c r="AT17" t="e">
        <f>AND(Ischemia_singlenet_25percent_ou!A1381,"AAAAAHn/yS0=")</f>
        <v>#VALUE!</v>
      </c>
      <c r="AU17" t="e">
        <f>AND(Ischemia_singlenet_25percent_ou!B1381,"AAAAAHn/yS4=")</f>
        <v>#VALUE!</v>
      </c>
      <c r="AV17">
        <f>IF(Ischemia_singlenet_25percent_ou!1382:1382,"AAAAAHn/yS8=",0)</f>
        <v>0</v>
      </c>
      <c r="AW17" t="e">
        <f>AND(Ischemia_singlenet_25percent_ou!A1382,"AAAAAHn/yTA=")</f>
        <v>#VALUE!</v>
      </c>
      <c r="AX17" t="e">
        <f>AND(Ischemia_singlenet_25percent_ou!B1382,"AAAAAHn/yTE=")</f>
        <v>#VALUE!</v>
      </c>
      <c r="AY17">
        <f>IF(Ischemia_singlenet_25percent_ou!1383:1383,"AAAAAHn/yTI=",0)</f>
        <v>0</v>
      </c>
      <c r="AZ17" t="e">
        <f>AND(Ischemia_singlenet_25percent_ou!A1383,"AAAAAHn/yTM=")</f>
        <v>#VALUE!</v>
      </c>
      <c r="BA17" t="e">
        <f>AND(Ischemia_singlenet_25percent_ou!B1383,"AAAAAHn/yTQ=")</f>
        <v>#VALUE!</v>
      </c>
      <c r="BB17">
        <f>IF(Ischemia_singlenet_25percent_ou!1384:1384,"AAAAAHn/yTU=",0)</f>
        <v>0</v>
      </c>
      <c r="BC17" t="e">
        <f>AND(Ischemia_singlenet_25percent_ou!A1384,"AAAAAHn/yTY=")</f>
        <v>#VALUE!</v>
      </c>
      <c r="BD17" t="e">
        <f>AND(Ischemia_singlenet_25percent_ou!B1384,"AAAAAHn/yTc=")</f>
        <v>#VALUE!</v>
      </c>
      <c r="BE17">
        <f>IF(Ischemia_singlenet_25percent_ou!1385:1385,"AAAAAHn/yTg=",0)</f>
        <v>0</v>
      </c>
      <c r="BF17" t="e">
        <f>AND(Ischemia_singlenet_25percent_ou!A1385,"AAAAAHn/yTk=")</f>
        <v>#VALUE!</v>
      </c>
      <c r="BG17" t="e">
        <f>AND(Ischemia_singlenet_25percent_ou!B1385,"AAAAAHn/yTo=")</f>
        <v>#VALUE!</v>
      </c>
      <c r="BH17">
        <f>IF(Ischemia_singlenet_25percent_ou!1386:1386,"AAAAAHn/yTs=",0)</f>
        <v>0</v>
      </c>
      <c r="BI17" t="e">
        <f>AND(Ischemia_singlenet_25percent_ou!A1386,"AAAAAHn/yTw=")</f>
        <v>#VALUE!</v>
      </c>
      <c r="BJ17" t="e">
        <f>AND(Ischemia_singlenet_25percent_ou!B1386,"AAAAAHn/yT0=")</f>
        <v>#VALUE!</v>
      </c>
      <c r="BK17">
        <f>IF(Ischemia_singlenet_25percent_ou!1387:1387,"AAAAAHn/yT4=",0)</f>
        <v>0</v>
      </c>
      <c r="BL17" t="e">
        <f>AND(Ischemia_singlenet_25percent_ou!A1387,"AAAAAHn/yT8=")</f>
        <v>#VALUE!</v>
      </c>
      <c r="BM17" t="e">
        <f>AND(Ischemia_singlenet_25percent_ou!B1387,"AAAAAHn/yUA=")</f>
        <v>#VALUE!</v>
      </c>
      <c r="BN17">
        <f>IF(Ischemia_singlenet_25percent_ou!1388:1388,"AAAAAHn/yUE=",0)</f>
        <v>0</v>
      </c>
      <c r="BO17" t="e">
        <f>AND(Ischemia_singlenet_25percent_ou!A1388,"AAAAAHn/yUI=")</f>
        <v>#VALUE!</v>
      </c>
      <c r="BP17" t="e">
        <f>AND(Ischemia_singlenet_25percent_ou!B1388,"AAAAAHn/yUM=")</f>
        <v>#VALUE!</v>
      </c>
      <c r="BQ17">
        <f>IF(Ischemia_singlenet_25percent_ou!1389:1389,"AAAAAHn/yUQ=",0)</f>
        <v>0</v>
      </c>
      <c r="BR17" t="e">
        <f>AND(Ischemia_singlenet_25percent_ou!A1389,"AAAAAHn/yUU=")</f>
        <v>#VALUE!</v>
      </c>
      <c r="BS17" t="e">
        <f>AND(Ischemia_singlenet_25percent_ou!B1389,"AAAAAHn/yUY=")</f>
        <v>#VALUE!</v>
      </c>
      <c r="BT17">
        <f>IF(Ischemia_singlenet_25percent_ou!1390:1390,"AAAAAHn/yUc=",0)</f>
        <v>0</v>
      </c>
      <c r="BU17" t="e">
        <f>AND(Ischemia_singlenet_25percent_ou!A1390,"AAAAAHn/yUg=")</f>
        <v>#VALUE!</v>
      </c>
      <c r="BV17" t="e">
        <f>AND(Ischemia_singlenet_25percent_ou!B1390,"AAAAAHn/yUk=")</f>
        <v>#VALUE!</v>
      </c>
      <c r="BW17">
        <f>IF(Ischemia_singlenet_25percent_ou!1391:1391,"AAAAAHn/yUo=",0)</f>
        <v>0</v>
      </c>
      <c r="BX17" t="e">
        <f>AND(Ischemia_singlenet_25percent_ou!A1391,"AAAAAHn/yUs=")</f>
        <v>#VALUE!</v>
      </c>
      <c r="BY17" t="e">
        <f>AND(Ischemia_singlenet_25percent_ou!B1391,"AAAAAHn/yUw=")</f>
        <v>#VALUE!</v>
      </c>
      <c r="BZ17">
        <f>IF(Ischemia_singlenet_25percent_ou!1392:1392,"AAAAAHn/yU0=",0)</f>
        <v>0</v>
      </c>
      <c r="CA17" t="e">
        <f>AND(Ischemia_singlenet_25percent_ou!A1392,"AAAAAHn/yU4=")</f>
        <v>#VALUE!</v>
      </c>
      <c r="CB17" t="e">
        <f>AND(Ischemia_singlenet_25percent_ou!B1392,"AAAAAHn/yU8=")</f>
        <v>#VALUE!</v>
      </c>
      <c r="CC17">
        <f>IF(Ischemia_singlenet_25percent_ou!1393:1393,"AAAAAHn/yVA=",0)</f>
        <v>0</v>
      </c>
      <c r="CD17" t="e">
        <f>AND(Ischemia_singlenet_25percent_ou!A1393,"AAAAAHn/yVE=")</f>
        <v>#VALUE!</v>
      </c>
      <c r="CE17" t="e">
        <f>AND(Ischemia_singlenet_25percent_ou!B1393,"AAAAAHn/yVI=")</f>
        <v>#VALUE!</v>
      </c>
      <c r="CF17">
        <f>IF(Ischemia_singlenet_25percent_ou!1394:1394,"AAAAAHn/yVM=",0)</f>
        <v>0</v>
      </c>
      <c r="CG17" t="e">
        <f>AND(Ischemia_singlenet_25percent_ou!A1394,"AAAAAHn/yVQ=")</f>
        <v>#VALUE!</v>
      </c>
      <c r="CH17" t="e">
        <f>AND(Ischemia_singlenet_25percent_ou!B1394,"AAAAAHn/yVU=")</f>
        <v>#VALUE!</v>
      </c>
      <c r="CI17">
        <f>IF(Ischemia_singlenet_25percent_ou!1395:1395,"AAAAAHn/yVY=",0)</f>
        <v>0</v>
      </c>
      <c r="CJ17" t="e">
        <f>AND(Ischemia_singlenet_25percent_ou!A1395,"AAAAAHn/yVc=")</f>
        <v>#VALUE!</v>
      </c>
      <c r="CK17" t="e">
        <f>AND(Ischemia_singlenet_25percent_ou!B1395,"AAAAAHn/yVg=")</f>
        <v>#VALUE!</v>
      </c>
      <c r="CL17">
        <f>IF(Ischemia_singlenet_25percent_ou!1396:1396,"AAAAAHn/yVk=",0)</f>
        <v>0</v>
      </c>
      <c r="CM17" t="e">
        <f>AND(Ischemia_singlenet_25percent_ou!A1396,"AAAAAHn/yVo=")</f>
        <v>#VALUE!</v>
      </c>
      <c r="CN17" t="e">
        <f>AND(Ischemia_singlenet_25percent_ou!B1396,"AAAAAHn/yVs=")</f>
        <v>#VALUE!</v>
      </c>
      <c r="CO17">
        <f>IF(Ischemia_singlenet_25percent_ou!1397:1397,"AAAAAHn/yVw=",0)</f>
        <v>0</v>
      </c>
      <c r="CP17" t="e">
        <f>AND(Ischemia_singlenet_25percent_ou!A1397,"AAAAAHn/yV0=")</f>
        <v>#VALUE!</v>
      </c>
      <c r="CQ17" t="e">
        <f>AND(Ischemia_singlenet_25percent_ou!B1397,"AAAAAHn/yV4=")</f>
        <v>#VALUE!</v>
      </c>
      <c r="CR17">
        <f>IF(Ischemia_singlenet_25percent_ou!1398:1398,"AAAAAHn/yV8=",0)</f>
        <v>0</v>
      </c>
      <c r="CS17" t="e">
        <f>AND(Ischemia_singlenet_25percent_ou!A1398,"AAAAAHn/yWA=")</f>
        <v>#VALUE!</v>
      </c>
      <c r="CT17" t="e">
        <f>AND(Ischemia_singlenet_25percent_ou!B1398,"AAAAAHn/yWE=")</f>
        <v>#VALUE!</v>
      </c>
      <c r="CU17">
        <f>IF(Ischemia_singlenet_25percent_ou!1399:1399,"AAAAAHn/yWI=",0)</f>
        <v>0</v>
      </c>
      <c r="CV17" t="e">
        <f>AND(Ischemia_singlenet_25percent_ou!A1399,"AAAAAHn/yWM=")</f>
        <v>#VALUE!</v>
      </c>
      <c r="CW17" t="e">
        <f>AND(Ischemia_singlenet_25percent_ou!B1399,"AAAAAHn/yWQ=")</f>
        <v>#VALUE!</v>
      </c>
      <c r="CX17">
        <f>IF(Ischemia_singlenet_25percent_ou!1400:1400,"AAAAAHn/yWU=",0)</f>
        <v>0</v>
      </c>
      <c r="CY17" t="e">
        <f>AND(Ischemia_singlenet_25percent_ou!A1400,"AAAAAHn/yWY=")</f>
        <v>#VALUE!</v>
      </c>
      <c r="CZ17" t="e">
        <f>AND(Ischemia_singlenet_25percent_ou!B1400,"AAAAAHn/yWc=")</f>
        <v>#VALUE!</v>
      </c>
      <c r="DA17">
        <f>IF(Ischemia_singlenet_25percent_ou!1401:1401,"AAAAAHn/yWg=",0)</f>
        <v>0</v>
      </c>
      <c r="DB17" t="e">
        <f>AND(Ischemia_singlenet_25percent_ou!A1401,"AAAAAHn/yWk=")</f>
        <v>#VALUE!</v>
      </c>
      <c r="DC17" t="e">
        <f>AND(Ischemia_singlenet_25percent_ou!B1401,"AAAAAHn/yWo=")</f>
        <v>#VALUE!</v>
      </c>
      <c r="DD17">
        <f>IF(Ischemia_singlenet_25percent_ou!1402:1402,"AAAAAHn/yWs=",0)</f>
        <v>0</v>
      </c>
      <c r="DE17" t="e">
        <f>AND(Ischemia_singlenet_25percent_ou!A1402,"AAAAAHn/yWw=")</f>
        <v>#VALUE!</v>
      </c>
      <c r="DF17" t="e">
        <f>AND(Ischemia_singlenet_25percent_ou!B1402,"AAAAAHn/yW0=")</f>
        <v>#VALUE!</v>
      </c>
      <c r="DG17">
        <f>IF(Ischemia_singlenet_25percent_ou!1403:1403,"AAAAAHn/yW4=",0)</f>
        <v>0</v>
      </c>
      <c r="DH17" t="e">
        <f>AND(Ischemia_singlenet_25percent_ou!A1403,"AAAAAHn/yW8=")</f>
        <v>#VALUE!</v>
      </c>
      <c r="DI17" t="e">
        <f>AND(Ischemia_singlenet_25percent_ou!B1403,"AAAAAHn/yXA=")</f>
        <v>#VALUE!</v>
      </c>
      <c r="DJ17">
        <f>IF(Ischemia_singlenet_25percent_ou!1404:1404,"AAAAAHn/yXE=",0)</f>
        <v>0</v>
      </c>
      <c r="DK17" t="e">
        <f>AND(Ischemia_singlenet_25percent_ou!A1404,"AAAAAHn/yXI=")</f>
        <v>#VALUE!</v>
      </c>
      <c r="DL17" t="e">
        <f>AND(Ischemia_singlenet_25percent_ou!B1404,"AAAAAHn/yXM=")</f>
        <v>#VALUE!</v>
      </c>
      <c r="DM17">
        <f>IF(Ischemia_singlenet_25percent_ou!1405:1405,"AAAAAHn/yXQ=",0)</f>
        <v>0</v>
      </c>
      <c r="DN17" t="e">
        <f>AND(Ischemia_singlenet_25percent_ou!A1405,"AAAAAHn/yXU=")</f>
        <v>#VALUE!</v>
      </c>
      <c r="DO17" t="e">
        <f>AND(Ischemia_singlenet_25percent_ou!B1405,"AAAAAHn/yXY=")</f>
        <v>#VALUE!</v>
      </c>
      <c r="DP17">
        <f>IF(Ischemia_singlenet_25percent_ou!1406:1406,"AAAAAHn/yXc=",0)</f>
        <v>0</v>
      </c>
      <c r="DQ17" t="e">
        <f>AND(Ischemia_singlenet_25percent_ou!A1406,"AAAAAHn/yXg=")</f>
        <v>#VALUE!</v>
      </c>
      <c r="DR17" t="e">
        <f>AND(Ischemia_singlenet_25percent_ou!B1406,"AAAAAHn/yXk=")</f>
        <v>#VALUE!</v>
      </c>
      <c r="DS17">
        <f>IF(Ischemia_singlenet_25percent_ou!1407:1407,"AAAAAHn/yXo=",0)</f>
        <v>0</v>
      </c>
      <c r="DT17" t="e">
        <f>AND(Ischemia_singlenet_25percent_ou!A1407,"AAAAAHn/yXs=")</f>
        <v>#VALUE!</v>
      </c>
      <c r="DU17" t="e">
        <f>AND(Ischemia_singlenet_25percent_ou!B1407,"AAAAAHn/yXw=")</f>
        <v>#VALUE!</v>
      </c>
      <c r="DV17">
        <f>IF(Ischemia_singlenet_25percent_ou!1408:1408,"AAAAAHn/yX0=",0)</f>
        <v>0</v>
      </c>
      <c r="DW17" t="e">
        <f>AND(Ischemia_singlenet_25percent_ou!A1408,"AAAAAHn/yX4=")</f>
        <v>#VALUE!</v>
      </c>
      <c r="DX17" t="e">
        <f>AND(Ischemia_singlenet_25percent_ou!B1408,"AAAAAHn/yX8=")</f>
        <v>#VALUE!</v>
      </c>
      <c r="DY17">
        <f>IF(Ischemia_singlenet_25percent_ou!1409:1409,"AAAAAHn/yYA=",0)</f>
        <v>0</v>
      </c>
      <c r="DZ17" t="e">
        <f>AND(Ischemia_singlenet_25percent_ou!A1409,"AAAAAHn/yYE=")</f>
        <v>#VALUE!</v>
      </c>
      <c r="EA17" t="e">
        <f>AND(Ischemia_singlenet_25percent_ou!B1409,"AAAAAHn/yYI=")</f>
        <v>#VALUE!</v>
      </c>
      <c r="EB17">
        <f>IF(Ischemia_singlenet_25percent_ou!1410:1410,"AAAAAHn/yYM=",0)</f>
        <v>0</v>
      </c>
      <c r="EC17" t="e">
        <f>AND(Ischemia_singlenet_25percent_ou!A1410,"AAAAAHn/yYQ=")</f>
        <v>#VALUE!</v>
      </c>
      <c r="ED17" t="e">
        <f>AND(Ischemia_singlenet_25percent_ou!B1410,"AAAAAHn/yYU=")</f>
        <v>#VALUE!</v>
      </c>
      <c r="EE17">
        <f>IF(Ischemia_singlenet_25percent_ou!1411:1411,"AAAAAHn/yYY=",0)</f>
        <v>0</v>
      </c>
      <c r="EF17" t="e">
        <f>AND(Ischemia_singlenet_25percent_ou!A1411,"AAAAAHn/yYc=")</f>
        <v>#VALUE!</v>
      </c>
      <c r="EG17" t="e">
        <f>AND(Ischemia_singlenet_25percent_ou!B1411,"AAAAAHn/yYg=")</f>
        <v>#VALUE!</v>
      </c>
      <c r="EH17">
        <f>IF(Ischemia_singlenet_25percent_ou!1412:1412,"AAAAAHn/yYk=",0)</f>
        <v>0</v>
      </c>
      <c r="EI17" t="e">
        <f>AND(Ischemia_singlenet_25percent_ou!A1412,"AAAAAHn/yYo=")</f>
        <v>#VALUE!</v>
      </c>
      <c r="EJ17" t="e">
        <f>AND(Ischemia_singlenet_25percent_ou!B1412,"AAAAAHn/yYs=")</f>
        <v>#VALUE!</v>
      </c>
      <c r="EK17">
        <f>IF(Ischemia_singlenet_25percent_ou!1413:1413,"AAAAAHn/yYw=",0)</f>
        <v>0</v>
      </c>
      <c r="EL17" t="e">
        <f>AND(Ischemia_singlenet_25percent_ou!A1413,"AAAAAHn/yY0=")</f>
        <v>#VALUE!</v>
      </c>
      <c r="EM17" t="e">
        <f>AND(Ischemia_singlenet_25percent_ou!B1413,"AAAAAHn/yY4=")</f>
        <v>#VALUE!</v>
      </c>
      <c r="EN17">
        <f>IF(Ischemia_singlenet_25percent_ou!1414:1414,"AAAAAHn/yY8=",0)</f>
        <v>0</v>
      </c>
      <c r="EO17" t="e">
        <f>AND(Ischemia_singlenet_25percent_ou!A1414,"AAAAAHn/yZA=")</f>
        <v>#VALUE!</v>
      </c>
      <c r="EP17" t="e">
        <f>AND(Ischemia_singlenet_25percent_ou!B1414,"AAAAAHn/yZE=")</f>
        <v>#VALUE!</v>
      </c>
      <c r="EQ17">
        <f>IF(Ischemia_singlenet_25percent_ou!1415:1415,"AAAAAHn/yZI=",0)</f>
        <v>0</v>
      </c>
      <c r="ER17" t="e">
        <f>AND(Ischemia_singlenet_25percent_ou!A1415,"AAAAAHn/yZM=")</f>
        <v>#VALUE!</v>
      </c>
      <c r="ES17" t="e">
        <f>AND(Ischemia_singlenet_25percent_ou!B1415,"AAAAAHn/yZQ=")</f>
        <v>#VALUE!</v>
      </c>
      <c r="ET17">
        <f>IF(Ischemia_singlenet_25percent_ou!1416:1416,"AAAAAHn/yZU=",0)</f>
        <v>0</v>
      </c>
      <c r="EU17" t="e">
        <f>AND(Ischemia_singlenet_25percent_ou!A1416,"AAAAAHn/yZY=")</f>
        <v>#VALUE!</v>
      </c>
      <c r="EV17" t="e">
        <f>AND(Ischemia_singlenet_25percent_ou!B1416,"AAAAAHn/yZc=")</f>
        <v>#VALUE!</v>
      </c>
      <c r="EW17">
        <f>IF(Ischemia_singlenet_25percent_ou!1417:1417,"AAAAAHn/yZg=",0)</f>
        <v>0</v>
      </c>
      <c r="EX17" t="e">
        <f>AND(Ischemia_singlenet_25percent_ou!A1417,"AAAAAHn/yZk=")</f>
        <v>#VALUE!</v>
      </c>
      <c r="EY17" t="e">
        <f>AND(Ischemia_singlenet_25percent_ou!B1417,"AAAAAHn/yZo=")</f>
        <v>#VALUE!</v>
      </c>
      <c r="EZ17">
        <f>IF(Ischemia_singlenet_25percent_ou!1418:1418,"AAAAAHn/yZs=",0)</f>
        <v>0</v>
      </c>
      <c r="FA17" t="e">
        <f>AND(Ischemia_singlenet_25percent_ou!A1418,"AAAAAHn/yZw=")</f>
        <v>#VALUE!</v>
      </c>
      <c r="FB17" t="e">
        <f>AND(Ischemia_singlenet_25percent_ou!B1418,"AAAAAHn/yZ0=")</f>
        <v>#VALUE!</v>
      </c>
      <c r="FC17">
        <f>IF(Ischemia_singlenet_25percent_ou!1419:1419,"AAAAAHn/yZ4=",0)</f>
        <v>0</v>
      </c>
      <c r="FD17" t="e">
        <f>AND(Ischemia_singlenet_25percent_ou!A1419,"AAAAAHn/yZ8=")</f>
        <v>#VALUE!</v>
      </c>
      <c r="FE17" t="e">
        <f>AND(Ischemia_singlenet_25percent_ou!B1419,"AAAAAHn/yaA=")</f>
        <v>#VALUE!</v>
      </c>
      <c r="FF17">
        <f>IF(Ischemia_singlenet_25percent_ou!1420:1420,"AAAAAHn/yaE=",0)</f>
        <v>0</v>
      </c>
      <c r="FG17" t="e">
        <f>AND(Ischemia_singlenet_25percent_ou!A1420,"AAAAAHn/yaI=")</f>
        <v>#VALUE!</v>
      </c>
      <c r="FH17" t="e">
        <f>AND(Ischemia_singlenet_25percent_ou!B1420,"AAAAAHn/yaM=")</f>
        <v>#VALUE!</v>
      </c>
      <c r="FI17">
        <f>IF(Ischemia_singlenet_25percent_ou!1421:1421,"AAAAAHn/yaQ=",0)</f>
        <v>0</v>
      </c>
      <c r="FJ17" t="e">
        <f>AND(Ischemia_singlenet_25percent_ou!A1421,"AAAAAHn/yaU=")</f>
        <v>#VALUE!</v>
      </c>
      <c r="FK17" t="e">
        <f>AND(Ischemia_singlenet_25percent_ou!B1421,"AAAAAHn/yaY=")</f>
        <v>#VALUE!</v>
      </c>
      <c r="FL17">
        <f>IF(Ischemia_singlenet_25percent_ou!1422:1422,"AAAAAHn/yac=",0)</f>
        <v>0</v>
      </c>
      <c r="FM17" t="e">
        <f>AND(Ischemia_singlenet_25percent_ou!A1422,"AAAAAHn/yag=")</f>
        <v>#VALUE!</v>
      </c>
      <c r="FN17" t="e">
        <f>AND(Ischemia_singlenet_25percent_ou!B1422,"AAAAAHn/yak=")</f>
        <v>#VALUE!</v>
      </c>
      <c r="FO17">
        <f>IF(Ischemia_singlenet_25percent_ou!1423:1423,"AAAAAHn/yao=",0)</f>
        <v>0</v>
      </c>
      <c r="FP17" t="e">
        <f>AND(Ischemia_singlenet_25percent_ou!A1423,"AAAAAHn/yas=")</f>
        <v>#VALUE!</v>
      </c>
      <c r="FQ17" t="e">
        <f>AND(Ischemia_singlenet_25percent_ou!B1423,"AAAAAHn/yaw=")</f>
        <v>#VALUE!</v>
      </c>
      <c r="FR17">
        <f>IF(Ischemia_singlenet_25percent_ou!1424:1424,"AAAAAHn/ya0=",0)</f>
        <v>0</v>
      </c>
      <c r="FS17" t="e">
        <f>AND(Ischemia_singlenet_25percent_ou!A1424,"AAAAAHn/ya4=")</f>
        <v>#VALUE!</v>
      </c>
      <c r="FT17" t="e">
        <f>AND(Ischemia_singlenet_25percent_ou!B1424,"AAAAAHn/ya8=")</f>
        <v>#VALUE!</v>
      </c>
      <c r="FU17">
        <f>IF(Ischemia_singlenet_25percent_ou!1425:1425,"AAAAAHn/ybA=",0)</f>
        <v>0</v>
      </c>
      <c r="FV17" t="e">
        <f>AND(Ischemia_singlenet_25percent_ou!A1425,"AAAAAHn/ybE=")</f>
        <v>#VALUE!</v>
      </c>
      <c r="FW17" t="e">
        <f>AND(Ischemia_singlenet_25percent_ou!B1425,"AAAAAHn/ybI=")</f>
        <v>#VALUE!</v>
      </c>
      <c r="FX17">
        <f>IF(Ischemia_singlenet_25percent_ou!1426:1426,"AAAAAHn/ybM=",0)</f>
        <v>0</v>
      </c>
      <c r="FY17" t="e">
        <f>AND(Ischemia_singlenet_25percent_ou!A1426,"AAAAAHn/ybQ=")</f>
        <v>#VALUE!</v>
      </c>
      <c r="FZ17" t="e">
        <f>AND(Ischemia_singlenet_25percent_ou!B1426,"AAAAAHn/ybU=")</f>
        <v>#VALUE!</v>
      </c>
      <c r="GA17">
        <f>IF(Ischemia_singlenet_25percent_ou!1427:1427,"AAAAAHn/ybY=",0)</f>
        <v>0</v>
      </c>
      <c r="GB17" t="e">
        <f>AND(Ischemia_singlenet_25percent_ou!A1427,"AAAAAHn/ybc=")</f>
        <v>#VALUE!</v>
      </c>
      <c r="GC17" t="e">
        <f>AND(Ischemia_singlenet_25percent_ou!B1427,"AAAAAHn/ybg=")</f>
        <v>#VALUE!</v>
      </c>
      <c r="GD17">
        <f>IF(Ischemia_singlenet_25percent_ou!1428:1428,"AAAAAHn/ybk=",0)</f>
        <v>0</v>
      </c>
      <c r="GE17" t="e">
        <f>AND(Ischemia_singlenet_25percent_ou!A1428,"AAAAAHn/ybo=")</f>
        <v>#VALUE!</v>
      </c>
      <c r="GF17" t="e">
        <f>AND(Ischemia_singlenet_25percent_ou!B1428,"AAAAAHn/ybs=")</f>
        <v>#VALUE!</v>
      </c>
      <c r="GG17">
        <f>IF(Ischemia_singlenet_25percent_ou!1429:1429,"AAAAAHn/ybw=",0)</f>
        <v>0</v>
      </c>
      <c r="GH17" t="e">
        <f>AND(Ischemia_singlenet_25percent_ou!A1429,"AAAAAHn/yb0=")</f>
        <v>#VALUE!</v>
      </c>
      <c r="GI17" t="e">
        <f>AND(Ischemia_singlenet_25percent_ou!B1429,"AAAAAHn/yb4=")</f>
        <v>#VALUE!</v>
      </c>
      <c r="GJ17">
        <f>IF(Ischemia_singlenet_25percent_ou!1430:1430,"AAAAAHn/yb8=",0)</f>
        <v>0</v>
      </c>
      <c r="GK17" t="e">
        <f>AND(Ischemia_singlenet_25percent_ou!A1430,"AAAAAHn/ycA=")</f>
        <v>#VALUE!</v>
      </c>
      <c r="GL17" t="e">
        <f>AND(Ischemia_singlenet_25percent_ou!B1430,"AAAAAHn/ycE=")</f>
        <v>#VALUE!</v>
      </c>
      <c r="GM17">
        <f>IF(Ischemia_singlenet_25percent_ou!1431:1431,"AAAAAHn/ycI=",0)</f>
        <v>0</v>
      </c>
      <c r="GN17" t="e">
        <f>AND(Ischemia_singlenet_25percent_ou!A1431,"AAAAAHn/ycM=")</f>
        <v>#VALUE!</v>
      </c>
      <c r="GO17" t="e">
        <f>AND(Ischemia_singlenet_25percent_ou!B1431,"AAAAAHn/ycQ=")</f>
        <v>#VALUE!</v>
      </c>
      <c r="GP17">
        <f>IF(Ischemia_singlenet_25percent_ou!1432:1432,"AAAAAHn/ycU=",0)</f>
        <v>0</v>
      </c>
      <c r="GQ17" t="e">
        <f>AND(Ischemia_singlenet_25percent_ou!A1432,"AAAAAHn/ycY=")</f>
        <v>#VALUE!</v>
      </c>
      <c r="GR17" t="e">
        <f>AND(Ischemia_singlenet_25percent_ou!B1432,"AAAAAHn/ycc=")</f>
        <v>#VALUE!</v>
      </c>
      <c r="GS17">
        <f>IF(Ischemia_singlenet_25percent_ou!1433:1433,"AAAAAHn/ycg=",0)</f>
        <v>0</v>
      </c>
      <c r="GT17" t="e">
        <f>AND(Ischemia_singlenet_25percent_ou!A1433,"AAAAAHn/yck=")</f>
        <v>#VALUE!</v>
      </c>
      <c r="GU17" t="e">
        <f>AND(Ischemia_singlenet_25percent_ou!B1433,"AAAAAHn/yco=")</f>
        <v>#VALUE!</v>
      </c>
      <c r="GV17">
        <f>IF(Ischemia_singlenet_25percent_ou!1434:1434,"AAAAAHn/ycs=",0)</f>
        <v>0</v>
      </c>
      <c r="GW17" t="e">
        <f>AND(Ischemia_singlenet_25percent_ou!A1434,"AAAAAHn/ycw=")</f>
        <v>#VALUE!</v>
      </c>
      <c r="GX17" t="e">
        <f>AND(Ischemia_singlenet_25percent_ou!B1434,"AAAAAHn/yc0=")</f>
        <v>#VALUE!</v>
      </c>
      <c r="GY17">
        <f>IF(Ischemia_singlenet_25percent_ou!1435:1435,"AAAAAHn/yc4=",0)</f>
        <v>0</v>
      </c>
      <c r="GZ17" t="e">
        <f>AND(Ischemia_singlenet_25percent_ou!A1435,"AAAAAHn/yc8=")</f>
        <v>#VALUE!</v>
      </c>
      <c r="HA17" t="e">
        <f>AND(Ischemia_singlenet_25percent_ou!B1435,"AAAAAHn/ydA=")</f>
        <v>#VALUE!</v>
      </c>
      <c r="HB17">
        <f>IF(Ischemia_singlenet_25percent_ou!1436:1436,"AAAAAHn/ydE=",0)</f>
        <v>0</v>
      </c>
      <c r="HC17" t="e">
        <f>AND(Ischemia_singlenet_25percent_ou!A1436,"AAAAAHn/ydI=")</f>
        <v>#VALUE!</v>
      </c>
      <c r="HD17" t="e">
        <f>AND(Ischemia_singlenet_25percent_ou!B1436,"AAAAAHn/ydM=")</f>
        <v>#VALUE!</v>
      </c>
      <c r="HE17">
        <f>IF(Ischemia_singlenet_25percent_ou!1437:1437,"AAAAAHn/ydQ=",0)</f>
        <v>0</v>
      </c>
      <c r="HF17" t="e">
        <f>AND(Ischemia_singlenet_25percent_ou!A1437,"AAAAAHn/ydU=")</f>
        <v>#VALUE!</v>
      </c>
      <c r="HG17" t="e">
        <f>AND(Ischemia_singlenet_25percent_ou!B1437,"AAAAAHn/ydY=")</f>
        <v>#VALUE!</v>
      </c>
      <c r="HH17">
        <f>IF(Ischemia_singlenet_25percent_ou!1438:1438,"AAAAAHn/ydc=",0)</f>
        <v>0</v>
      </c>
      <c r="HI17" t="e">
        <f>AND(Ischemia_singlenet_25percent_ou!A1438,"AAAAAHn/ydg=")</f>
        <v>#VALUE!</v>
      </c>
      <c r="HJ17" t="e">
        <f>AND(Ischemia_singlenet_25percent_ou!B1438,"AAAAAHn/ydk=")</f>
        <v>#VALUE!</v>
      </c>
      <c r="HK17">
        <f>IF(Ischemia_singlenet_25percent_ou!1439:1439,"AAAAAHn/ydo=",0)</f>
        <v>0</v>
      </c>
      <c r="HL17" t="e">
        <f>AND(Ischemia_singlenet_25percent_ou!A1439,"AAAAAHn/yds=")</f>
        <v>#VALUE!</v>
      </c>
      <c r="HM17" t="e">
        <f>AND(Ischemia_singlenet_25percent_ou!B1439,"AAAAAHn/ydw=")</f>
        <v>#VALUE!</v>
      </c>
      <c r="HN17">
        <f>IF(Ischemia_singlenet_25percent_ou!1440:1440,"AAAAAHn/yd0=",0)</f>
        <v>0</v>
      </c>
      <c r="HO17" t="e">
        <f>AND(Ischemia_singlenet_25percent_ou!A1440,"AAAAAHn/yd4=")</f>
        <v>#VALUE!</v>
      </c>
      <c r="HP17" t="e">
        <f>AND(Ischemia_singlenet_25percent_ou!B1440,"AAAAAHn/yd8=")</f>
        <v>#VALUE!</v>
      </c>
      <c r="HQ17">
        <f>IF(Ischemia_singlenet_25percent_ou!1441:1441,"AAAAAHn/yeA=",0)</f>
        <v>0</v>
      </c>
      <c r="HR17" t="e">
        <f>AND(Ischemia_singlenet_25percent_ou!A1441,"AAAAAHn/yeE=")</f>
        <v>#VALUE!</v>
      </c>
      <c r="HS17" t="e">
        <f>AND(Ischemia_singlenet_25percent_ou!B1441,"AAAAAHn/yeI=")</f>
        <v>#VALUE!</v>
      </c>
      <c r="HT17">
        <f>IF(Ischemia_singlenet_25percent_ou!1442:1442,"AAAAAHn/yeM=",0)</f>
        <v>0</v>
      </c>
      <c r="HU17" t="e">
        <f>AND(Ischemia_singlenet_25percent_ou!A1442,"AAAAAHn/yeQ=")</f>
        <v>#VALUE!</v>
      </c>
      <c r="HV17" t="e">
        <f>AND(Ischemia_singlenet_25percent_ou!B1442,"AAAAAHn/yeU=")</f>
        <v>#VALUE!</v>
      </c>
      <c r="HW17">
        <f>IF(Ischemia_singlenet_25percent_ou!1443:1443,"AAAAAHn/yeY=",0)</f>
        <v>0</v>
      </c>
      <c r="HX17" t="e">
        <f>AND(Ischemia_singlenet_25percent_ou!A1443,"AAAAAHn/yec=")</f>
        <v>#VALUE!</v>
      </c>
      <c r="HY17" t="e">
        <f>AND(Ischemia_singlenet_25percent_ou!B1443,"AAAAAHn/yeg=")</f>
        <v>#VALUE!</v>
      </c>
      <c r="HZ17">
        <f>IF(Ischemia_singlenet_25percent_ou!1444:1444,"AAAAAHn/yek=",0)</f>
        <v>0</v>
      </c>
      <c r="IA17" t="e">
        <f>AND(Ischemia_singlenet_25percent_ou!A1444,"AAAAAHn/yeo=")</f>
        <v>#VALUE!</v>
      </c>
      <c r="IB17" t="e">
        <f>AND(Ischemia_singlenet_25percent_ou!B1444,"AAAAAHn/yes=")</f>
        <v>#VALUE!</v>
      </c>
      <c r="IC17">
        <f>IF(Ischemia_singlenet_25percent_ou!1445:1445,"AAAAAHn/yew=",0)</f>
        <v>0</v>
      </c>
      <c r="ID17" t="e">
        <f>AND(Ischemia_singlenet_25percent_ou!A1445,"AAAAAHn/ye0=")</f>
        <v>#VALUE!</v>
      </c>
      <c r="IE17" t="e">
        <f>AND(Ischemia_singlenet_25percent_ou!B1445,"AAAAAHn/ye4=")</f>
        <v>#VALUE!</v>
      </c>
      <c r="IF17">
        <f>IF(Ischemia_singlenet_25percent_ou!1446:1446,"AAAAAHn/ye8=",0)</f>
        <v>0</v>
      </c>
      <c r="IG17" t="e">
        <f>AND(Ischemia_singlenet_25percent_ou!A1446,"AAAAAHn/yfA=")</f>
        <v>#VALUE!</v>
      </c>
      <c r="IH17" t="e">
        <f>AND(Ischemia_singlenet_25percent_ou!B1446,"AAAAAHn/yfE=")</f>
        <v>#VALUE!</v>
      </c>
      <c r="II17">
        <f>IF(Ischemia_singlenet_25percent_ou!1447:1447,"AAAAAHn/yfI=",0)</f>
        <v>0</v>
      </c>
      <c r="IJ17" t="e">
        <f>AND(Ischemia_singlenet_25percent_ou!A1447,"AAAAAHn/yfM=")</f>
        <v>#VALUE!</v>
      </c>
      <c r="IK17" t="e">
        <f>AND(Ischemia_singlenet_25percent_ou!B1447,"AAAAAHn/yfQ=")</f>
        <v>#VALUE!</v>
      </c>
      <c r="IL17">
        <f>IF(Ischemia_singlenet_25percent_ou!1448:1448,"AAAAAHn/yfU=",0)</f>
        <v>0</v>
      </c>
      <c r="IM17" t="e">
        <f>AND(Ischemia_singlenet_25percent_ou!A1448,"AAAAAHn/yfY=")</f>
        <v>#VALUE!</v>
      </c>
      <c r="IN17" t="e">
        <f>AND(Ischemia_singlenet_25percent_ou!B1448,"AAAAAHn/yfc=")</f>
        <v>#VALUE!</v>
      </c>
      <c r="IO17">
        <f>IF(Ischemia_singlenet_25percent_ou!1449:1449,"AAAAAHn/yfg=",0)</f>
        <v>0</v>
      </c>
      <c r="IP17" t="e">
        <f>AND(Ischemia_singlenet_25percent_ou!A1449,"AAAAAHn/yfk=")</f>
        <v>#VALUE!</v>
      </c>
      <c r="IQ17" t="e">
        <f>AND(Ischemia_singlenet_25percent_ou!B1449,"AAAAAHn/yfo=")</f>
        <v>#VALUE!</v>
      </c>
      <c r="IR17">
        <f>IF(Ischemia_singlenet_25percent_ou!1450:1450,"AAAAAHn/yfs=",0)</f>
        <v>0</v>
      </c>
      <c r="IS17" t="e">
        <f>AND(Ischemia_singlenet_25percent_ou!A1450,"AAAAAHn/yfw=")</f>
        <v>#VALUE!</v>
      </c>
      <c r="IT17" t="e">
        <f>AND(Ischemia_singlenet_25percent_ou!B1450,"AAAAAHn/yf0=")</f>
        <v>#VALUE!</v>
      </c>
      <c r="IU17">
        <f>IF(Ischemia_singlenet_25percent_ou!1451:1451,"AAAAAHn/yf4=",0)</f>
        <v>0</v>
      </c>
      <c r="IV17" t="e">
        <f>AND(Ischemia_singlenet_25percent_ou!A1451,"AAAAAHn/yf8=")</f>
        <v>#VALUE!</v>
      </c>
    </row>
    <row r="18" spans="1:256">
      <c r="A18" t="e">
        <f>AND(Ischemia_singlenet_25percent_ou!B1451,"AAAAAHP1MwA=")</f>
        <v>#VALUE!</v>
      </c>
      <c r="B18" t="e">
        <f>IF(Ischemia_singlenet_25percent_ou!1452:1452,"AAAAAHP1MwE=",0)</f>
        <v>#VALUE!</v>
      </c>
      <c r="C18" t="e">
        <f>AND(Ischemia_singlenet_25percent_ou!A1452,"AAAAAHP1MwI=")</f>
        <v>#VALUE!</v>
      </c>
      <c r="D18" t="e">
        <f>AND(Ischemia_singlenet_25percent_ou!B1452,"AAAAAHP1MwM=")</f>
        <v>#VALUE!</v>
      </c>
      <c r="E18">
        <f>IF(Ischemia_singlenet_25percent_ou!1453:1453,"AAAAAHP1MwQ=",0)</f>
        <v>0</v>
      </c>
      <c r="F18" t="e">
        <f>AND(Ischemia_singlenet_25percent_ou!A1453,"AAAAAHP1MwU=")</f>
        <v>#VALUE!</v>
      </c>
      <c r="G18" t="e">
        <f>AND(Ischemia_singlenet_25percent_ou!B1453,"AAAAAHP1MwY=")</f>
        <v>#VALUE!</v>
      </c>
      <c r="H18">
        <f>IF(Ischemia_singlenet_25percent_ou!1454:1454,"AAAAAHP1Mwc=",0)</f>
        <v>0</v>
      </c>
      <c r="I18" t="e">
        <f>AND(Ischemia_singlenet_25percent_ou!A1454,"AAAAAHP1Mwg=")</f>
        <v>#VALUE!</v>
      </c>
      <c r="J18" t="e">
        <f>AND(Ischemia_singlenet_25percent_ou!B1454,"AAAAAHP1Mwk=")</f>
        <v>#VALUE!</v>
      </c>
      <c r="K18">
        <f>IF(Ischemia_singlenet_25percent_ou!1455:1455,"AAAAAHP1Mwo=",0)</f>
        <v>0</v>
      </c>
      <c r="L18" t="e">
        <f>AND(Ischemia_singlenet_25percent_ou!A1455,"AAAAAHP1Mws=")</f>
        <v>#VALUE!</v>
      </c>
      <c r="M18" t="e">
        <f>AND(Ischemia_singlenet_25percent_ou!B1455,"AAAAAHP1Mww=")</f>
        <v>#VALUE!</v>
      </c>
      <c r="N18">
        <f>IF(Ischemia_singlenet_25percent_ou!1456:1456,"AAAAAHP1Mw0=",0)</f>
        <v>0</v>
      </c>
      <c r="O18" t="e">
        <f>AND(Ischemia_singlenet_25percent_ou!A1456,"AAAAAHP1Mw4=")</f>
        <v>#VALUE!</v>
      </c>
      <c r="P18" t="e">
        <f>AND(Ischemia_singlenet_25percent_ou!B1456,"AAAAAHP1Mw8=")</f>
        <v>#VALUE!</v>
      </c>
      <c r="Q18">
        <f>IF(Ischemia_singlenet_25percent_ou!1457:1457,"AAAAAHP1MxA=",0)</f>
        <v>0</v>
      </c>
      <c r="R18" t="e">
        <f>AND(Ischemia_singlenet_25percent_ou!A1457,"AAAAAHP1MxE=")</f>
        <v>#VALUE!</v>
      </c>
      <c r="S18" t="e">
        <f>AND(Ischemia_singlenet_25percent_ou!B1457,"AAAAAHP1MxI=")</f>
        <v>#VALUE!</v>
      </c>
      <c r="T18">
        <f>IF(Ischemia_singlenet_25percent_ou!1458:1458,"AAAAAHP1MxM=",0)</f>
        <v>0</v>
      </c>
      <c r="U18" t="e">
        <f>AND(Ischemia_singlenet_25percent_ou!A1458,"AAAAAHP1MxQ=")</f>
        <v>#VALUE!</v>
      </c>
      <c r="V18" t="e">
        <f>AND(Ischemia_singlenet_25percent_ou!B1458,"AAAAAHP1MxU=")</f>
        <v>#VALUE!</v>
      </c>
      <c r="W18">
        <f>IF(Ischemia_singlenet_25percent_ou!1459:1459,"AAAAAHP1MxY=",0)</f>
        <v>0</v>
      </c>
      <c r="X18" t="e">
        <f>AND(Ischemia_singlenet_25percent_ou!A1459,"AAAAAHP1Mxc=")</f>
        <v>#VALUE!</v>
      </c>
      <c r="Y18" t="e">
        <f>AND(Ischemia_singlenet_25percent_ou!B1459,"AAAAAHP1Mxg=")</f>
        <v>#VALUE!</v>
      </c>
      <c r="Z18">
        <f>IF(Ischemia_singlenet_25percent_ou!1460:1460,"AAAAAHP1Mxk=",0)</f>
        <v>0</v>
      </c>
      <c r="AA18" t="e">
        <f>AND(Ischemia_singlenet_25percent_ou!A1460,"AAAAAHP1Mxo=")</f>
        <v>#VALUE!</v>
      </c>
      <c r="AB18" t="e">
        <f>AND(Ischemia_singlenet_25percent_ou!B1460,"AAAAAHP1Mxs=")</f>
        <v>#VALUE!</v>
      </c>
      <c r="AC18">
        <f>IF(Ischemia_singlenet_25percent_ou!1461:1461,"AAAAAHP1Mxw=",0)</f>
        <v>0</v>
      </c>
      <c r="AD18" t="e">
        <f>AND(Ischemia_singlenet_25percent_ou!A1461,"AAAAAHP1Mx0=")</f>
        <v>#VALUE!</v>
      </c>
      <c r="AE18" t="e">
        <f>AND(Ischemia_singlenet_25percent_ou!B1461,"AAAAAHP1Mx4=")</f>
        <v>#VALUE!</v>
      </c>
      <c r="AF18">
        <f>IF(Ischemia_singlenet_25percent_ou!1462:1462,"AAAAAHP1Mx8=",0)</f>
        <v>0</v>
      </c>
      <c r="AG18" t="e">
        <f>AND(Ischemia_singlenet_25percent_ou!A1462,"AAAAAHP1MyA=")</f>
        <v>#VALUE!</v>
      </c>
      <c r="AH18" t="e">
        <f>AND(Ischemia_singlenet_25percent_ou!B1462,"AAAAAHP1MyE=")</f>
        <v>#VALUE!</v>
      </c>
      <c r="AI18">
        <f>IF(Ischemia_singlenet_25percent_ou!1463:1463,"AAAAAHP1MyI=",0)</f>
        <v>0</v>
      </c>
      <c r="AJ18" t="e">
        <f>AND(Ischemia_singlenet_25percent_ou!A1463,"AAAAAHP1MyM=")</f>
        <v>#VALUE!</v>
      </c>
      <c r="AK18" t="e">
        <f>AND(Ischemia_singlenet_25percent_ou!B1463,"AAAAAHP1MyQ=")</f>
        <v>#VALUE!</v>
      </c>
      <c r="AL18">
        <f>IF(Ischemia_singlenet_25percent_ou!1464:1464,"AAAAAHP1MyU=",0)</f>
        <v>0</v>
      </c>
      <c r="AM18" t="e">
        <f>AND(Ischemia_singlenet_25percent_ou!A1464,"AAAAAHP1MyY=")</f>
        <v>#VALUE!</v>
      </c>
      <c r="AN18" t="e">
        <f>AND(Ischemia_singlenet_25percent_ou!B1464,"AAAAAHP1Myc=")</f>
        <v>#VALUE!</v>
      </c>
      <c r="AO18">
        <f>IF(Ischemia_singlenet_25percent_ou!1465:1465,"AAAAAHP1Myg=",0)</f>
        <v>0</v>
      </c>
      <c r="AP18" t="e">
        <f>AND(Ischemia_singlenet_25percent_ou!A1465,"AAAAAHP1Myk=")</f>
        <v>#VALUE!</v>
      </c>
      <c r="AQ18" t="e">
        <f>AND(Ischemia_singlenet_25percent_ou!B1465,"AAAAAHP1Myo=")</f>
        <v>#VALUE!</v>
      </c>
      <c r="AR18">
        <f>IF(Ischemia_singlenet_25percent_ou!1466:1466,"AAAAAHP1Mys=",0)</f>
        <v>0</v>
      </c>
      <c r="AS18" t="e">
        <f>AND(Ischemia_singlenet_25percent_ou!A1466,"AAAAAHP1Myw=")</f>
        <v>#VALUE!</v>
      </c>
      <c r="AT18" t="e">
        <f>AND(Ischemia_singlenet_25percent_ou!B1466,"AAAAAHP1My0=")</f>
        <v>#VALUE!</v>
      </c>
      <c r="AU18">
        <f>IF(Ischemia_singlenet_25percent_ou!1467:1467,"AAAAAHP1My4=",0)</f>
        <v>0</v>
      </c>
      <c r="AV18" t="e">
        <f>AND(Ischemia_singlenet_25percent_ou!A1467,"AAAAAHP1My8=")</f>
        <v>#VALUE!</v>
      </c>
      <c r="AW18" t="e">
        <f>AND(Ischemia_singlenet_25percent_ou!B1467,"AAAAAHP1MzA=")</f>
        <v>#VALUE!</v>
      </c>
      <c r="AX18">
        <f>IF(Ischemia_singlenet_25percent_ou!1468:1468,"AAAAAHP1MzE=",0)</f>
        <v>0</v>
      </c>
      <c r="AY18" t="e">
        <f>AND(Ischemia_singlenet_25percent_ou!A1468,"AAAAAHP1MzI=")</f>
        <v>#VALUE!</v>
      </c>
      <c r="AZ18" t="e">
        <f>AND(Ischemia_singlenet_25percent_ou!B1468,"AAAAAHP1MzM=")</f>
        <v>#VALUE!</v>
      </c>
      <c r="BA18">
        <f>IF(Ischemia_singlenet_25percent_ou!1469:1469,"AAAAAHP1MzQ=",0)</f>
        <v>0</v>
      </c>
      <c r="BB18" t="e">
        <f>AND(Ischemia_singlenet_25percent_ou!A1469,"AAAAAHP1MzU=")</f>
        <v>#VALUE!</v>
      </c>
      <c r="BC18" t="e">
        <f>AND(Ischemia_singlenet_25percent_ou!B1469,"AAAAAHP1MzY=")</f>
        <v>#VALUE!</v>
      </c>
      <c r="BD18">
        <f>IF(Ischemia_singlenet_25percent_ou!1470:1470,"AAAAAHP1Mzc=",0)</f>
        <v>0</v>
      </c>
      <c r="BE18" t="e">
        <f>AND(Ischemia_singlenet_25percent_ou!A1470,"AAAAAHP1Mzg=")</f>
        <v>#VALUE!</v>
      </c>
      <c r="BF18" t="e">
        <f>AND(Ischemia_singlenet_25percent_ou!B1470,"AAAAAHP1Mzk=")</f>
        <v>#VALUE!</v>
      </c>
      <c r="BG18">
        <f>IF(Ischemia_singlenet_25percent_ou!1471:1471,"AAAAAHP1Mzo=",0)</f>
        <v>0</v>
      </c>
      <c r="BH18" t="e">
        <f>AND(Ischemia_singlenet_25percent_ou!A1471,"AAAAAHP1Mzs=")</f>
        <v>#VALUE!</v>
      </c>
      <c r="BI18" t="e">
        <f>AND(Ischemia_singlenet_25percent_ou!B1471,"AAAAAHP1Mzw=")</f>
        <v>#VALUE!</v>
      </c>
      <c r="BJ18">
        <f>IF(Ischemia_singlenet_25percent_ou!1472:1472,"AAAAAHP1Mz0=",0)</f>
        <v>0</v>
      </c>
      <c r="BK18" t="e">
        <f>AND(Ischemia_singlenet_25percent_ou!A1472,"AAAAAHP1Mz4=")</f>
        <v>#VALUE!</v>
      </c>
      <c r="BL18" t="e">
        <f>AND(Ischemia_singlenet_25percent_ou!B1472,"AAAAAHP1Mz8=")</f>
        <v>#VALUE!</v>
      </c>
      <c r="BM18">
        <f>IF(Ischemia_singlenet_25percent_ou!1473:1473,"AAAAAHP1M0A=",0)</f>
        <v>0</v>
      </c>
      <c r="BN18" t="e">
        <f>AND(Ischemia_singlenet_25percent_ou!A1473,"AAAAAHP1M0E=")</f>
        <v>#VALUE!</v>
      </c>
      <c r="BO18" t="e">
        <f>AND(Ischemia_singlenet_25percent_ou!B1473,"AAAAAHP1M0I=")</f>
        <v>#VALUE!</v>
      </c>
      <c r="BP18">
        <f>IF(Ischemia_singlenet_25percent_ou!1474:1474,"AAAAAHP1M0M=",0)</f>
        <v>0</v>
      </c>
      <c r="BQ18" t="e">
        <f>AND(Ischemia_singlenet_25percent_ou!A1474,"AAAAAHP1M0Q=")</f>
        <v>#VALUE!</v>
      </c>
      <c r="BR18" t="e">
        <f>AND(Ischemia_singlenet_25percent_ou!B1474,"AAAAAHP1M0U=")</f>
        <v>#VALUE!</v>
      </c>
      <c r="BS18">
        <f>IF(Ischemia_singlenet_25percent_ou!1475:1475,"AAAAAHP1M0Y=",0)</f>
        <v>0</v>
      </c>
      <c r="BT18" t="e">
        <f>AND(Ischemia_singlenet_25percent_ou!A1475,"AAAAAHP1M0c=")</f>
        <v>#VALUE!</v>
      </c>
      <c r="BU18" t="e">
        <f>AND(Ischemia_singlenet_25percent_ou!B1475,"AAAAAHP1M0g=")</f>
        <v>#VALUE!</v>
      </c>
      <c r="BV18">
        <f>IF(Ischemia_singlenet_25percent_ou!1476:1476,"AAAAAHP1M0k=",0)</f>
        <v>0</v>
      </c>
      <c r="BW18" t="e">
        <f>AND(Ischemia_singlenet_25percent_ou!A1476,"AAAAAHP1M0o=")</f>
        <v>#VALUE!</v>
      </c>
      <c r="BX18" t="e">
        <f>AND(Ischemia_singlenet_25percent_ou!B1476,"AAAAAHP1M0s=")</f>
        <v>#VALUE!</v>
      </c>
      <c r="BY18">
        <f>IF(Ischemia_singlenet_25percent_ou!1477:1477,"AAAAAHP1M0w=",0)</f>
        <v>0</v>
      </c>
      <c r="BZ18" t="e">
        <f>AND(Ischemia_singlenet_25percent_ou!A1477,"AAAAAHP1M00=")</f>
        <v>#VALUE!</v>
      </c>
      <c r="CA18" t="e">
        <f>AND(Ischemia_singlenet_25percent_ou!B1477,"AAAAAHP1M04=")</f>
        <v>#VALUE!</v>
      </c>
      <c r="CB18">
        <f>IF(Ischemia_singlenet_25percent_ou!1478:1478,"AAAAAHP1M08=",0)</f>
        <v>0</v>
      </c>
      <c r="CC18" t="e">
        <f>AND(Ischemia_singlenet_25percent_ou!A1478,"AAAAAHP1M1A=")</f>
        <v>#VALUE!</v>
      </c>
      <c r="CD18" t="e">
        <f>AND(Ischemia_singlenet_25percent_ou!B1478,"AAAAAHP1M1E=")</f>
        <v>#VALUE!</v>
      </c>
      <c r="CE18">
        <f>IF(Ischemia_singlenet_25percent_ou!1479:1479,"AAAAAHP1M1I=",0)</f>
        <v>0</v>
      </c>
      <c r="CF18" t="e">
        <f>AND(Ischemia_singlenet_25percent_ou!A1479,"AAAAAHP1M1M=")</f>
        <v>#VALUE!</v>
      </c>
      <c r="CG18" t="e">
        <f>AND(Ischemia_singlenet_25percent_ou!B1479,"AAAAAHP1M1Q=")</f>
        <v>#VALUE!</v>
      </c>
      <c r="CH18">
        <f>IF(Ischemia_singlenet_25percent_ou!1480:1480,"AAAAAHP1M1U=",0)</f>
        <v>0</v>
      </c>
      <c r="CI18" t="e">
        <f>AND(Ischemia_singlenet_25percent_ou!A1480,"AAAAAHP1M1Y=")</f>
        <v>#VALUE!</v>
      </c>
      <c r="CJ18" t="e">
        <f>AND(Ischemia_singlenet_25percent_ou!B1480,"AAAAAHP1M1c=")</f>
        <v>#VALUE!</v>
      </c>
      <c r="CK18">
        <f>IF(Ischemia_singlenet_25percent_ou!1481:1481,"AAAAAHP1M1g=",0)</f>
        <v>0</v>
      </c>
      <c r="CL18" t="e">
        <f>AND(Ischemia_singlenet_25percent_ou!A1481,"AAAAAHP1M1k=")</f>
        <v>#VALUE!</v>
      </c>
      <c r="CM18" t="e">
        <f>AND(Ischemia_singlenet_25percent_ou!B1481,"AAAAAHP1M1o=")</f>
        <v>#VALUE!</v>
      </c>
      <c r="CN18">
        <f>IF(Ischemia_singlenet_25percent_ou!1482:1482,"AAAAAHP1M1s=",0)</f>
        <v>0</v>
      </c>
      <c r="CO18" t="e">
        <f>AND(Ischemia_singlenet_25percent_ou!A1482,"AAAAAHP1M1w=")</f>
        <v>#VALUE!</v>
      </c>
      <c r="CP18" t="e">
        <f>AND(Ischemia_singlenet_25percent_ou!B1482,"AAAAAHP1M10=")</f>
        <v>#VALUE!</v>
      </c>
      <c r="CQ18">
        <f>IF(Ischemia_singlenet_25percent_ou!1483:1483,"AAAAAHP1M14=",0)</f>
        <v>0</v>
      </c>
      <c r="CR18" t="e">
        <f>AND(Ischemia_singlenet_25percent_ou!A1483,"AAAAAHP1M18=")</f>
        <v>#VALUE!</v>
      </c>
      <c r="CS18" t="e">
        <f>AND(Ischemia_singlenet_25percent_ou!B1483,"AAAAAHP1M2A=")</f>
        <v>#VALUE!</v>
      </c>
      <c r="CT18">
        <f>IF(Ischemia_singlenet_25percent_ou!1484:1484,"AAAAAHP1M2E=",0)</f>
        <v>0</v>
      </c>
      <c r="CU18" t="e">
        <f>AND(Ischemia_singlenet_25percent_ou!A1484,"AAAAAHP1M2I=")</f>
        <v>#VALUE!</v>
      </c>
      <c r="CV18" t="e">
        <f>AND(Ischemia_singlenet_25percent_ou!B1484,"AAAAAHP1M2M=")</f>
        <v>#VALUE!</v>
      </c>
      <c r="CW18">
        <f>IF(Ischemia_singlenet_25percent_ou!1485:1485,"AAAAAHP1M2Q=",0)</f>
        <v>0</v>
      </c>
      <c r="CX18" t="e">
        <f>AND(Ischemia_singlenet_25percent_ou!A1485,"AAAAAHP1M2U=")</f>
        <v>#VALUE!</v>
      </c>
      <c r="CY18" t="e">
        <f>AND(Ischemia_singlenet_25percent_ou!B1485,"AAAAAHP1M2Y=")</f>
        <v>#VALUE!</v>
      </c>
      <c r="CZ18">
        <f>IF(Ischemia_singlenet_25percent_ou!1486:1486,"AAAAAHP1M2c=",0)</f>
        <v>0</v>
      </c>
      <c r="DA18" t="e">
        <f>AND(Ischemia_singlenet_25percent_ou!A1486,"AAAAAHP1M2g=")</f>
        <v>#VALUE!</v>
      </c>
      <c r="DB18" t="e">
        <f>AND(Ischemia_singlenet_25percent_ou!B1486,"AAAAAHP1M2k=")</f>
        <v>#VALUE!</v>
      </c>
      <c r="DC18">
        <f>IF(Ischemia_singlenet_25percent_ou!1487:1487,"AAAAAHP1M2o=",0)</f>
        <v>0</v>
      </c>
      <c r="DD18" t="e">
        <f>AND(Ischemia_singlenet_25percent_ou!A1487,"AAAAAHP1M2s=")</f>
        <v>#VALUE!</v>
      </c>
      <c r="DE18" t="e">
        <f>AND(Ischemia_singlenet_25percent_ou!B1487,"AAAAAHP1M2w=")</f>
        <v>#VALUE!</v>
      </c>
      <c r="DF18">
        <f>IF(Ischemia_singlenet_25percent_ou!1488:1488,"AAAAAHP1M20=",0)</f>
        <v>0</v>
      </c>
      <c r="DG18" t="e">
        <f>AND(Ischemia_singlenet_25percent_ou!A1488,"AAAAAHP1M24=")</f>
        <v>#VALUE!</v>
      </c>
      <c r="DH18" t="e">
        <f>AND(Ischemia_singlenet_25percent_ou!B1488,"AAAAAHP1M28=")</f>
        <v>#VALUE!</v>
      </c>
      <c r="DI18">
        <f>IF(Ischemia_singlenet_25percent_ou!1489:1489,"AAAAAHP1M3A=",0)</f>
        <v>0</v>
      </c>
      <c r="DJ18" t="e">
        <f>AND(Ischemia_singlenet_25percent_ou!A1489,"AAAAAHP1M3E=")</f>
        <v>#VALUE!</v>
      </c>
      <c r="DK18" t="e">
        <f>AND(Ischemia_singlenet_25percent_ou!B1489,"AAAAAHP1M3I=")</f>
        <v>#VALUE!</v>
      </c>
      <c r="DL18">
        <f>IF(Ischemia_singlenet_25percent_ou!1490:1490,"AAAAAHP1M3M=",0)</f>
        <v>0</v>
      </c>
      <c r="DM18" t="e">
        <f>AND(Ischemia_singlenet_25percent_ou!A1490,"AAAAAHP1M3Q=")</f>
        <v>#VALUE!</v>
      </c>
      <c r="DN18" t="e">
        <f>AND(Ischemia_singlenet_25percent_ou!B1490,"AAAAAHP1M3U=")</f>
        <v>#VALUE!</v>
      </c>
      <c r="DO18">
        <f>IF(Ischemia_singlenet_25percent_ou!1491:1491,"AAAAAHP1M3Y=",0)</f>
        <v>0</v>
      </c>
      <c r="DP18" t="e">
        <f>AND(Ischemia_singlenet_25percent_ou!A1491,"AAAAAHP1M3c=")</f>
        <v>#VALUE!</v>
      </c>
      <c r="DQ18" t="e">
        <f>AND(Ischemia_singlenet_25percent_ou!B1491,"AAAAAHP1M3g=")</f>
        <v>#VALUE!</v>
      </c>
      <c r="DR18">
        <f>IF(Ischemia_singlenet_25percent_ou!1492:1492,"AAAAAHP1M3k=",0)</f>
        <v>0</v>
      </c>
      <c r="DS18" t="e">
        <f>AND(Ischemia_singlenet_25percent_ou!A1492,"AAAAAHP1M3o=")</f>
        <v>#VALUE!</v>
      </c>
      <c r="DT18" t="e">
        <f>AND(Ischemia_singlenet_25percent_ou!B1492,"AAAAAHP1M3s=")</f>
        <v>#VALUE!</v>
      </c>
      <c r="DU18">
        <f>IF(Ischemia_singlenet_25percent_ou!1493:1493,"AAAAAHP1M3w=",0)</f>
        <v>0</v>
      </c>
      <c r="DV18" t="e">
        <f>AND(Ischemia_singlenet_25percent_ou!A1493,"AAAAAHP1M30=")</f>
        <v>#VALUE!</v>
      </c>
      <c r="DW18" t="e">
        <f>AND(Ischemia_singlenet_25percent_ou!B1493,"AAAAAHP1M34=")</f>
        <v>#VALUE!</v>
      </c>
      <c r="DX18">
        <f>IF(Ischemia_singlenet_25percent_ou!1494:1494,"AAAAAHP1M38=",0)</f>
        <v>0</v>
      </c>
      <c r="DY18" t="e">
        <f>AND(Ischemia_singlenet_25percent_ou!A1494,"AAAAAHP1M4A=")</f>
        <v>#VALUE!</v>
      </c>
      <c r="DZ18" t="e">
        <f>AND(Ischemia_singlenet_25percent_ou!B1494,"AAAAAHP1M4E=")</f>
        <v>#VALUE!</v>
      </c>
      <c r="EA18">
        <f>IF(Ischemia_singlenet_25percent_ou!1495:1495,"AAAAAHP1M4I=",0)</f>
        <v>0</v>
      </c>
      <c r="EB18" t="e">
        <f>AND(Ischemia_singlenet_25percent_ou!A1495,"AAAAAHP1M4M=")</f>
        <v>#VALUE!</v>
      </c>
      <c r="EC18" t="e">
        <f>AND(Ischemia_singlenet_25percent_ou!B1495,"AAAAAHP1M4Q=")</f>
        <v>#VALUE!</v>
      </c>
      <c r="ED18">
        <f>IF(Ischemia_singlenet_25percent_ou!1496:1496,"AAAAAHP1M4U=",0)</f>
        <v>0</v>
      </c>
      <c r="EE18" t="e">
        <f>AND(Ischemia_singlenet_25percent_ou!A1496,"AAAAAHP1M4Y=")</f>
        <v>#VALUE!</v>
      </c>
      <c r="EF18" t="e">
        <f>AND(Ischemia_singlenet_25percent_ou!B1496,"AAAAAHP1M4c=")</f>
        <v>#VALUE!</v>
      </c>
      <c r="EG18">
        <f>IF(Ischemia_singlenet_25percent_ou!1497:1497,"AAAAAHP1M4g=",0)</f>
        <v>0</v>
      </c>
      <c r="EH18" t="e">
        <f>AND(Ischemia_singlenet_25percent_ou!A1497,"AAAAAHP1M4k=")</f>
        <v>#VALUE!</v>
      </c>
      <c r="EI18" t="e">
        <f>AND(Ischemia_singlenet_25percent_ou!B1497,"AAAAAHP1M4o=")</f>
        <v>#VALUE!</v>
      </c>
      <c r="EJ18">
        <f>IF(Ischemia_singlenet_25percent_ou!1498:1498,"AAAAAHP1M4s=",0)</f>
        <v>0</v>
      </c>
      <c r="EK18" t="e">
        <f>AND(Ischemia_singlenet_25percent_ou!A1498,"AAAAAHP1M4w=")</f>
        <v>#VALUE!</v>
      </c>
      <c r="EL18" t="e">
        <f>AND(Ischemia_singlenet_25percent_ou!B1498,"AAAAAHP1M40=")</f>
        <v>#VALUE!</v>
      </c>
      <c r="EM18">
        <f>IF(Ischemia_singlenet_25percent_ou!1499:1499,"AAAAAHP1M44=",0)</f>
        <v>0</v>
      </c>
      <c r="EN18" t="e">
        <f>AND(Ischemia_singlenet_25percent_ou!A1499,"AAAAAHP1M48=")</f>
        <v>#VALUE!</v>
      </c>
      <c r="EO18" t="e">
        <f>AND(Ischemia_singlenet_25percent_ou!B1499,"AAAAAHP1M5A=")</f>
        <v>#VALUE!</v>
      </c>
      <c r="EP18">
        <f>IF(Ischemia_singlenet_25percent_ou!1500:1500,"AAAAAHP1M5E=",0)</f>
        <v>0</v>
      </c>
      <c r="EQ18" t="e">
        <f>AND(Ischemia_singlenet_25percent_ou!A1500,"AAAAAHP1M5I=")</f>
        <v>#VALUE!</v>
      </c>
      <c r="ER18" t="e">
        <f>AND(Ischemia_singlenet_25percent_ou!B1500,"AAAAAHP1M5M=")</f>
        <v>#VALUE!</v>
      </c>
      <c r="ES18">
        <f>IF(Ischemia_singlenet_25percent_ou!1501:1501,"AAAAAHP1M5Q=",0)</f>
        <v>0</v>
      </c>
      <c r="ET18" t="e">
        <f>AND(Ischemia_singlenet_25percent_ou!A1501,"AAAAAHP1M5U=")</f>
        <v>#VALUE!</v>
      </c>
      <c r="EU18" t="e">
        <f>AND(Ischemia_singlenet_25percent_ou!B1501,"AAAAAHP1M5Y=")</f>
        <v>#VALUE!</v>
      </c>
      <c r="EV18">
        <f>IF(Ischemia_singlenet_25percent_ou!1502:1502,"AAAAAHP1M5c=",0)</f>
        <v>0</v>
      </c>
      <c r="EW18" t="e">
        <f>AND(Ischemia_singlenet_25percent_ou!A1502,"AAAAAHP1M5g=")</f>
        <v>#VALUE!</v>
      </c>
      <c r="EX18" t="e">
        <f>AND(Ischemia_singlenet_25percent_ou!B1502,"AAAAAHP1M5k=")</f>
        <v>#VALUE!</v>
      </c>
      <c r="EY18">
        <f>IF(Ischemia_singlenet_25percent_ou!1503:1503,"AAAAAHP1M5o=",0)</f>
        <v>0</v>
      </c>
      <c r="EZ18" t="e">
        <f>AND(Ischemia_singlenet_25percent_ou!A1503,"AAAAAHP1M5s=")</f>
        <v>#VALUE!</v>
      </c>
      <c r="FA18" t="e">
        <f>AND(Ischemia_singlenet_25percent_ou!B1503,"AAAAAHP1M5w=")</f>
        <v>#VALUE!</v>
      </c>
      <c r="FB18">
        <f>IF(Ischemia_singlenet_25percent_ou!1504:1504,"AAAAAHP1M50=",0)</f>
        <v>0</v>
      </c>
      <c r="FC18" t="e">
        <f>AND(Ischemia_singlenet_25percent_ou!A1504,"AAAAAHP1M54=")</f>
        <v>#VALUE!</v>
      </c>
      <c r="FD18" t="e">
        <f>AND(Ischemia_singlenet_25percent_ou!B1504,"AAAAAHP1M58=")</f>
        <v>#VALUE!</v>
      </c>
      <c r="FE18">
        <f>IF(Ischemia_singlenet_25percent_ou!1505:1505,"AAAAAHP1M6A=",0)</f>
        <v>0</v>
      </c>
      <c r="FF18" t="e">
        <f>AND(Ischemia_singlenet_25percent_ou!A1505,"AAAAAHP1M6E=")</f>
        <v>#VALUE!</v>
      </c>
      <c r="FG18" t="e">
        <f>AND(Ischemia_singlenet_25percent_ou!B1505,"AAAAAHP1M6I=")</f>
        <v>#VALUE!</v>
      </c>
      <c r="FH18">
        <f>IF(Ischemia_singlenet_25percent_ou!1506:1506,"AAAAAHP1M6M=",0)</f>
        <v>0</v>
      </c>
      <c r="FI18" t="e">
        <f>AND(Ischemia_singlenet_25percent_ou!A1506,"AAAAAHP1M6Q=")</f>
        <v>#VALUE!</v>
      </c>
      <c r="FJ18" t="e">
        <f>AND(Ischemia_singlenet_25percent_ou!B1506,"AAAAAHP1M6U=")</f>
        <v>#VALUE!</v>
      </c>
      <c r="FK18">
        <f>IF(Ischemia_singlenet_25percent_ou!1507:1507,"AAAAAHP1M6Y=",0)</f>
        <v>0</v>
      </c>
      <c r="FL18" t="e">
        <f>AND(Ischemia_singlenet_25percent_ou!A1507,"AAAAAHP1M6c=")</f>
        <v>#VALUE!</v>
      </c>
      <c r="FM18" t="e">
        <f>AND(Ischemia_singlenet_25percent_ou!B1507,"AAAAAHP1M6g=")</f>
        <v>#VALUE!</v>
      </c>
      <c r="FN18">
        <f>IF(Ischemia_singlenet_25percent_ou!1508:1508,"AAAAAHP1M6k=",0)</f>
        <v>0</v>
      </c>
      <c r="FO18" t="e">
        <f>AND(Ischemia_singlenet_25percent_ou!A1508,"AAAAAHP1M6o=")</f>
        <v>#VALUE!</v>
      </c>
      <c r="FP18" t="e">
        <f>AND(Ischemia_singlenet_25percent_ou!B1508,"AAAAAHP1M6s=")</f>
        <v>#VALUE!</v>
      </c>
      <c r="FQ18">
        <f>IF(Ischemia_singlenet_25percent_ou!1509:1509,"AAAAAHP1M6w=",0)</f>
        <v>0</v>
      </c>
      <c r="FR18" t="e">
        <f>AND(Ischemia_singlenet_25percent_ou!A1509,"AAAAAHP1M60=")</f>
        <v>#VALUE!</v>
      </c>
      <c r="FS18" t="e">
        <f>AND(Ischemia_singlenet_25percent_ou!B1509,"AAAAAHP1M64=")</f>
        <v>#VALUE!</v>
      </c>
      <c r="FT18">
        <f>IF(Ischemia_singlenet_25percent_ou!1510:1510,"AAAAAHP1M68=",0)</f>
        <v>0</v>
      </c>
      <c r="FU18" t="e">
        <f>AND(Ischemia_singlenet_25percent_ou!A1510,"AAAAAHP1M7A=")</f>
        <v>#VALUE!</v>
      </c>
      <c r="FV18" t="e">
        <f>AND(Ischemia_singlenet_25percent_ou!B1510,"AAAAAHP1M7E=")</f>
        <v>#VALUE!</v>
      </c>
      <c r="FW18">
        <f>IF(Ischemia_singlenet_25percent_ou!1511:1511,"AAAAAHP1M7I=",0)</f>
        <v>0</v>
      </c>
      <c r="FX18" t="e">
        <f>AND(Ischemia_singlenet_25percent_ou!A1511,"AAAAAHP1M7M=")</f>
        <v>#VALUE!</v>
      </c>
      <c r="FY18" t="e">
        <f>AND(Ischemia_singlenet_25percent_ou!B1511,"AAAAAHP1M7Q=")</f>
        <v>#VALUE!</v>
      </c>
      <c r="FZ18">
        <f>IF(Ischemia_singlenet_25percent_ou!1512:1512,"AAAAAHP1M7U=",0)</f>
        <v>0</v>
      </c>
      <c r="GA18" t="e">
        <f>AND(Ischemia_singlenet_25percent_ou!A1512,"AAAAAHP1M7Y=")</f>
        <v>#VALUE!</v>
      </c>
      <c r="GB18" t="e">
        <f>AND(Ischemia_singlenet_25percent_ou!B1512,"AAAAAHP1M7c=")</f>
        <v>#VALUE!</v>
      </c>
      <c r="GC18">
        <f>IF(Ischemia_singlenet_25percent_ou!1513:1513,"AAAAAHP1M7g=",0)</f>
        <v>0</v>
      </c>
      <c r="GD18" t="e">
        <f>AND(Ischemia_singlenet_25percent_ou!A1513,"AAAAAHP1M7k=")</f>
        <v>#VALUE!</v>
      </c>
      <c r="GE18" t="e">
        <f>AND(Ischemia_singlenet_25percent_ou!B1513,"AAAAAHP1M7o=")</f>
        <v>#VALUE!</v>
      </c>
      <c r="GF18">
        <f>IF(Ischemia_singlenet_25percent_ou!1514:1514,"AAAAAHP1M7s=",0)</f>
        <v>0</v>
      </c>
      <c r="GG18" t="e">
        <f>AND(Ischemia_singlenet_25percent_ou!A1514,"AAAAAHP1M7w=")</f>
        <v>#VALUE!</v>
      </c>
      <c r="GH18" t="e">
        <f>AND(Ischemia_singlenet_25percent_ou!B1514,"AAAAAHP1M70=")</f>
        <v>#VALUE!</v>
      </c>
      <c r="GI18">
        <f>IF(Ischemia_singlenet_25percent_ou!1515:1515,"AAAAAHP1M74=",0)</f>
        <v>0</v>
      </c>
      <c r="GJ18" t="e">
        <f>AND(Ischemia_singlenet_25percent_ou!A1515,"AAAAAHP1M78=")</f>
        <v>#VALUE!</v>
      </c>
      <c r="GK18" t="e">
        <f>AND(Ischemia_singlenet_25percent_ou!B1515,"AAAAAHP1M8A=")</f>
        <v>#VALUE!</v>
      </c>
      <c r="GL18">
        <f>IF(Ischemia_singlenet_25percent_ou!1516:1516,"AAAAAHP1M8E=",0)</f>
        <v>0</v>
      </c>
      <c r="GM18" t="e">
        <f>AND(Ischemia_singlenet_25percent_ou!A1516,"AAAAAHP1M8I=")</f>
        <v>#VALUE!</v>
      </c>
      <c r="GN18" t="e">
        <f>AND(Ischemia_singlenet_25percent_ou!B1516,"AAAAAHP1M8M=")</f>
        <v>#VALUE!</v>
      </c>
      <c r="GO18">
        <f>IF(Ischemia_singlenet_25percent_ou!1517:1517,"AAAAAHP1M8Q=",0)</f>
        <v>0</v>
      </c>
      <c r="GP18" t="e">
        <f>AND(Ischemia_singlenet_25percent_ou!A1517,"AAAAAHP1M8U=")</f>
        <v>#VALUE!</v>
      </c>
      <c r="GQ18" t="e">
        <f>AND(Ischemia_singlenet_25percent_ou!B1517,"AAAAAHP1M8Y=")</f>
        <v>#VALUE!</v>
      </c>
      <c r="GR18">
        <f>IF(Ischemia_singlenet_25percent_ou!1518:1518,"AAAAAHP1M8c=",0)</f>
        <v>0</v>
      </c>
      <c r="GS18" t="e">
        <f>AND(Ischemia_singlenet_25percent_ou!A1518,"AAAAAHP1M8g=")</f>
        <v>#VALUE!</v>
      </c>
      <c r="GT18" t="e">
        <f>AND(Ischemia_singlenet_25percent_ou!B1518,"AAAAAHP1M8k=")</f>
        <v>#VALUE!</v>
      </c>
      <c r="GU18">
        <f>IF(Ischemia_singlenet_25percent_ou!1519:1519,"AAAAAHP1M8o=",0)</f>
        <v>0</v>
      </c>
      <c r="GV18" t="e">
        <f>AND(Ischemia_singlenet_25percent_ou!A1519,"AAAAAHP1M8s=")</f>
        <v>#VALUE!</v>
      </c>
      <c r="GW18" t="e">
        <f>AND(Ischemia_singlenet_25percent_ou!B1519,"AAAAAHP1M8w=")</f>
        <v>#VALUE!</v>
      </c>
      <c r="GX18">
        <f>IF(Ischemia_singlenet_25percent_ou!1520:1520,"AAAAAHP1M80=",0)</f>
        <v>0</v>
      </c>
      <c r="GY18" t="e">
        <f>AND(Ischemia_singlenet_25percent_ou!A1520,"AAAAAHP1M84=")</f>
        <v>#VALUE!</v>
      </c>
      <c r="GZ18" t="e">
        <f>AND(Ischemia_singlenet_25percent_ou!B1520,"AAAAAHP1M88=")</f>
        <v>#VALUE!</v>
      </c>
      <c r="HA18">
        <f>IF(Ischemia_singlenet_25percent_ou!1521:1521,"AAAAAHP1M9A=",0)</f>
        <v>0</v>
      </c>
      <c r="HB18" t="e">
        <f>AND(Ischemia_singlenet_25percent_ou!A1521,"AAAAAHP1M9E=")</f>
        <v>#VALUE!</v>
      </c>
      <c r="HC18" t="e">
        <f>AND(Ischemia_singlenet_25percent_ou!B1521,"AAAAAHP1M9I=")</f>
        <v>#VALUE!</v>
      </c>
      <c r="HD18">
        <f>IF(Ischemia_singlenet_25percent_ou!1522:1522,"AAAAAHP1M9M=",0)</f>
        <v>0</v>
      </c>
      <c r="HE18" t="e">
        <f>AND(Ischemia_singlenet_25percent_ou!A1522,"AAAAAHP1M9Q=")</f>
        <v>#VALUE!</v>
      </c>
      <c r="HF18" t="e">
        <f>AND(Ischemia_singlenet_25percent_ou!B1522,"AAAAAHP1M9U=")</f>
        <v>#VALUE!</v>
      </c>
      <c r="HG18">
        <f>IF(Ischemia_singlenet_25percent_ou!1523:1523,"AAAAAHP1M9Y=",0)</f>
        <v>0</v>
      </c>
      <c r="HH18" t="e">
        <f>AND(Ischemia_singlenet_25percent_ou!A1523,"AAAAAHP1M9c=")</f>
        <v>#VALUE!</v>
      </c>
      <c r="HI18" t="e">
        <f>AND(Ischemia_singlenet_25percent_ou!B1523,"AAAAAHP1M9g=")</f>
        <v>#VALUE!</v>
      </c>
      <c r="HJ18">
        <f>IF(Ischemia_singlenet_25percent_ou!1524:1524,"AAAAAHP1M9k=",0)</f>
        <v>0</v>
      </c>
      <c r="HK18" t="e">
        <f>AND(Ischemia_singlenet_25percent_ou!A1524,"AAAAAHP1M9o=")</f>
        <v>#VALUE!</v>
      </c>
      <c r="HL18" t="e">
        <f>AND(Ischemia_singlenet_25percent_ou!B1524,"AAAAAHP1M9s=")</f>
        <v>#VALUE!</v>
      </c>
      <c r="HM18">
        <f>IF(Ischemia_singlenet_25percent_ou!1525:1525,"AAAAAHP1M9w=",0)</f>
        <v>0</v>
      </c>
      <c r="HN18" t="e">
        <f>AND(Ischemia_singlenet_25percent_ou!A1525,"AAAAAHP1M90=")</f>
        <v>#VALUE!</v>
      </c>
      <c r="HO18" t="e">
        <f>AND(Ischemia_singlenet_25percent_ou!B1525,"AAAAAHP1M94=")</f>
        <v>#VALUE!</v>
      </c>
      <c r="HP18">
        <f>IF(Ischemia_singlenet_25percent_ou!1526:1526,"AAAAAHP1M98=",0)</f>
        <v>0</v>
      </c>
      <c r="HQ18" t="e">
        <f>AND(Ischemia_singlenet_25percent_ou!A1526,"AAAAAHP1M+A=")</f>
        <v>#VALUE!</v>
      </c>
      <c r="HR18" t="e">
        <f>AND(Ischemia_singlenet_25percent_ou!B1526,"AAAAAHP1M+E=")</f>
        <v>#VALUE!</v>
      </c>
      <c r="HS18">
        <f>IF(Ischemia_singlenet_25percent_ou!1527:1527,"AAAAAHP1M+I=",0)</f>
        <v>0</v>
      </c>
      <c r="HT18" t="e">
        <f>AND(Ischemia_singlenet_25percent_ou!A1527,"AAAAAHP1M+M=")</f>
        <v>#VALUE!</v>
      </c>
      <c r="HU18" t="e">
        <f>AND(Ischemia_singlenet_25percent_ou!B1527,"AAAAAHP1M+Q=")</f>
        <v>#VALUE!</v>
      </c>
      <c r="HV18">
        <f>IF(Ischemia_singlenet_25percent_ou!1528:1528,"AAAAAHP1M+U=",0)</f>
        <v>0</v>
      </c>
      <c r="HW18" t="e">
        <f>AND(Ischemia_singlenet_25percent_ou!A1528,"AAAAAHP1M+Y=")</f>
        <v>#VALUE!</v>
      </c>
      <c r="HX18" t="e">
        <f>AND(Ischemia_singlenet_25percent_ou!B1528,"AAAAAHP1M+c=")</f>
        <v>#VALUE!</v>
      </c>
      <c r="HY18">
        <f>IF(Ischemia_singlenet_25percent_ou!1529:1529,"AAAAAHP1M+g=",0)</f>
        <v>0</v>
      </c>
      <c r="HZ18" t="e">
        <f>AND(Ischemia_singlenet_25percent_ou!A1529,"AAAAAHP1M+k=")</f>
        <v>#VALUE!</v>
      </c>
      <c r="IA18" t="e">
        <f>AND(Ischemia_singlenet_25percent_ou!B1529,"AAAAAHP1M+o=")</f>
        <v>#VALUE!</v>
      </c>
      <c r="IB18">
        <f>IF(Ischemia_singlenet_25percent_ou!1530:1530,"AAAAAHP1M+s=",0)</f>
        <v>0</v>
      </c>
      <c r="IC18" t="e">
        <f>AND(Ischemia_singlenet_25percent_ou!A1530,"AAAAAHP1M+w=")</f>
        <v>#VALUE!</v>
      </c>
      <c r="ID18" t="e">
        <f>AND(Ischemia_singlenet_25percent_ou!B1530,"AAAAAHP1M+0=")</f>
        <v>#VALUE!</v>
      </c>
      <c r="IE18">
        <f>IF(Ischemia_singlenet_25percent_ou!1531:1531,"AAAAAHP1M+4=",0)</f>
        <v>0</v>
      </c>
      <c r="IF18" t="e">
        <f>AND(Ischemia_singlenet_25percent_ou!A1531,"AAAAAHP1M+8=")</f>
        <v>#VALUE!</v>
      </c>
      <c r="IG18" t="e">
        <f>AND(Ischemia_singlenet_25percent_ou!B1531,"AAAAAHP1M/A=")</f>
        <v>#VALUE!</v>
      </c>
      <c r="IH18">
        <f>IF(Ischemia_singlenet_25percent_ou!1532:1532,"AAAAAHP1M/E=",0)</f>
        <v>0</v>
      </c>
      <c r="II18" t="e">
        <f>AND(Ischemia_singlenet_25percent_ou!A1532,"AAAAAHP1M/I=")</f>
        <v>#VALUE!</v>
      </c>
      <c r="IJ18" t="e">
        <f>AND(Ischemia_singlenet_25percent_ou!B1532,"AAAAAHP1M/M=")</f>
        <v>#VALUE!</v>
      </c>
      <c r="IK18">
        <f>IF(Ischemia_singlenet_25percent_ou!1533:1533,"AAAAAHP1M/Q=",0)</f>
        <v>0</v>
      </c>
      <c r="IL18" t="e">
        <f>AND(Ischemia_singlenet_25percent_ou!A1533,"AAAAAHP1M/U=")</f>
        <v>#VALUE!</v>
      </c>
      <c r="IM18" t="e">
        <f>AND(Ischemia_singlenet_25percent_ou!B1533,"AAAAAHP1M/Y=")</f>
        <v>#VALUE!</v>
      </c>
      <c r="IN18">
        <f>IF(Ischemia_singlenet_25percent_ou!1534:1534,"AAAAAHP1M/c=",0)</f>
        <v>0</v>
      </c>
      <c r="IO18" t="e">
        <f>AND(Ischemia_singlenet_25percent_ou!A1534,"AAAAAHP1M/g=")</f>
        <v>#VALUE!</v>
      </c>
      <c r="IP18" t="e">
        <f>AND(Ischemia_singlenet_25percent_ou!B1534,"AAAAAHP1M/k=")</f>
        <v>#VALUE!</v>
      </c>
      <c r="IQ18">
        <f>IF(Ischemia_singlenet_25percent_ou!1535:1535,"AAAAAHP1M/o=",0)</f>
        <v>0</v>
      </c>
      <c r="IR18" t="e">
        <f>AND(Ischemia_singlenet_25percent_ou!A1535,"AAAAAHP1M/s=")</f>
        <v>#VALUE!</v>
      </c>
      <c r="IS18" t="e">
        <f>AND(Ischemia_singlenet_25percent_ou!B1535,"AAAAAHP1M/w=")</f>
        <v>#VALUE!</v>
      </c>
      <c r="IT18">
        <f>IF(Ischemia_singlenet_25percent_ou!1536:1536,"AAAAAHP1M/0=",0)</f>
        <v>0</v>
      </c>
      <c r="IU18" t="e">
        <f>AND(Ischemia_singlenet_25percent_ou!A1536,"AAAAAHP1M/4=")</f>
        <v>#VALUE!</v>
      </c>
      <c r="IV18" t="e">
        <f>AND(Ischemia_singlenet_25percent_ou!B1536,"AAAAAHP1M/8=")</f>
        <v>#VALUE!</v>
      </c>
    </row>
    <row r="19" spans="1:256">
      <c r="A19" t="e">
        <f>IF(Ischemia_singlenet_25percent_ou!1537:1537,"AAAAAH611gA=",0)</f>
        <v>#VALUE!</v>
      </c>
      <c r="B19" t="e">
        <f>AND(Ischemia_singlenet_25percent_ou!A1537,"AAAAAH611gE=")</f>
        <v>#VALUE!</v>
      </c>
      <c r="C19" t="e">
        <f>AND(Ischemia_singlenet_25percent_ou!B1537,"AAAAAH611gI=")</f>
        <v>#VALUE!</v>
      </c>
      <c r="D19">
        <f>IF(Ischemia_singlenet_25percent_ou!1538:1538,"AAAAAH611gM=",0)</f>
        <v>0</v>
      </c>
      <c r="E19" t="e">
        <f>AND(Ischemia_singlenet_25percent_ou!A1538,"AAAAAH611gQ=")</f>
        <v>#VALUE!</v>
      </c>
      <c r="F19" t="e">
        <f>AND(Ischemia_singlenet_25percent_ou!B1538,"AAAAAH611gU=")</f>
        <v>#VALUE!</v>
      </c>
      <c r="G19">
        <f>IF(Ischemia_singlenet_25percent_ou!1539:1539,"AAAAAH611gY=",0)</f>
        <v>0</v>
      </c>
      <c r="H19" t="e">
        <f>AND(Ischemia_singlenet_25percent_ou!A1539,"AAAAAH611gc=")</f>
        <v>#VALUE!</v>
      </c>
      <c r="I19" t="e">
        <f>AND(Ischemia_singlenet_25percent_ou!B1539,"AAAAAH611gg=")</f>
        <v>#VALUE!</v>
      </c>
      <c r="J19">
        <f>IF(Ischemia_singlenet_25percent_ou!1540:1540,"AAAAAH611gk=",0)</f>
        <v>0</v>
      </c>
      <c r="K19" t="e">
        <f>AND(Ischemia_singlenet_25percent_ou!A1540,"AAAAAH611go=")</f>
        <v>#VALUE!</v>
      </c>
      <c r="L19" t="e">
        <f>AND(Ischemia_singlenet_25percent_ou!B1540,"AAAAAH611gs=")</f>
        <v>#VALUE!</v>
      </c>
      <c r="M19">
        <f>IF(Ischemia_singlenet_25percent_ou!1541:1541,"AAAAAH611gw=",0)</f>
        <v>0</v>
      </c>
      <c r="N19" t="e">
        <f>AND(Ischemia_singlenet_25percent_ou!A1541,"AAAAAH611g0=")</f>
        <v>#VALUE!</v>
      </c>
      <c r="O19" t="e">
        <f>AND(Ischemia_singlenet_25percent_ou!B1541,"AAAAAH611g4=")</f>
        <v>#VALUE!</v>
      </c>
      <c r="P19">
        <f>IF(Ischemia_singlenet_25percent_ou!1542:1542,"AAAAAH611g8=",0)</f>
        <v>0</v>
      </c>
      <c r="Q19" t="e">
        <f>AND(Ischemia_singlenet_25percent_ou!A1542,"AAAAAH611hA=")</f>
        <v>#VALUE!</v>
      </c>
      <c r="R19" t="e">
        <f>AND(Ischemia_singlenet_25percent_ou!B1542,"AAAAAH611hE=")</f>
        <v>#VALUE!</v>
      </c>
      <c r="S19">
        <f>IF(Ischemia_singlenet_25percent_ou!1543:1543,"AAAAAH611hI=",0)</f>
        <v>0</v>
      </c>
      <c r="T19" t="e">
        <f>AND(Ischemia_singlenet_25percent_ou!A1543,"AAAAAH611hM=")</f>
        <v>#VALUE!</v>
      </c>
      <c r="U19" t="e">
        <f>AND(Ischemia_singlenet_25percent_ou!B1543,"AAAAAH611hQ=")</f>
        <v>#VALUE!</v>
      </c>
      <c r="V19">
        <f>IF(Ischemia_singlenet_25percent_ou!1544:1544,"AAAAAH611hU=",0)</f>
        <v>0</v>
      </c>
      <c r="W19" t="e">
        <f>AND(Ischemia_singlenet_25percent_ou!A1544,"AAAAAH611hY=")</f>
        <v>#VALUE!</v>
      </c>
      <c r="X19" t="e">
        <f>AND(Ischemia_singlenet_25percent_ou!B1544,"AAAAAH611hc=")</f>
        <v>#VALUE!</v>
      </c>
      <c r="Y19">
        <f>IF(Ischemia_singlenet_25percent_ou!1545:1545,"AAAAAH611hg=",0)</f>
        <v>0</v>
      </c>
      <c r="Z19" t="e">
        <f>AND(Ischemia_singlenet_25percent_ou!A1545,"AAAAAH611hk=")</f>
        <v>#VALUE!</v>
      </c>
      <c r="AA19" t="e">
        <f>AND(Ischemia_singlenet_25percent_ou!B1545,"AAAAAH611ho=")</f>
        <v>#VALUE!</v>
      </c>
      <c r="AB19">
        <f>IF(Ischemia_singlenet_25percent_ou!1546:1546,"AAAAAH611hs=",0)</f>
        <v>0</v>
      </c>
      <c r="AC19" t="e">
        <f>AND(Ischemia_singlenet_25percent_ou!A1546,"AAAAAH611hw=")</f>
        <v>#VALUE!</v>
      </c>
      <c r="AD19" t="e">
        <f>AND(Ischemia_singlenet_25percent_ou!B1546,"AAAAAH611h0=")</f>
        <v>#VALUE!</v>
      </c>
      <c r="AE19">
        <f>IF(Ischemia_singlenet_25percent_ou!1547:1547,"AAAAAH611h4=",0)</f>
        <v>0</v>
      </c>
      <c r="AF19" t="e">
        <f>AND(Ischemia_singlenet_25percent_ou!A1547,"AAAAAH611h8=")</f>
        <v>#VALUE!</v>
      </c>
      <c r="AG19" t="e">
        <f>AND(Ischemia_singlenet_25percent_ou!B1547,"AAAAAH611iA=")</f>
        <v>#VALUE!</v>
      </c>
      <c r="AH19">
        <f>IF(Ischemia_singlenet_25percent_ou!1548:1548,"AAAAAH611iE=",0)</f>
        <v>0</v>
      </c>
      <c r="AI19" t="e">
        <f>AND(Ischemia_singlenet_25percent_ou!A1548,"AAAAAH611iI=")</f>
        <v>#VALUE!</v>
      </c>
      <c r="AJ19" t="e">
        <f>AND(Ischemia_singlenet_25percent_ou!B1548,"AAAAAH611iM=")</f>
        <v>#VALUE!</v>
      </c>
      <c r="AK19">
        <f>IF(Ischemia_singlenet_25percent_ou!1549:1549,"AAAAAH611iQ=",0)</f>
        <v>0</v>
      </c>
      <c r="AL19" t="e">
        <f>AND(Ischemia_singlenet_25percent_ou!A1549,"AAAAAH611iU=")</f>
        <v>#VALUE!</v>
      </c>
      <c r="AM19" t="e">
        <f>AND(Ischemia_singlenet_25percent_ou!B1549,"AAAAAH611iY=")</f>
        <v>#VALUE!</v>
      </c>
      <c r="AN19">
        <f>IF(Ischemia_singlenet_25percent_ou!1550:1550,"AAAAAH611ic=",0)</f>
        <v>0</v>
      </c>
      <c r="AO19" t="e">
        <f>AND(Ischemia_singlenet_25percent_ou!A1550,"AAAAAH611ig=")</f>
        <v>#VALUE!</v>
      </c>
      <c r="AP19" t="e">
        <f>AND(Ischemia_singlenet_25percent_ou!B1550,"AAAAAH611ik=")</f>
        <v>#VALUE!</v>
      </c>
      <c r="AQ19">
        <f>IF(Ischemia_singlenet_25percent_ou!1551:1551,"AAAAAH611io=",0)</f>
        <v>0</v>
      </c>
      <c r="AR19" t="e">
        <f>AND(Ischemia_singlenet_25percent_ou!A1551,"AAAAAH611is=")</f>
        <v>#VALUE!</v>
      </c>
      <c r="AS19" t="e">
        <f>AND(Ischemia_singlenet_25percent_ou!B1551,"AAAAAH611iw=")</f>
        <v>#VALUE!</v>
      </c>
      <c r="AT19">
        <f>IF(Ischemia_singlenet_25percent_ou!1552:1552,"AAAAAH611i0=",0)</f>
        <v>0</v>
      </c>
      <c r="AU19" t="e">
        <f>AND(Ischemia_singlenet_25percent_ou!A1552,"AAAAAH611i4=")</f>
        <v>#VALUE!</v>
      </c>
      <c r="AV19" t="e">
        <f>AND(Ischemia_singlenet_25percent_ou!B1552,"AAAAAH611i8=")</f>
        <v>#VALUE!</v>
      </c>
      <c r="AW19">
        <f>IF(Ischemia_singlenet_25percent_ou!1553:1553,"AAAAAH611jA=",0)</f>
        <v>0</v>
      </c>
      <c r="AX19" t="e">
        <f>AND(Ischemia_singlenet_25percent_ou!A1553,"AAAAAH611jE=")</f>
        <v>#VALUE!</v>
      </c>
      <c r="AY19" t="e">
        <f>AND(Ischemia_singlenet_25percent_ou!B1553,"AAAAAH611jI=")</f>
        <v>#VALUE!</v>
      </c>
      <c r="AZ19">
        <f>IF(Ischemia_singlenet_25percent_ou!1554:1554,"AAAAAH611jM=",0)</f>
        <v>0</v>
      </c>
      <c r="BA19" t="e">
        <f>AND(Ischemia_singlenet_25percent_ou!A1554,"AAAAAH611jQ=")</f>
        <v>#VALUE!</v>
      </c>
      <c r="BB19" t="e">
        <f>AND(Ischemia_singlenet_25percent_ou!B1554,"AAAAAH611jU=")</f>
        <v>#VALUE!</v>
      </c>
      <c r="BC19">
        <f>IF(Ischemia_singlenet_25percent_ou!1555:1555,"AAAAAH611jY=",0)</f>
        <v>0</v>
      </c>
      <c r="BD19" t="e">
        <f>AND(Ischemia_singlenet_25percent_ou!A1555,"AAAAAH611jc=")</f>
        <v>#VALUE!</v>
      </c>
      <c r="BE19" t="e">
        <f>AND(Ischemia_singlenet_25percent_ou!B1555,"AAAAAH611jg=")</f>
        <v>#VALUE!</v>
      </c>
      <c r="BF19">
        <f>IF(Ischemia_singlenet_25percent_ou!1556:1556,"AAAAAH611jk=",0)</f>
        <v>0</v>
      </c>
      <c r="BG19" t="e">
        <f>AND(Ischemia_singlenet_25percent_ou!A1556,"AAAAAH611jo=")</f>
        <v>#VALUE!</v>
      </c>
      <c r="BH19" t="e">
        <f>AND(Ischemia_singlenet_25percent_ou!B1556,"AAAAAH611js=")</f>
        <v>#VALUE!</v>
      </c>
      <c r="BI19">
        <f>IF(Ischemia_singlenet_25percent_ou!1557:1557,"AAAAAH611jw=",0)</f>
        <v>0</v>
      </c>
      <c r="BJ19" t="e">
        <f>AND(Ischemia_singlenet_25percent_ou!A1557,"AAAAAH611j0=")</f>
        <v>#VALUE!</v>
      </c>
      <c r="BK19" t="e">
        <f>AND(Ischemia_singlenet_25percent_ou!B1557,"AAAAAH611j4=")</f>
        <v>#VALUE!</v>
      </c>
      <c r="BL19">
        <f>IF(Ischemia_singlenet_25percent_ou!1558:1558,"AAAAAH611j8=",0)</f>
        <v>0</v>
      </c>
      <c r="BM19" t="e">
        <f>AND(Ischemia_singlenet_25percent_ou!A1558,"AAAAAH611kA=")</f>
        <v>#VALUE!</v>
      </c>
      <c r="BN19" t="e">
        <f>AND(Ischemia_singlenet_25percent_ou!B1558,"AAAAAH611kE=")</f>
        <v>#VALUE!</v>
      </c>
      <c r="BO19">
        <f>IF(Ischemia_singlenet_25percent_ou!1559:1559,"AAAAAH611kI=",0)</f>
        <v>0</v>
      </c>
      <c r="BP19" t="e">
        <f>AND(Ischemia_singlenet_25percent_ou!A1559,"AAAAAH611kM=")</f>
        <v>#VALUE!</v>
      </c>
      <c r="BQ19" t="e">
        <f>AND(Ischemia_singlenet_25percent_ou!B1559,"AAAAAH611kQ=")</f>
        <v>#VALUE!</v>
      </c>
      <c r="BR19">
        <f>IF(Ischemia_singlenet_25percent_ou!1560:1560,"AAAAAH611kU=",0)</f>
        <v>0</v>
      </c>
      <c r="BS19" t="e">
        <f>AND(Ischemia_singlenet_25percent_ou!A1560,"AAAAAH611kY=")</f>
        <v>#VALUE!</v>
      </c>
      <c r="BT19" t="e">
        <f>AND(Ischemia_singlenet_25percent_ou!B1560,"AAAAAH611kc=")</f>
        <v>#VALUE!</v>
      </c>
      <c r="BU19">
        <f>IF(Ischemia_singlenet_25percent_ou!1561:1561,"AAAAAH611kg=",0)</f>
        <v>0</v>
      </c>
      <c r="BV19" t="e">
        <f>AND(Ischemia_singlenet_25percent_ou!A1561,"AAAAAH611kk=")</f>
        <v>#VALUE!</v>
      </c>
      <c r="BW19" t="e">
        <f>AND(Ischemia_singlenet_25percent_ou!B1561,"AAAAAH611ko=")</f>
        <v>#VALUE!</v>
      </c>
      <c r="BX19">
        <f>IF(Ischemia_singlenet_25percent_ou!1562:1562,"AAAAAH611ks=",0)</f>
        <v>0</v>
      </c>
      <c r="BY19" t="e">
        <f>AND(Ischemia_singlenet_25percent_ou!A1562,"AAAAAH611kw=")</f>
        <v>#VALUE!</v>
      </c>
      <c r="BZ19" t="e">
        <f>AND(Ischemia_singlenet_25percent_ou!B1562,"AAAAAH611k0=")</f>
        <v>#VALUE!</v>
      </c>
      <c r="CA19">
        <f>IF(Ischemia_singlenet_25percent_ou!1563:1563,"AAAAAH611k4=",0)</f>
        <v>0</v>
      </c>
      <c r="CB19" t="e">
        <f>AND(Ischemia_singlenet_25percent_ou!A1563,"AAAAAH611k8=")</f>
        <v>#VALUE!</v>
      </c>
      <c r="CC19" t="e">
        <f>AND(Ischemia_singlenet_25percent_ou!B1563,"AAAAAH611lA=")</f>
        <v>#VALUE!</v>
      </c>
      <c r="CD19">
        <f>IF(Ischemia_singlenet_25percent_ou!1564:1564,"AAAAAH611lE=",0)</f>
        <v>0</v>
      </c>
      <c r="CE19" t="e">
        <f>AND(Ischemia_singlenet_25percent_ou!A1564,"AAAAAH611lI=")</f>
        <v>#VALUE!</v>
      </c>
      <c r="CF19" t="e">
        <f>AND(Ischemia_singlenet_25percent_ou!B1564,"AAAAAH611lM=")</f>
        <v>#VALUE!</v>
      </c>
      <c r="CG19">
        <f>IF(Ischemia_singlenet_25percent_ou!1565:1565,"AAAAAH611lQ=",0)</f>
        <v>0</v>
      </c>
      <c r="CH19" t="e">
        <f>AND(Ischemia_singlenet_25percent_ou!A1565,"AAAAAH611lU=")</f>
        <v>#VALUE!</v>
      </c>
      <c r="CI19" t="e">
        <f>AND(Ischemia_singlenet_25percent_ou!B1565,"AAAAAH611lY=")</f>
        <v>#VALUE!</v>
      </c>
      <c r="CJ19">
        <f>IF(Ischemia_singlenet_25percent_ou!1566:1566,"AAAAAH611lc=",0)</f>
        <v>0</v>
      </c>
      <c r="CK19" t="e">
        <f>AND(Ischemia_singlenet_25percent_ou!A1566,"AAAAAH611lg=")</f>
        <v>#VALUE!</v>
      </c>
      <c r="CL19" t="e">
        <f>AND(Ischemia_singlenet_25percent_ou!B1566,"AAAAAH611lk=")</f>
        <v>#VALUE!</v>
      </c>
      <c r="CM19">
        <f>IF(Ischemia_singlenet_25percent_ou!1567:1567,"AAAAAH611lo=",0)</f>
        <v>0</v>
      </c>
      <c r="CN19" t="e">
        <f>AND(Ischemia_singlenet_25percent_ou!A1567,"AAAAAH611ls=")</f>
        <v>#VALUE!</v>
      </c>
      <c r="CO19" t="e">
        <f>AND(Ischemia_singlenet_25percent_ou!B1567,"AAAAAH611lw=")</f>
        <v>#VALUE!</v>
      </c>
      <c r="CP19">
        <f>IF(Ischemia_singlenet_25percent_ou!1568:1568,"AAAAAH611l0=",0)</f>
        <v>0</v>
      </c>
      <c r="CQ19" t="e">
        <f>AND(Ischemia_singlenet_25percent_ou!A1568,"AAAAAH611l4=")</f>
        <v>#VALUE!</v>
      </c>
      <c r="CR19" t="e">
        <f>AND(Ischemia_singlenet_25percent_ou!B1568,"AAAAAH611l8=")</f>
        <v>#VALUE!</v>
      </c>
      <c r="CS19">
        <f>IF(Ischemia_singlenet_25percent_ou!1569:1569,"AAAAAH611mA=",0)</f>
        <v>0</v>
      </c>
      <c r="CT19" t="e">
        <f>AND(Ischemia_singlenet_25percent_ou!A1569,"AAAAAH611mE=")</f>
        <v>#VALUE!</v>
      </c>
      <c r="CU19" t="e">
        <f>AND(Ischemia_singlenet_25percent_ou!B1569,"AAAAAH611mI=")</f>
        <v>#VALUE!</v>
      </c>
      <c r="CV19">
        <f>IF(Ischemia_singlenet_25percent_ou!1570:1570,"AAAAAH611mM=",0)</f>
        <v>0</v>
      </c>
      <c r="CW19" t="e">
        <f>AND(Ischemia_singlenet_25percent_ou!A1570,"AAAAAH611mQ=")</f>
        <v>#VALUE!</v>
      </c>
      <c r="CX19" t="e">
        <f>AND(Ischemia_singlenet_25percent_ou!B1570,"AAAAAH611mU=")</f>
        <v>#VALUE!</v>
      </c>
      <c r="CY19">
        <f>IF(Ischemia_singlenet_25percent_ou!1571:1571,"AAAAAH611mY=",0)</f>
        <v>0</v>
      </c>
      <c r="CZ19" t="e">
        <f>AND(Ischemia_singlenet_25percent_ou!A1571,"AAAAAH611mc=")</f>
        <v>#VALUE!</v>
      </c>
      <c r="DA19" t="e">
        <f>AND(Ischemia_singlenet_25percent_ou!B1571,"AAAAAH611mg=")</f>
        <v>#VALUE!</v>
      </c>
      <c r="DB19">
        <f>IF(Ischemia_singlenet_25percent_ou!1572:1572,"AAAAAH611mk=",0)</f>
        <v>0</v>
      </c>
      <c r="DC19" t="e">
        <f>AND(Ischemia_singlenet_25percent_ou!A1572,"AAAAAH611mo=")</f>
        <v>#VALUE!</v>
      </c>
      <c r="DD19" t="e">
        <f>AND(Ischemia_singlenet_25percent_ou!B1572,"AAAAAH611ms=")</f>
        <v>#VALUE!</v>
      </c>
      <c r="DE19">
        <f>IF(Ischemia_singlenet_25percent_ou!1573:1573,"AAAAAH611mw=",0)</f>
        <v>0</v>
      </c>
      <c r="DF19" t="e">
        <f>AND(Ischemia_singlenet_25percent_ou!A1573,"AAAAAH611m0=")</f>
        <v>#VALUE!</v>
      </c>
      <c r="DG19" t="e">
        <f>AND(Ischemia_singlenet_25percent_ou!B1573,"AAAAAH611m4=")</f>
        <v>#VALUE!</v>
      </c>
      <c r="DH19">
        <f>IF(Ischemia_singlenet_25percent_ou!1574:1574,"AAAAAH611m8=",0)</f>
        <v>0</v>
      </c>
      <c r="DI19" t="e">
        <f>AND(Ischemia_singlenet_25percent_ou!A1574,"AAAAAH611nA=")</f>
        <v>#VALUE!</v>
      </c>
      <c r="DJ19" t="e">
        <f>AND(Ischemia_singlenet_25percent_ou!B1574,"AAAAAH611nE=")</f>
        <v>#VALUE!</v>
      </c>
      <c r="DK19">
        <f>IF(Ischemia_singlenet_25percent_ou!1575:1575,"AAAAAH611nI=",0)</f>
        <v>0</v>
      </c>
      <c r="DL19" t="e">
        <f>AND(Ischemia_singlenet_25percent_ou!A1575,"AAAAAH611nM=")</f>
        <v>#VALUE!</v>
      </c>
      <c r="DM19" t="e">
        <f>AND(Ischemia_singlenet_25percent_ou!B1575,"AAAAAH611nQ=")</f>
        <v>#VALUE!</v>
      </c>
      <c r="DN19">
        <f>IF(Ischemia_singlenet_25percent_ou!1576:1576,"AAAAAH611nU=",0)</f>
        <v>0</v>
      </c>
      <c r="DO19" t="e">
        <f>AND(Ischemia_singlenet_25percent_ou!A1576,"AAAAAH611nY=")</f>
        <v>#VALUE!</v>
      </c>
      <c r="DP19" t="e">
        <f>AND(Ischemia_singlenet_25percent_ou!B1576,"AAAAAH611nc=")</f>
        <v>#VALUE!</v>
      </c>
      <c r="DQ19">
        <f>IF(Ischemia_singlenet_25percent_ou!1577:1577,"AAAAAH611ng=",0)</f>
        <v>0</v>
      </c>
      <c r="DR19" t="e">
        <f>AND(Ischemia_singlenet_25percent_ou!A1577,"AAAAAH611nk=")</f>
        <v>#VALUE!</v>
      </c>
      <c r="DS19" t="e">
        <f>AND(Ischemia_singlenet_25percent_ou!B1577,"AAAAAH611no=")</f>
        <v>#VALUE!</v>
      </c>
      <c r="DT19">
        <f>IF(Ischemia_singlenet_25percent_ou!1578:1578,"AAAAAH611ns=",0)</f>
        <v>0</v>
      </c>
      <c r="DU19" t="e">
        <f>AND(Ischemia_singlenet_25percent_ou!A1578,"AAAAAH611nw=")</f>
        <v>#VALUE!</v>
      </c>
      <c r="DV19" t="e">
        <f>AND(Ischemia_singlenet_25percent_ou!B1578,"AAAAAH611n0=")</f>
        <v>#VALUE!</v>
      </c>
      <c r="DW19">
        <f>IF(Ischemia_singlenet_25percent_ou!1579:1579,"AAAAAH611n4=",0)</f>
        <v>0</v>
      </c>
      <c r="DX19" t="e">
        <f>AND(Ischemia_singlenet_25percent_ou!A1579,"AAAAAH611n8=")</f>
        <v>#VALUE!</v>
      </c>
      <c r="DY19" t="e">
        <f>AND(Ischemia_singlenet_25percent_ou!B1579,"AAAAAH611oA=")</f>
        <v>#VALUE!</v>
      </c>
      <c r="DZ19">
        <f>IF(Ischemia_singlenet_25percent_ou!1580:1580,"AAAAAH611oE=",0)</f>
        <v>0</v>
      </c>
      <c r="EA19" t="e">
        <f>AND(Ischemia_singlenet_25percent_ou!A1580,"AAAAAH611oI=")</f>
        <v>#VALUE!</v>
      </c>
      <c r="EB19" t="e">
        <f>AND(Ischemia_singlenet_25percent_ou!B1580,"AAAAAH611oM=")</f>
        <v>#VALUE!</v>
      </c>
      <c r="EC19">
        <f>IF(Ischemia_singlenet_25percent_ou!1581:1581,"AAAAAH611oQ=",0)</f>
        <v>0</v>
      </c>
      <c r="ED19" t="e">
        <f>AND(Ischemia_singlenet_25percent_ou!A1581,"AAAAAH611oU=")</f>
        <v>#VALUE!</v>
      </c>
      <c r="EE19" t="e">
        <f>AND(Ischemia_singlenet_25percent_ou!B1581,"AAAAAH611oY=")</f>
        <v>#VALUE!</v>
      </c>
      <c r="EF19">
        <f>IF(Ischemia_singlenet_25percent_ou!1582:1582,"AAAAAH611oc=",0)</f>
        <v>0</v>
      </c>
      <c r="EG19" t="e">
        <f>AND(Ischemia_singlenet_25percent_ou!A1582,"AAAAAH611og=")</f>
        <v>#VALUE!</v>
      </c>
      <c r="EH19" t="e">
        <f>AND(Ischemia_singlenet_25percent_ou!B1582,"AAAAAH611ok=")</f>
        <v>#VALUE!</v>
      </c>
      <c r="EI19">
        <f>IF(Ischemia_singlenet_25percent_ou!1583:1583,"AAAAAH611oo=",0)</f>
        <v>0</v>
      </c>
      <c r="EJ19" t="e">
        <f>AND(Ischemia_singlenet_25percent_ou!A1583,"AAAAAH611os=")</f>
        <v>#VALUE!</v>
      </c>
      <c r="EK19" t="e">
        <f>AND(Ischemia_singlenet_25percent_ou!B1583,"AAAAAH611ow=")</f>
        <v>#VALUE!</v>
      </c>
      <c r="EL19">
        <f>IF(Ischemia_singlenet_25percent_ou!1584:1584,"AAAAAH611o0=",0)</f>
        <v>0</v>
      </c>
      <c r="EM19" t="e">
        <f>AND(Ischemia_singlenet_25percent_ou!A1584,"AAAAAH611o4=")</f>
        <v>#VALUE!</v>
      </c>
      <c r="EN19" t="e">
        <f>AND(Ischemia_singlenet_25percent_ou!B1584,"AAAAAH611o8=")</f>
        <v>#VALUE!</v>
      </c>
      <c r="EO19">
        <f>IF(Ischemia_singlenet_25percent_ou!1585:1585,"AAAAAH611pA=",0)</f>
        <v>0</v>
      </c>
      <c r="EP19" t="e">
        <f>AND(Ischemia_singlenet_25percent_ou!A1585,"AAAAAH611pE=")</f>
        <v>#VALUE!</v>
      </c>
      <c r="EQ19" t="e">
        <f>AND(Ischemia_singlenet_25percent_ou!B1585,"AAAAAH611pI=")</f>
        <v>#VALUE!</v>
      </c>
      <c r="ER19">
        <f>IF(Ischemia_singlenet_25percent_ou!1586:1586,"AAAAAH611pM=",0)</f>
        <v>0</v>
      </c>
      <c r="ES19" t="e">
        <f>AND(Ischemia_singlenet_25percent_ou!A1586,"AAAAAH611pQ=")</f>
        <v>#VALUE!</v>
      </c>
      <c r="ET19" t="e">
        <f>AND(Ischemia_singlenet_25percent_ou!B1586,"AAAAAH611pU=")</f>
        <v>#VALUE!</v>
      </c>
      <c r="EU19">
        <f>IF(Ischemia_singlenet_25percent_ou!1587:1587,"AAAAAH611pY=",0)</f>
        <v>0</v>
      </c>
      <c r="EV19" t="e">
        <f>AND(Ischemia_singlenet_25percent_ou!A1587,"AAAAAH611pc=")</f>
        <v>#VALUE!</v>
      </c>
      <c r="EW19" t="e">
        <f>AND(Ischemia_singlenet_25percent_ou!B1587,"AAAAAH611pg=")</f>
        <v>#VALUE!</v>
      </c>
      <c r="EX19">
        <f>IF(Ischemia_singlenet_25percent_ou!1588:1588,"AAAAAH611pk=",0)</f>
        <v>0</v>
      </c>
      <c r="EY19" t="e">
        <f>AND(Ischemia_singlenet_25percent_ou!A1588,"AAAAAH611po=")</f>
        <v>#VALUE!</v>
      </c>
      <c r="EZ19" t="e">
        <f>AND(Ischemia_singlenet_25percent_ou!B1588,"AAAAAH611ps=")</f>
        <v>#VALUE!</v>
      </c>
      <c r="FA19">
        <f>IF(Ischemia_singlenet_25percent_ou!1589:1589,"AAAAAH611pw=",0)</f>
        <v>0</v>
      </c>
      <c r="FB19" t="e">
        <f>AND(Ischemia_singlenet_25percent_ou!A1589,"AAAAAH611p0=")</f>
        <v>#VALUE!</v>
      </c>
      <c r="FC19" t="e">
        <f>AND(Ischemia_singlenet_25percent_ou!B1589,"AAAAAH611p4=")</f>
        <v>#VALUE!</v>
      </c>
      <c r="FD19">
        <f>IF(Ischemia_singlenet_25percent_ou!1590:1590,"AAAAAH611p8=",0)</f>
        <v>0</v>
      </c>
      <c r="FE19" t="e">
        <f>AND(Ischemia_singlenet_25percent_ou!A1590,"AAAAAH611qA=")</f>
        <v>#VALUE!</v>
      </c>
      <c r="FF19" t="e">
        <f>AND(Ischemia_singlenet_25percent_ou!B1590,"AAAAAH611qE=")</f>
        <v>#VALUE!</v>
      </c>
      <c r="FG19">
        <f>IF(Ischemia_singlenet_25percent_ou!1591:1591,"AAAAAH611qI=",0)</f>
        <v>0</v>
      </c>
      <c r="FH19" t="e">
        <f>AND(Ischemia_singlenet_25percent_ou!A1591,"AAAAAH611qM=")</f>
        <v>#VALUE!</v>
      </c>
      <c r="FI19" t="e">
        <f>AND(Ischemia_singlenet_25percent_ou!B1591,"AAAAAH611qQ=")</f>
        <v>#VALUE!</v>
      </c>
      <c r="FJ19">
        <f>IF(Ischemia_singlenet_25percent_ou!1592:1592,"AAAAAH611qU=",0)</f>
        <v>0</v>
      </c>
      <c r="FK19" t="e">
        <f>AND(Ischemia_singlenet_25percent_ou!A1592,"AAAAAH611qY=")</f>
        <v>#VALUE!</v>
      </c>
      <c r="FL19" t="e">
        <f>AND(Ischemia_singlenet_25percent_ou!B1592,"AAAAAH611qc=")</f>
        <v>#VALUE!</v>
      </c>
      <c r="FM19">
        <f>IF(Ischemia_singlenet_25percent_ou!1593:1593,"AAAAAH611qg=",0)</f>
        <v>0</v>
      </c>
      <c r="FN19" t="e">
        <f>AND(Ischemia_singlenet_25percent_ou!A1593,"AAAAAH611qk=")</f>
        <v>#VALUE!</v>
      </c>
      <c r="FO19" t="e">
        <f>AND(Ischemia_singlenet_25percent_ou!B1593,"AAAAAH611qo=")</f>
        <v>#VALUE!</v>
      </c>
      <c r="FP19">
        <f>IF(Ischemia_singlenet_25percent_ou!1594:1594,"AAAAAH611qs=",0)</f>
        <v>0</v>
      </c>
      <c r="FQ19" t="e">
        <f>AND(Ischemia_singlenet_25percent_ou!A1594,"AAAAAH611qw=")</f>
        <v>#VALUE!</v>
      </c>
      <c r="FR19" t="e">
        <f>AND(Ischemia_singlenet_25percent_ou!B1594,"AAAAAH611q0=")</f>
        <v>#VALUE!</v>
      </c>
      <c r="FS19">
        <f>IF(Ischemia_singlenet_25percent_ou!1595:1595,"AAAAAH611q4=",0)</f>
        <v>0</v>
      </c>
      <c r="FT19" t="e">
        <f>AND(Ischemia_singlenet_25percent_ou!A1595,"AAAAAH611q8=")</f>
        <v>#VALUE!</v>
      </c>
      <c r="FU19" t="e">
        <f>AND(Ischemia_singlenet_25percent_ou!B1595,"AAAAAH611rA=")</f>
        <v>#VALUE!</v>
      </c>
      <c r="FV19">
        <f>IF(Ischemia_singlenet_25percent_ou!1596:1596,"AAAAAH611rE=",0)</f>
        <v>0</v>
      </c>
      <c r="FW19" t="e">
        <f>AND(Ischemia_singlenet_25percent_ou!A1596,"AAAAAH611rI=")</f>
        <v>#VALUE!</v>
      </c>
      <c r="FX19" t="e">
        <f>AND(Ischemia_singlenet_25percent_ou!B1596,"AAAAAH611rM=")</f>
        <v>#VALUE!</v>
      </c>
      <c r="FY19">
        <f>IF(Ischemia_singlenet_25percent_ou!1597:1597,"AAAAAH611rQ=",0)</f>
        <v>0</v>
      </c>
      <c r="FZ19" t="e">
        <f>AND(Ischemia_singlenet_25percent_ou!A1597,"AAAAAH611rU=")</f>
        <v>#VALUE!</v>
      </c>
      <c r="GA19" t="e">
        <f>AND(Ischemia_singlenet_25percent_ou!B1597,"AAAAAH611rY=")</f>
        <v>#VALUE!</v>
      </c>
      <c r="GB19">
        <f>IF(Ischemia_singlenet_25percent_ou!1598:1598,"AAAAAH611rc=",0)</f>
        <v>0</v>
      </c>
      <c r="GC19" t="e">
        <f>AND(Ischemia_singlenet_25percent_ou!A1598,"AAAAAH611rg=")</f>
        <v>#VALUE!</v>
      </c>
      <c r="GD19" t="e">
        <f>AND(Ischemia_singlenet_25percent_ou!B1598,"AAAAAH611rk=")</f>
        <v>#VALUE!</v>
      </c>
      <c r="GE19">
        <f>IF(Ischemia_singlenet_25percent_ou!1599:1599,"AAAAAH611ro=",0)</f>
        <v>0</v>
      </c>
      <c r="GF19" t="e">
        <f>AND(Ischemia_singlenet_25percent_ou!A1599,"AAAAAH611rs=")</f>
        <v>#VALUE!</v>
      </c>
      <c r="GG19" t="e">
        <f>AND(Ischemia_singlenet_25percent_ou!B1599,"AAAAAH611rw=")</f>
        <v>#VALUE!</v>
      </c>
      <c r="GH19">
        <f>IF(Ischemia_singlenet_25percent_ou!1600:1600,"AAAAAH611r0=",0)</f>
        <v>0</v>
      </c>
      <c r="GI19" t="e">
        <f>AND(Ischemia_singlenet_25percent_ou!A1600,"AAAAAH611r4=")</f>
        <v>#VALUE!</v>
      </c>
      <c r="GJ19" t="e">
        <f>AND(Ischemia_singlenet_25percent_ou!B1600,"AAAAAH611r8=")</f>
        <v>#VALUE!</v>
      </c>
      <c r="GK19">
        <f>IF(Ischemia_singlenet_25percent_ou!1601:1601,"AAAAAH611sA=",0)</f>
        <v>0</v>
      </c>
      <c r="GL19" t="e">
        <f>AND(Ischemia_singlenet_25percent_ou!A1601,"AAAAAH611sE=")</f>
        <v>#VALUE!</v>
      </c>
      <c r="GM19" t="e">
        <f>AND(Ischemia_singlenet_25percent_ou!B1601,"AAAAAH611sI=")</f>
        <v>#VALUE!</v>
      </c>
      <c r="GN19">
        <f>IF(Ischemia_singlenet_25percent_ou!1602:1602,"AAAAAH611sM=",0)</f>
        <v>0</v>
      </c>
      <c r="GO19" t="e">
        <f>AND(Ischemia_singlenet_25percent_ou!A1602,"AAAAAH611sQ=")</f>
        <v>#VALUE!</v>
      </c>
      <c r="GP19" t="e">
        <f>AND(Ischemia_singlenet_25percent_ou!B1602,"AAAAAH611sU=")</f>
        <v>#VALUE!</v>
      </c>
      <c r="GQ19">
        <f>IF(Ischemia_singlenet_25percent_ou!1603:1603,"AAAAAH611sY=",0)</f>
        <v>0</v>
      </c>
      <c r="GR19" t="e">
        <f>AND(Ischemia_singlenet_25percent_ou!A1603,"AAAAAH611sc=")</f>
        <v>#VALUE!</v>
      </c>
      <c r="GS19" t="e">
        <f>AND(Ischemia_singlenet_25percent_ou!B1603,"AAAAAH611sg=")</f>
        <v>#VALUE!</v>
      </c>
      <c r="GT19">
        <f>IF(Ischemia_singlenet_25percent_ou!1604:1604,"AAAAAH611sk=",0)</f>
        <v>0</v>
      </c>
      <c r="GU19" t="e">
        <f>AND(Ischemia_singlenet_25percent_ou!A1604,"AAAAAH611so=")</f>
        <v>#VALUE!</v>
      </c>
      <c r="GV19" t="e">
        <f>AND(Ischemia_singlenet_25percent_ou!B1604,"AAAAAH611ss=")</f>
        <v>#VALUE!</v>
      </c>
      <c r="GW19">
        <f>IF(Ischemia_singlenet_25percent_ou!1605:1605,"AAAAAH611sw=",0)</f>
        <v>0</v>
      </c>
      <c r="GX19" t="e">
        <f>AND(Ischemia_singlenet_25percent_ou!A1605,"AAAAAH611s0=")</f>
        <v>#VALUE!</v>
      </c>
      <c r="GY19" t="e">
        <f>AND(Ischemia_singlenet_25percent_ou!B1605,"AAAAAH611s4=")</f>
        <v>#VALUE!</v>
      </c>
      <c r="GZ19">
        <f>IF(Ischemia_singlenet_25percent_ou!1606:1606,"AAAAAH611s8=",0)</f>
        <v>0</v>
      </c>
      <c r="HA19" t="e">
        <f>AND(Ischemia_singlenet_25percent_ou!A1606,"AAAAAH611tA=")</f>
        <v>#VALUE!</v>
      </c>
      <c r="HB19" t="e">
        <f>AND(Ischemia_singlenet_25percent_ou!B1606,"AAAAAH611tE=")</f>
        <v>#VALUE!</v>
      </c>
      <c r="HC19">
        <f>IF(Ischemia_singlenet_25percent_ou!1607:1607,"AAAAAH611tI=",0)</f>
        <v>0</v>
      </c>
      <c r="HD19" t="e">
        <f>AND(Ischemia_singlenet_25percent_ou!A1607,"AAAAAH611tM=")</f>
        <v>#VALUE!</v>
      </c>
      <c r="HE19" t="e">
        <f>AND(Ischemia_singlenet_25percent_ou!B1607,"AAAAAH611tQ=")</f>
        <v>#VALUE!</v>
      </c>
      <c r="HF19">
        <f>IF(Ischemia_singlenet_25percent_ou!1608:1608,"AAAAAH611tU=",0)</f>
        <v>0</v>
      </c>
      <c r="HG19" t="e">
        <f>AND(Ischemia_singlenet_25percent_ou!A1608,"AAAAAH611tY=")</f>
        <v>#VALUE!</v>
      </c>
      <c r="HH19" t="e">
        <f>AND(Ischemia_singlenet_25percent_ou!B1608,"AAAAAH611tc=")</f>
        <v>#VALUE!</v>
      </c>
      <c r="HI19">
        <f>IF(Ischemia_singlenet_25percent_ou!1609:1609,"AAAAAH611tg=",0)</f>
        <v>0</v>
      </c>
      <c r="HJ19" t="e">
        <f>AND(Ischemia_singlenet_25percent_ou!A1609,"AAAAAH611tk=")</f>
        <v>#VALUE!</v>
      </c>
      <c r="HK19" t="e">
        <f>AND(Ischemia_singlenet_25percent_ou!B1609,"AAAAAH611to=")</f>
        <v>#VALUE!</v>
      </c>
      <c r="HL19">
        <f>IF(Ischemia_singlenet_25percent_ou!1610:1610,"AAAAAH611ts=",0)</f>
        <v>0</v>
      </c>
      <c r="HM19" t="e">
        <f>AND(Ischemia_singlenet_25percent_ou!A1610,"AAAAAH611tw=")</f>
        <v>#VALUE!</v>
      </c>
      <c r="HN19" t="e">
        <f>AND(Ischemia_singlenet_25percent_ou!B1610,"AAAAAH611t0=")</f>
        <v>#VALUE!</v>
      </c>
      <c r="HO19">
        <f>IF(Ischemia_singlenet_25percent_ou!1611:1611,"AAAAAH611t4=",0)</f>
        <v>0</v>
      </c>
      <c r="HP19" t="e">
        <f>AND(Ischemia_singlenet_25percent_ou!A1611,"AAAAAH611t8=")</f>
        <v>#VALUE!</v>
      </c>
      <c r="HQ19" t="e">
        <f>AND(Ischemia_singlenet_25percent_ou!B1611,"AAAAAH611uA=")</f>
        <v>#VALUE!</v>
      </c>
      <c r="HR19">
        <f>IF(Ischemia_singlenet_25percent_ou!1612:1612,"AAAAAH611uE=",0)</f>
        <v>0</v>
      </c>
      <c r="HS19" t="e">
        <f>AND(Ischemia_singlenet_25percent_ou!A1612,"AAAAAH611uI=")</f>
        <v>#VALUE!</v>
      </c>
      <c r="HT19" t="e">
        <f>AND(Ischemia_singlenet_25percent_ou!B1612,"AAAAAH611uM=")</f>
        <v>#VALUE!</v>
      </c>
      <c r="HU19">
        <f>IF(Ischemia_singlenet_25percent_ou!1613:1613,"AAAAAH611uQ=",0)</f>
        <v>0</v>
      </c>
      <c r="HV19" t="e">
        <f>AND(Ischemia_singlenet_25percent_ou!A1613,"AAAAAH611uU=")</f>
        <v>#VALUE!</v>
      </c>
      <c r="HW19" t="e">
        <f>AND(Ischemia_singlenet_25percent_ou!B1613,"AAAAAH611uY=")</f>
        <v>#VALUE!</v>
      </c>
      <c r="HX19">
        <f>IF(Ischemia_singlenet_25percent_ou!1614:1614,"AAAAAH611uc=",0)</f>
        <v>0</v>
      </c>
      <c r="HY19" t="e">
        <f>AND(Ischemia_singlenet_25percent_ou!A1614,"AAAAAH611ug=")</f>
        <v>#VALUE!</v>
      </c>
      <c r="HZ19" t="e">
        <f>AND(Ischemia_singlenet_25percent_ou!B1614,"AAAAAH611uk=")</f>
        <v>#VALUE!</v>
      </c>
      <c r="IA19">
        <f>IF(Ischemia_singlenet_25percent_ou!1615:1615,"AAAAAH611uo=",0)</f>
        <v>0</v>
      </c>
      <c r="IB19" t="e">
        <f>AND(Ischemia_singlenet_25percent_ou!A1615,"AAAAAH611us=")</f>
        <v>#VALUE!</v>
      </c>
      <c r="IC19" t="e">
        <f>AND(Ischemia_singlenet_25percent_ou!B1615,"AAAAAH611uw=")</f>
        <v>#VALUE!</v>
      </c>
      <c r="ID19">
        <f>IF(Ischemia_singlenet_25percent_ou!1616:1616,"AAAAAH611u0=",0)</f>
        <v>0</v>
      </c>
      <c r="IE19" t="e">
        <f>AND(Ischemia_singlenet_25percent_ou!A1616,"AAAAAH611u4=")</f>
        <v>#VALUE!</v>
      </c>
      <c r="IF19" t="e">
        <f>AND(Ischemia_singlenet_25percent_ou!B1616,"AAAAAH611u8=")</f>
        <v>#VALUE!</v>
      </c>
      <c r="IG19">
        <f>IF(Ischemia_singlenet_25percent_ou!1617:1617,"AAAAAH611vA=",0)</f>
        <v>0</v>
      </c>
      <c r="IH19" t="e">
        <f>AND(Ischemia_singlenet_25percent_ou!A1617,"AAAAAH611vE=")</f>
        <v>#VALUE!</v>
      </c>
      <c r="II19" t="e">
        <f>AND(Ischemia_singlenet_25percent_ou!B1617,"AAAAAH611vI=")</f>
        <v>#VALUE!</v>
      </c>
      <c r="IJ19">
        <f>IF(Ischemia_singlenet_25percent_ou!1618:1618,"AAAAAH611vM=",0)</f>
        <v>0</v>
      </c>
      <c r="IK19" t="e">
        <f>AND(Ischemia_singlenet_25percent_ou!A1618,"AAAAAH611vQ=")</f>
        <v>#VALUE!</v>
      </c>
      <c r="IL19" t="e">
        <f>AND(Ischemia_singlenet_25percent_ou!B1618,"AAAAAH611vU=")</f>
        <v>#VALUE!</v>
      </c>
      <c r="IM19">
        <f>IF(Ischemia_singlenet_25percent_ou!1619:1619,"AAAAAH611vY=",0)</f>
        <v>0</v>
      </c>
      <c r="IN19" t="e">
        <f>AND(Ischemia_singlenet_25percent_ou!A1619,"AAAAAH611vc=")</f>
        <v>#VALUE!</v>
      </c>
      <c r="IO19" t="e">
        <f>AND(Ischemia_singlenet_25percent_ou!B1619,"AAAAAH611vg=")</f>
        <v>#VALUE!</v>
      </c>
      <c r="IP19">
        <f>IF(Ischemia_singlenet_25percent_ou!1620:1620,"AAAAAH611vk=",0)</f>
        <v>0</v>
      </c>
      <c r="IQ19" t="e">
        <f>AND(Ischemia_singlenet_25percent_ou!A1620,"AAAAAH611vo=")</f>
        <v>#VALUE!</v>
      </c>
      <c r="IR19" t="e">
        <f>AND(Ischemia_singlenet_25percent_ou!B1620,"AAAAAH611vs=")</f>
        <v>#VALUE!</v>
      </c>
      <c r="IS19">
        <f>IF(Ischemia_singlenet_25percent_ou!1621:1621,"AAAAAH611vw=",0)</f>
        <v>0</v>
      </c>
      <c r="IT19" t="e">
        <f>AND(Ischemia_singlenet_25percent_ou!A1621,"AAAAAH611v0=")</f>
        <v>#VALUE!</v>
      </c>
      <c r="IU19" t="e">
        <f>AND(Ischemia_singlenet_25percent_ou!B1621,"AAAAAH611v4=")</f>
        <v>#VALUE!</v>
      </c>
      <c r="IV19">
        <f>IF(Ischemia_singlenet_25percent_ou!1622:1622,"AAAAAH611v8=",0)</f>
        <v>0</v>
      </c>
    </row>
    <row r="20" spans="1:256">
      <c r="A20" t="e">
        <f>AND(Ischemia_singlenet_25percent_ou!A1622,"AAAAAHu99AA=")</f>
        <v>#VALUE!</v>
      </c>
      <c r="B20" t="e">
        <f>AND(Ischemia_singlenet_25percent_ou!B1622,"AAAAAHu99AE=")</f>
        <v>#VALUE!</v>
      </c>
      <c r="C20">
        <f>IF(Ischemia_singlenet_25percent_ou!1623:1623,"AAAAAHu99AI=",0)</f>
        <v>0</v>
      </c>
      <c r="D20" t="e">
        <f>AND(Ischemia_singlenet_25percent_ou!A1623,"AAAAAHu99AM=")</f>
        <v>#VALUE!</v>
      </c>
      <c r="E20" t="e">
        <f>AND(Ischemia_singlenet_25percent_ou!B1623,"AAAAAHu99AQ=")</f>
        <v>#VALUE!</v>
      </c>
      <c r="F20">
        <f>IF(Ischemia_singlenet_25percent_ou!1624:1624,"AAAAAHu99AU=",0)</f>
        <v>0</v>
      </c>
      <c r="G20" t="e">
        <f>AND(Ischemia_singlenet_25percent_ou!A1624,"AAAAAHu99AY=")</f>
        <v>#VALUE!</v>
      </c>
      <c r="H20" t="e">
        <f>AND(Ischemia_singlenet_25percent_ou!B1624,"AAAAAHu99Ac=")</f>
        <v>#VALUE!</v>
      </c>
      <c r="I20">
        <f>IF(Ischemia_singlenet_25percent_ou!1625:1625,"AAAAAHu99Ag=",0)</f>
        <v>0</v>
      </c>
      <c r="J20" t="e">
        <f>AND(Ischemia_singlenet_25percent_ou!A1625,"AAAAAHu99Ak=")</f>
        <v>#VALUE!</v>
      </c>
      <c r="K20" t="e">
        <f>AND(Ischemia_singlenet_25percent_ou!B1625,"AAAAAHu99Ao=")</f>
        <v>#VALUE!</v>
      </c>
      <c r="L20">
        <f>IF(Ischemia_singlenet_25percent_ou!1626:1626,"AAAAAHu99As=",0)</f>
        <v>0</v>
      </c>
      <c r="M20" t="e">
        <f>AND(Ischemia_singlenet_25percent_ou!A1626,"AAAAAHu99Aw=")</f>
        <v>#VALUE!</v>
      </c>
      <c r="N20" t="e">
        <f>AND(Ischemia_singlenet_25percent_ou!B1626,"AAAAAHu99A0=")</f>
        <v>#VALUE!</v>
      </c>
      <c r="O20">
        <f>IF(Ischemia_singlenet_25percent_ou!1627:1627,"AAAAAHu99A4=",0)</f>
        <v>0</v>
      </c>
      <c r="P20" t="e">
        <f>AND(Ischemia_singlenet_25percent_ou!A1627,"AAAAAHu99A8=")</f>
        <v>#VALUE!</v>
      </c>
      <c r="Q20" t="e">
        <f>AND(Ischemia_singlenet_25percent_ou!B1627,"AAAAAHu99BA=")</f>
        <v>#VALUE!</v>
      </c>
      <c r="R20">
        <f>IF(Ischemia_singlenet_25percent_ou!1628:1628,"AAAAAHu99BE=",0)</f>
        <v>0</v>
      </c>
      <c r="S20" t="e">
        <f>AND(Ischemia_singlenet_25percent_ou!A1628,"AAAAAHu99BI=")</f>
        <v>#VALUE!</v>
      </c>
      <c r="T20" t="e">
        <f>AND(Ischemia_singlenet_25percent_ou!B1628,"AAAAAHu99BM=")</f>
        <v>#VALUE!</v>
      </c>
      <c r="U20">
        <f>IF(Ischemia_singlenet_25percent_ou!1629:1629,"AAAAAHu99BQ=",0)</f>
        <v>0</v>
      </c>
      <c r="V20" t="e">
        <f>AND(Ischemia_singlenet_25percent_ou!A1629,"AAAAAHu99BU=")</f>
        <v>#VALUE!</v>
      </c>
      <c r="W20" t="e">
        <f>AND(Ischemia_singlenet_25percent_ou!B1629,"AAAAAHu99BY=")</f>
        <v>#VALUE!</v>
      </c>
      <c r="X20">
        <f>IF(Ischemia_singlenet_25percent_ou!1630:1630,"AAAAAHu99Bc=",0)</f>
        <v>0</v>
      </c>
      <c r="Y20" t="e">
        <f>AND(Ischemia_singlenet_25percent_ou!A1630,"AAAAAHu99Bg=")</f>
        <v>#VALUE!</v>
      </c>
      <c r="Z20" t="e">
        <f>AND(Ischemia_singlenet_25percent_ou!B1630,"AAAAAHu99Bk=")</f>
        <v>#VALUE!</v>
      </c>
      <c r="AA20">
        <f>IF(Ischemia_singlenet_25percent_ou!1631:1631,"AAAAAHu99Bo=",0)</f>
        <v>0</v>
      </c>
      <c r="AB20" t="e">
        <f>AND(Ischemia_singlenet_25percent_ou!A1631,"AAAAAHu99Bs=")</f>
        <v>#VALUE!</v>
      </c>
      <c r="AC20" t="e">
        <f>AND(Ischemia_singlenet_25percent_ou!B1631,"AAAAAHu99Bw=")</f>
        <v>#VALUE!</v>
      </c>
      <c r="AD20">
        <f>IF(Ischemia_singlenet_25percent_ou!1632:1632,"AAAAAHu99B0=",0)</f>
        <v>0</v>
      </c>
      <c r="AE20" t="e">
        <f>AND(Ischemia_singlenet_25percent_ou!A1632,"AAAAAHu99B4=")</f>
        <v>#VALUE!</v>
      </c>
      <c r="AF20" t="e">
        <f>AND(Ischemia_singlenet_25percent_ou!B1632,"AAAAAHu99B8=")</f>
        <v>#VALUE!</v>
      </c>
      <c r="AG20">
        <f>IF(Ischemia_singlenet_25percent_ou!1633:1633,"AAAAAHu99CA=",0)</f>
        <v>0</v>
      </c>
      <c r="AH20" t="e">
        <f>AND(Ischemia_singlenet_25percent_ou!A1633,"AAAAAHu99CE=")</f>
        <v>#VALUE!</v>
      </c>
      <c r="AI20" t="e">
        <f>AND(Ischemia_singlenet_25percent_ou!B1633,"AAAAAHu99CI=")</f>
        <v>#VALUE!</v>
      </c>
      <c r="AJ20">
        <f>IF(Ischemia_singlenet_25percent_ou!1634:1634,"AAAAAHu99CM=",0)</f>
        <v>0</v>
      </c>
      <c r="AK20" t="e">
        <f>AND(Ischemia_singlenet_25percent_ou!A1634,"AAAAAHu99CQ=")</f>
        <v>#VALUE!</v>
      </c>
      <c r="AL20" t="e">
        <f>AND(Ischemia_singlenet_25percent_ou!B1634,"AAAAAHu99CU=")</f>
        <v>#VALUE!</v>
      </c>
      <c r="AM20">
        <f>IF(Ischemia_singlenet_25percent_ou!1635:1635,"AAAAAHu99CY=",0)</f>
        <v>0</v>
      </c>
      <c r="AN20" t="e">
        <f>AND(Ischemia_singlenet_25percent_ou!A1635,"AAAAAHu99Cc=")</f>
        <v>#VALUE!</v>
      </c>
      <c r="AO20" t="e">
        <f>AND(Ischemia_singlenet_25percent_ou!B1635,"AAAAAHu99Cg=")</f>
        <v>#VALUE!</v>
      </c>
      <c r="AP20">
        <f>IF(Ischemia_singlenet_25percent_ou!1636:1636,"AAAAAHu99Ck=",0)</f>
        <v>0</v>
      </c>
      <c r="AQ20" t="e">
        <f>AND(Ischemia_singlenet_25percent_ou!A1636,"AAAAAHu99Co=")</f>
        <v>#VALUE!</v>
      </c>
      <c r="AR20" t="e">
        <f>AND(Ischemia_singlenet_25percent_ou!B1636,"AAAAAHu99Cs=")</f>
        <v>#VALUE!</v>
      </c>
      <c r="AS20">
        <f>IF(Ischemia_singlenet_25percent_ou!1637:1637,"AAAAAHu99Cw=",0)</f>
        <v>0</v>
      </c>
      <c r="AT20" t="e">
        <f>AND(Ischemia_singlenet_25percent_ou!A1637,"AAAAAHu99C0=")</f>
        <v>#VALUE!</v>
      </c>
      <c r="AU20" t="e">
        <f>AND(Ischemia_singlenet_25percent_ou!B1637,"AAAAAHu99C4=")</f>
        <v>#VALUE!</v>
      </c>
      <c r="AV20">
        <f>IF(Ischemia_singlenet_25percent_ou!1638:1638,"AAAAAHu99C8=",0)</f>
        <v>0</v>
      </c>
      <c r="AW20" t="e">
        <f>AND(Ischemia_singlenet_25percent_ou!A1638,"AAAAAHu99DA=")</f>
        <v>#VALUE!</v>
      </c>
      <c r="AX20" t="e">
        <f>AND(Ischemia_singlenet_25percent_ou!B1638,"AAAAAHu99DE=")</f>
        <v>#VALUE!</v>
      </c>
      <c r="AY20">
        <f>IF(Ischemia_singlenet_25percent_ou!1639:1639,"AAAAAHu99DI=",0)</f>
        <v>0</v>
      </c>
      <c r="AZ20" t="e">
        <f>AND(Ischemia_singlenet_25percent_ou!A1639,"AAAAAHu99DM=")</f>
        <v>#VALUE!</v>
      </c>
      <c r="BA20" t="e">
        <f>AND(Ischemia_singlenet_25percent_ou!B1639,"AAAAAHu99DQ=")</f>
        <v>#VALUE!</v>
      </c>
      <c r="BB20">
        <f>IF(Ischemia_singlenet_25percent_ou!1640:1640,"AAAAAHu99DU=",0)</f>
        <v>0</v>
      </c>
      <c r="BC20" t="e">
        <f>AND(Ischemia_singlenet_25percent_ou!A1640,"AAAAAHu99DY=")</f>
        <v>#VALUE!</v>
      </c>
      <c r="BD20" t="e">
        <f>AND(Ischemia_singlenet_25percent_ou!B1640,"AAAAAHu99Dc=")</f>
        <v>#VALUE!</v>
      </c>
      <c r="BE20">
        <f>IF(Ischemia_singlenet_25percent_ou!1641:1641,"AAAAAHu99Dg=",0)</f>
        <v>0</v>
      </c>
      <c r="BF20" t="e">
        <f>AND(Ischemia_singlenet_25percent_ou!A1641,"AAAAAHu99Dk=")</f>
        <v>#VALUE!</v>
      </c>
      <c r="BG20" t="e">
        <f>AND(Ischemia_singlenet_25percent_ou!B1641,"AAAAAHu99Do=")</f>
        <v>#VALUE!</v>
      </c>
      <c r="BH20">
        <f>IF(Ischemia_singlenet_25percent_ou!1642:1642,"AAAAAHu99Ds=",0)</f>
        <v>0</v>
      </c>
      <c r="BI20" t="e">
        <f>AND(Ischemia_singlenet_25percent_ou!A1642,"AAAAAHu99Dw=")</f>
        <v>#VALUE!</v>
      </c>
      <c r="BJ20" t="e">
        <f>AND(Ischemia_singlenet_25percent_ou!B1642,"AAAAAHu99D0=")</f>
        <v>#VALUE!</v>
      </c>
      <c r="BK20">
        <f>IF(Ischemia_singlenet_25percent_ou!1643:1643,"AAAAAHu99D4=",0)</f>
        <v>0</v>
      </c>
      <c r="BL20" t="e">
        <f>AND(Ischemia_singlenet_25percent_ou!A1643,"AAAAAHu99D8=")</f>
        <v>#VALUE!</v>
      </c>
      <c r="BM20" t="e">
        <f>AND(Ischemia_singlenet_25percent_ou!B1643,"AAAAAHu99EA=")</f>
        <v>#VALUE!</v>
      </c>
      <c r="BN20">
        <f>IF(Ischemia_singlenet_25percent_ou!1644:1644,"AAAAAHu99EE=",0)</f>
        <v>0</v>
      </c>
      <c r="BO20" t="e">
        <f>AND(Ischemia_singlenet_25percent_ou!A1644,"AAAAAHu99EI=")</f>
        <v>#VALUE!</v>
      </c>
      <c r="BP20" t="e">
        <f>AND(Ischemia_singlenet_25percent_ou!B1644,"AAAAAHu99EM=")</f>
        <v>#VALUE!</v>
      </c>
      <c r="BQ20">
        <f>IF(Ischemia_singlenet_25percent_ou!1645:1645,"AAAAAHu99EQ=",0)</f>
        <v>0</v>
      </c>
      <c r="BR20" t="e">
        <f>AND(Ischemia_singlenet_25percent_ou!A1645,"AAAAAHu99EU=")</f>
        <v>#VALUE!</v>
      </c>
      <c r="BS20" t="e">
        <f>AND(Ischemia_singlenet_25percent_ou!B1645,"AAAAAHu99EY=")</f>
        <v>#VALUE!</v>
      </c>
      <c r="BT20">
        <f>IF(Ischemia_singlenet_25percent_ou!1646:1646,"AAAAAHu99Ec=",0)</f>
        <v>0</v>
      </c>
      <c r="BU20" t="e">
        <f>AND(Ischemia_singlenet_25percent_ou!A1646,"AAAAAHu99Eg=")</f>
        <v>#VALUE!</v>
      </c>
      <c r="BV20" t="e">
        <f>AND(Ischemia_singlenet_25percent_ou!B1646,"AAAAAHu99Ek=")</f>
        <v>#VALUE!</v>
      </c>
      <c r="BW20">
        <f>IF(Ischemia_singlenet_25percent_ou!1647:1647,"AAAAAHu99Eo=",0)</f>
        <v>0</v>
      </c>
      <c r="BX20" t="e">
        <f>AND(Ischemia_singlenet_25percent_ou!A1647,"AAAAAHu99Es=")</f>
        <v>#VALUE!</v>
      </c>
      <c r="BY20" t="e">
        <f>AND(Ischemia_singlenet_25percent_ou!B1647,"AAAAAHu99Ew=")</f>
        <v>#VALUE!</v>
      </c>
      <c r="BZ20">
        <f>IF(Ischemia_singlenet_25percent_ou!1648:1648,"AAAAAHu99E0=",0)</f>
        <v>0</v>
      </c>
      <c r="CA20" t="e">
        <f>AND(Ischemia_singlenet_25percent_ou!A1648,"AAAAAHu99E4=")</f>
        <v>#VALUE!</v>
      </c>
      <c r="CB20" t="e">
        <f>AND(Ischemia_singlenet_25percent_ou!B1648,"AAAAAHu99E8=")</f>
        <v>#VALUE!</v>
      </c>
      <c r="CC20">
        <f>IF(Ischemia_singlenet_25percent_ou!1649:1649,"AAAAAHu99FA=",0)</f>
        <v>0</v>
      </c>
      <c r="CD20" t="e">
        <f>AND(Ischemia_singlenet_25percent_ou!A1649,"AAAAAHu99FE=")</f>
        <v>#VALUE!</v>
      </c>
      <c r="CE20" t="e">
        <f>AND(Ischemia_singlenet_25percent_ou!B1649,"AAAAAHu99FI=")</f>
        <v>#VALUE!</v>
      </c>
      <c r="CF20">
        <f>IF(Ischemia_singlenet_25percent_ou!1650:1650,"AAAAAHu99FM=",0)</f>
        <v>0</v>
      </c>
      <c r="CG20" t="e">
        <f>AND(Ischemia_singlenet_25percent_ou!A1650,"AAAAAHu99FQ=")</f>
        <v>#VALUE!</v>
      </c>
      <c r="CH20" t="e">
        <f>AND(Ischemia_singlenet_25percent_ou!B1650,"AAAAAHu99FU=")</f>
        <v>#VALUE!</v>
      </c>
      <c r="CI20">
        <f>IF(Ischemia_singlenet_25percent_ou!1651:1651,"AAAAAHu99FY=",0)</f>
        <v>0</v>
      </c>
      <c r="CJ20" t="e">
        <f>AND(Ischemia_singlenet_25percent_ou!A1651,"AAAAAHu99Fc=")</f>
        <v>#VALUE!</v>
      </c>
      <c r="CK20" t="e">
        <f>AND(Ischemia_singlenet_25percent_ou!B1651,"AAAAAHu99Fg=")</f>
        <v>#VALUE!</v>
      </c>
      <c r="CL20">
        <f>IF(Ischemia_singlenet_25percent_ou!1652:1652,"AAAAAHu99Fk=",0)</f>
        <v>0</v>
      </c>
      <c r="CM20" t="e">
        <f>AND(Ischemia_singlenet_25percent_ou!A1652,"AAAAAHu99Fo=")</f>
        <v>#VALUE!</v>
      </c>
      <c r="CN20" t="e">
        <f>AND(Ischemia_singlenet_25percent_ou!B1652,"AAAAAHu99Fs=")</f>
        <v>#VALUE!</v>
      </c>
      <c r="CO20">
        <f>IF(Ischemia_singlenet_25percent_ou!1653:1653,"AAAAAHu99Fw=",0)</f>
        <v>0</v>
      </c>
      <c r="CP20" t="e">
        <f>AND(Ischemia_singlenet_25percent_ou!A1653,"AAAAAHu99F0=")</f>
        <v>#VALUE!</v>
      </c>
      <c r="CQ20" t="e">
        <f>AND(Ischemia_singlenet_25percent_ou!B1653,"AAAAAHu99F4=")</f>
        <v>#VALUE!</v>
      </c>
      <c r="CR20">
        <f>IF(Ischemia_singlenet_25percent_ou!1654:1654,"AAAAAHu99F8=",0)</f>
        <v>0</v>
      </c>
      <c r="CS20" t="e">
        <f>AND(Ischemia_singlenet_25percent_ou!A1654,"AAAAAHu99GA=")</f>
        <v>#VALUE!</v>
      </c>
      <c r="CT20" t="e">
        <f>AND(Ischemia_singlenet_25percent_ou!B1654,"AAAAAHu99GE=")</f>
        <v>#VALUE!</v>
      </c>
      <c r="CU20">
        <f>IF(Ischemia_singlenet_25percent_ou!1655:1655,"AAAAAHu99GI=",0)</f>
        <v>0</v>
      </c>
      <c r="CV20" t="e">
        <f>AND(Ischemia_singlenet_25percent_ou!A1655,"AAAAAHu99GM=")</f>
        <v>#VALUE!</v>
      </c>
      <c r="CW20" t="e">
        <f>AND(Ischemia_singlenet_25percent_ou!B1655,"AAAAAHu99GQ=")</f>
        <v>#VALUE!</v>
      </c>
      <c r="CX20">
        <f>IF(Ischemia_singlenet_25percent_ou!1656:1656,"AAAAAHu99GU=",0)</f>
        <v>0</v>
      </c>
      <c r="CY20" t="e">
        <f>AND(Ischemia_singlenet_25percent_ou!A1656,"AAAAAHu99GY=")</f>
        <v>#VALUE!</v>
      </c>
      <c r="CZ20" t="e">
        <f>AND(Ischemia_singlenet_25percent_ou!B1656,"AAAAAHu99Gc=")</f>
        <v>#VALUE!</v>
      </c>
      <c r="DA20">
        <f>IF(Ischemia_singlenet_25percent_ou!1657:1657,"AAAAAHu99Gg=",0)</f>
        <v>0</v>
      </c>
      <c r="DB20" t="e">
        <f>AND(Ischemia_singlenet_25percent_ou!A1657,"AAAAAHu99Gk=")</f>
        <v>#VALUE!</v>
      </c>
      <c r="DC20" t="e">
        <f>AND(Ischemia_singlenet_25percent_ou!B1657,"AAAAAHu99Go=")</f>
        <v>#VALUE!</v>
      </c>
      <c r="DD20">
        <f>IF(Ischemia_singlenet_25percent_ou!1658:1658,"AAAAAHu99Gs=",0)</f>
        <v>0</v>
      </c>
      <c r="DE20" t="e">
        <f>AND(Ischemia_singlenet_25percent_ou!A1658,"AAAAAHu99Gw=")</f>
        <v>#VALUE!</v>
      </c>
      <c r="DF20" t="e">
        <f>AND(Ischemia_singlenet_25percent_ou!B1658,"AAAAAHu99G0=")</f>
        <v>#VALUE!</v>
      </c>
      <c r="DG20">
        <f>IF(Ischemia_singlenet_25percent_ou!1659:1659,"AAAAAHu99G4=",0)</f>
        <v>0</v>
      </c>
      <c r="DH20" t="e">
        <f>AND(Ischemia_singlenet_25percent_ou!A1659,"AAAAAHu99G8=")</f>
        <v>#VALUE!</v>
      </c>
      <c r="DI20" t="e">
        <f>AND(Ischemia_singlenet_25percent_ou!B1659,"AAAAAHu99HA=")</f>
        <v>#VALUE!</v>
      </c>
      <c r="DJ20">
        <f>IF(Ischemia_singlenet_25percent_ou!1660:1660,"AAAAAHu99HE=",0)</f>
        <v>0</v>
      </c>
      <c r="DK20" t="e">
        <f>AND(Ischemia_singlenet_25percent_ou!A1660,"AAAAAHu99HI=")</f>
        <v>#VALUE!</v>
      </c>
      <c r="DL20" t="e">
        <f>AND(Ischemia_singlenet_25percent_ou!B1660,"AAAAAHu99HM=")</f>
        <v>#VALUE!</v>
      </c>
      <c r="DM20">
        <f>IF(Ischemia_singlenet_25percent_ou!1661:1661,"AAAAAHu99HQ=",0)</f>
        <v>0</v>
      </c>
      <c r="DN20" t="e">
        <f>AND(Ischemia_singlenet_25percent_ou!A1661,"AAAAAHu99HU=")</f>
        <v>#VALUE!</v>
      </c>
      <c r="DO20" t="e">
        <f>AND(Ischemia_singlenet_25percent_ou!B1661,"AAAAAHu99HY=")</f>
        <v>#VALUE!</v>
      </c>
      <c r="DP20">
        <f>IF(Ischemia_singlenet_25percent_ou!1662:1662,"AAAAAHu99Hc=",0)</f>
        <v>0</v>
      </c>
      <c r="DQ20" t="e">
        <f>AND(Ischemia_singlenet_25percent_ou!A1662,"AAAAAHu99Hg=")</f>
        <v>#VALUE!</v>
      </c>
      <c r="DR20" t="e">
        <f>AND(Ischemia_singlenet_25percent_ou!B1662,"AAAAAHu99Hk=")</f>
        <v>#VALUE!</v>
      </c>
      <c r="DS20">
        <f>IF(Ischemia_singlenet_25percent_ou!1663:1663,"AAAAAHu99Ho=",0)</f>
        <v>0</v>
      </c>
      <c r="DT20" t="e">
        <f>AND(Ischemia_singlenet_25percent_ou!A1663,"AAAAAHu99Hs=")</f>
        <v>#VALUE!</v>
      </c>
      <c r="DU20" t="e">
        <f>AND(Ischemia_singlenet_25percent_ou!B1663,"AAAAAHu99Hw=")</f>
        <v>#VALUE!</v>
      </c>
      <c r="DV20">
        <f>IF(Ischemia_singlenet_25percent_ou!1664:1664,"AAAAAHu99H0=",0)</f>
        <v>0</v>
      </c>
      <c r="DW20" t="e">
        <f>AND(Ischemia_singlenet_25percent_ou!A1664,"AAAAAHu99H4=")</f>
        <v>#VALUE!</v>
      </c>
      <c r="DX20" t="e">
        <f>AND(Ischemia_singlenet_25percent_ou!B1664,"AAAAAHu99H8=")</f>
        <v>#VALUE!</v>
      </c>
      <c r="DY20">
        <f>IF(Ischemia_singlenet_25percent_ou!1665:1665,"AAAAAHu99IA=",0)</f>
        <v>0</v>
      </c>
      <c r="DZ20" t="e">
        <f>AND(Ischemia_singlenet_25percent_ou!A1665,"AAAAAHu99IE=")</f>
        <v>#VALUE!</v>
      </c>
      <c r="EA20" t="e">
        <f>AND(Ischemia_singlenet_25percent_ou!B1665,"AAAAAHu99II=")</f>
        <v>#VALUE!</v>
      </c>
      <c r="EB20">
        <f>IF(Ischemia_singlenet_25percent_ou!1666:1666,"AAAAAHu99IM=",0)</f>
        <v>0</v>
      </c>
      <c r="EC20" t="e">
        <f>AND(Ischemia_singlenet_25percent_ou!A1666,"AAAAAHu99IQ=")</f>
        <v>#VALUE!</v>
      </c>
      <c r="ED20" t="e">
        <f>AND(Ischemia_singlenet_25percent_ou!B1666,"AAAAAHu99IU=")</f>
        <v>#VALUE!</v>
      </c>
      <c r="EE20">
        <f>IF(Ischemia_singlenet_25percent_ou!1667:1667,"AAAAAHu99IY=",0)</f>
        <v>0</v>
      </c>
      <c r="EF20" t="e">
        <f>AND(Ischemia_singlenet_25percent_ou!A1667,"AAAAAHu99Ic=")</f>
        <v>#VALUE!</v>
      </c>
      <c r="EG20" t="e">
        <f>AND(Ischemia_singlenet_25percent_ou!B1667,"AAAAAHu99Ig=")</f>
        <v>#VALUE!</v>
      </c>
      <c r="EH20">
        <f>IF(Ischemia_singlenet_25percent_ou!1668:1668,"AAAAAHu99Ik=",0)</f>
        <v>0</v>
      </c>
      <c r="EI20" t="e">
        <f>AND(Ischemia_singlenet_25percent_ou!A1668,"AAAAAHu99Io=")</f>
        <v>#VALUE!</v>
      </c>
      <c r="EJ20" t="e">
        <f>AND(Ischemia_singlenet_25percent_ou!B1668,"AAAAAHu99Is=")</f>
        <v>#VALUE!</v>
      </c>
      <c r="EK20">
        <f>IF(Ischemia_singlenet_25percent_ou!1669:1669,"AAAAAHu99Iw=",0)</f>
        <v>0</v>
      </c>
      <c r="EL20" t="e">
        <f>AND(Ischemia_singlenet_25percent_ou!A1669,"AAAAAHu99I0=")</f>
        <v>#VALUE!</v>
      </c>
      <c r="EM20" t="e">
        <f>AND(Ischemia_singlenet_25percent_ou!B1669,"AAAAAHu99I4=")</f>
        <v>#VALUE!</v>
      </c>
      <c r="EN20">
        <f>IF(Ischemia_singlenet_25percent_ou!1670:1670,"AAAAAHu99I8=",0)</f>
        <v>0</v>
      </c>
      <c r="EO20" t="e">
        <f>AND(Ischemia_singlenet_25percent_ou!A1670,"AAAAAHu99JA=")</f>
        <v>#VALUE!</v>
      </c>
      <c r="EP20" t="e">
        <f>AND(Ischemia_singlenet_25percent_ou!B1670,"AAAAAHu99JE=")</f>
        <v>#VALUE!</v>
      </c>
      <c r="EQ20">
        <f>IF(Ischemia_singlenet_25percent_ou!1671:1671,"AAAAAHu99JI=",0)</f>
        <v>0</v>
      </c>
      <c r="ER20" t="e">
        <f>AND(Ischemia_singlenet_25percent_ou!A1671,"AAAAAHu99JM=")</f>
        <v>#VALUE!</v>
      </c>
      <c r="ES20" t="e">
        <f>AND(Ischemia_singlenet_25percent_ou!B1671,"AAAAAHu99JQ=")</f>
        <v>#VALUE!</v>
      </c>
      <c r="ET20">
        <f>IF(Ischemia_singlenet_25percent_ou!1672:1672,"AAAAAHu99JU=",0)</f>
        <v>0</v>
      </c>
      <c r="EU20" t="e">
        <f>AND(Ischemia_singlenet_25percent_ou!A1672,"AAAAAHu99JY=")</f>
        <v>#VALUE!</v>
      </c>
      <c r="EV20" t="e">
        <f>AND(Ischemia_singlenet_25percent_ou!B1672,"AAAAAHu99Jc=")</f>
        <v>#VALUE!</v>
      </c>
      <c r="EW20">
        <f>IF(Ischemia_singlenet_25percent_ou!1673:1673,"AAAAAHu99Jg=",0)</f>
        <v>0</v>
      </c>
      <c r="EX20" t="e">
        <f>AND(Ischemia_singlenet_25percent_ou!A1673,"AAAAAHu99Jk=")</f>
        <v>#VALUE!</v>
      </c>
      <c r="EY20" t="e">
        <f>AND(Ischemia_singlenet_25percent_ou!B1673,"AAAAAHu99Jo=")</f>
        <v>#VALUE!</v>
      </c>
      <c r="EZ20">
        <f>IF(Ischemia_singlenet_25percent_ou!1674:1674,"AAAAAHu99Js=",0)</f>
        <v>0</v>
      </c>
      <c r="FA20" t="e">
        <f>AND(Ischemia_singlenet_25percent_ou!A1674,"AAAAAHu99Jw=")</f>
        <v>#VALUE!</v>
      </c>
      <c r="FB20" t="e">
        <f>AND(Ischemia_singlenet_25percent_ou!B1674,"AAAAAHu99J0=")</f>
        <v>#VALUE!</v>
      </c>
      <c r="FC20">
        <f>IF(Ischemia_singlenet_25percent_ou!1675:1675,"AAAAAHu99J4=",0)</f>
        <v>0</v>
      </c>
      <c r="FD20" t="e">
        <f>AND(Ischemia_singlenet_25percent_ou!A1675,"AAAAAHu99J8=")</f>
        <v>#VALUE!</v>
      </c>
      <c r="FE20" t="e">
        <f>AND(Ischemia_singlenet_25percent_ou!B1675,"AAAAAHu99KA=")</f>
        <v>#VALUE!</v>
      </c>
      <c r="FF20">
        <f>IF(Ischemia_singlenet_25percent_ou!1676:1676,"AAAAAHu99KE=",0)</f>
        <v>0</v>
      </c>
      <c r="FG20" t="e">
        <f>AND(Ischemia_singlenet_25percent_ou!A1676,"AAAAAHu99KI=")</f>
        <v>#VALUE!</v>
      </c>
      <c r="FH20" t="e">
        <f>AND(Ischemia_singlenet_25percent_ou!B1676,"AAAAAHu99KM=")</f>
        <v>#VALUE!</v>
      </c>
      <c r="FI20">
        <f>IF(Ischemia_singlenet_25percent_ou!1677:1677,"AAAAAHu99KQ=",0)</f>
        <v>0</v>
      </c>
      <c r="FJ20" t="e">
        <f>AND(Ischemia_singlenet_25percent_ou!A1677,"AAAAAHu99KU=")</f>
        <v>#VALUE!</v>
      </c>
      <c r="FK20" t="e">
        <f>AND(Ischemia_singlenet_25percent_ou!B1677,"AAAAAHu99KY=")</f>
        <v>#VALUE!</v>
      </c>
      <c r="FL20">
        <f>IF(Ischemia_singlenet_25percent_ou!1678:1678,"AAAAAHu99Kc=",0)</f>
        <v>0</v>
      </c>
      <c r="FM20" t="e">
        <f>AND(Ischemia_singlenet_25percent_ou!A1678,"AAAAAHu99Kg=")</f>
        <v>#VALUE!</v>
      </c>
      <c r="FN20" t="e">
        <f>AND(Ischemia_singlenet_25percent_ou!B1678,"AAAAAHu99Kk=")</f>
        <v>#VALUE!</v>
      </c>
      <c r="FO20">
        <f>IF(Ischemia_singlenet_25percent_ou!1679:1679,"AAAAAHu99Ko=",0)</f>
        <v>0</v>
      </c>
      <c r="FP20" t="e">
        <f>AND(Ischemia_singlenet_25percent_ou!A1679,"AAAAAHu99Ks=")</f>
        <v>#VALUE!</v>
      </c>
      <c r="FQ20" t="e">
        <f>AND(Ischemia_singlenet_25percent_ou!B1679,"AAAAAHu99Kw=")</f>
        <v>#VALUE!</v>
      </c>
      <c r="FR20">
        <f>IF(Ischemia_singlenet_25percent_ou!1680:1680,"AAAAAHu99K0=",0)</f>
        <v>0</v>
      </c>
      <c r="FS20" t="e">
        <f>AND(Ischemia_singlenet_25percent_ou!A1680,"AAAAAHu99K4=")</f>
        <v>#VALUE!</v>
      </c>
      <c r="FT20" t="e">
        <f>AND(Ischemia_singlenet_25percent_ou!B1680,"AAAAAHu99K8=")</f>
        <v>#VALUE!</v>
      </c>
      <c r="FU20">
        <f>IF(Ischemia_singlenet_25percent_ou!1681:1681,"AAAAAHu99LA=",0)</f>
        <v>0</v>
      </c>
      <c r="FV20" t="e">
        <f>AND(Ischemia_singlenet_25percent_ou!A1681,"AAAAAHu99LE=")</f>
        <v>#VALUE!</v>
      </c>
      <c r="FW20" t="e">
        <f>AND(Ischemia_singlenet_25percent_ou!B1681,"AAAAAHu99LI=")</f>
        <v>#VALUE!</v>
      </c>
      <c r="FX20">
        <f>IF(Ischemia_singlenet_25percent_ou!1682:1682,"AAAAAHu99LM=",0)</f>
        <v>0</v>
      </c>
      <c r="FY20" t="e">
        <f>AND(Ischemia_singlenet_25percent_ou!A1682,"AAAAAHu99LQ=")</f>
        <v>#VALUE!</v>
      </c>
      <c r="FZ20" t="e">
        <f>AND(Ischemia_singlenet_25percent_ou!B1682,"AAAAAHu99LU=")</f>
        <v>#VALUE!</v>
      </c>
      <c r="GA20">
        <f>IF(Ischemia_singlenet_25percent_ou!1683:1683,"AAAAAHu99LY=",0)</f>
        <v>0</v>
      </c>
      <c r="GB20" t="e">
        <f>AND(Ischemia_singlenet_25percent_ou!A1683,"AAAAAHu99Lc=")</f>
        <v>#VALUE!</v>
      </c>
      <c r="GC20" t="e">
        <f>AND(Ischemia_singlenet_25percent_ou!B1683,"AAAAAHu99Lg=")</f>
        <v>#VALUE!</v>
      </c>
      <c r="GD20">
        <f>IF(Ischemia_singlenet_25percent_ou!1684:1684,"AAAAAHu99Lk=",0)</f>
        <v>0</v>
      </c>
      <c r="GE20" t="e">
        <f>AND(Ischemia_singlenet_25percent_ou!A1684,"AAAAAHu99Lo=")</f>
        <v>#VALUE!</v>
      </c>
      <c r="GF20" t="e">
        <f>AND(Ischemia_singlenet_25percent_ou!B1684,"AAAAAHu99Ls=")</f>
        <v>#VALUE!</v>
      </c>
      <c r="GG20">
        <f>IF(Ischemia_singlenet_25percent_ou!1685:1685,"AAAAAHu99Lw=",0)</f>
        <v>0</v>
      </c>
      <c r="GH20" t="e">
        <f>AND(Ischemia_singlenet_25percent_ou!A1685,"AAAAAHu99L0=")</f>
        <v>#VALUE!</v>
      </c>
      <c r="GI20" t="e">
        <f>AND(Ischemia_singlenet_25percent_ou!B1685,"AAAAAHu99L4=")</f>
        <v>#VALUE!</v>
      </c>
      <c r="GJ20">
        <f>IF(Ischemia_singlenet_25percent_ou!1686:1686,"AAAAAHu99L8=",0)</f>
        <v>0</v>
      </c>
      <c r="GK20" t="e">
        <f>AND(Ischemia_singlenet_25percent_ou!A1686,"AAAAAHu99MA=")</f>
        <v>#VALUE!</v>
      </c>
      <c r="GL20" t="e">
        <f>AND(Ischemia_singlenet_25percent_ou!B1686,"AAAAAHu99ME=")</f>
        <v>#VALUE!</v>
      </c>
      <c r="GM20">
        <f>IF(Ischemia_singlenet_25percent_ou!1687:1687,"AAAAAHu99MI=",0)</f>
        <v>0</v>
      </c>
      <c r="GN20" t="e">
        <f>AND(Ischemia_singlenet_25percent_ou!A1687,"AAAAAHu99MM=")</f>
        <v>#VALUE!</v>
      </c>
      <c r="GO20" t="e">
        <f>AND(Ischemia_singlenet_25percent_ou!B1687,"AAAAAHu99MQ=")</f>
        <v>#VALUE!</v>
      </c>
      <c r="GP20">
        <f>IF(Ischemia_singlenet_25percent_ou!1688:1688,"AAAAAHu99MU=",0)</f>
        <v>0</v>
      </c>
      <c r="GQ20" t="e">
        <f>AND(Ischemia_singlenet_25percent_ou!A1688,"AAAAAHu99MY=")</f>
        <v>#VALUE!</v>
      </c>
      <c r="GR20" t="e">
        <f>AND(Ischemia_singlenet_25percent_ou!B1688,"AAAAAHu99Mc=")</f>
        <v>#VALUE!</v>
      </c>
      <c r="GS20">
        <f>IF(Ischemia_singlenet_25percent_ou!1689:1689,"AAAAAHu99Mg=",0)</f>
        <v>0</v>
      </c>
      <c r="GT20" t="e">
        <f>AND(Ischemia_singlenet_25percent_ou!A1689,"AAAAAHu99Mk=")</f>
        <v>#VALUE!</v>
      </c>
      <c r="GU20" t="e">
        <f>AND(Ischemia_singlenet_25percent_ou!B1689,"AAAAAHu99Mo=")</f>
        <v>#VALUE!</v>
      </c>
      <c r="GV20">
        <f>IF(Ischemia_singlenet_25percent_ou!1690:1690,"AAAAAHu99Ms=",0)</f>
        <v>0</v>
      </c>
      <c r="GW20" t="e">
        <f>AND(Ischemia_singlenet_25percent_ou!A1690,"AAAAAHu99Mw=")</f>
        <v>#VALUE!</v>
      </c>
      <c r="GX20" t="e">
        <f>AND(Ischemia_singlenet_25percent_ou!B1690,"AAAAAHu99M0=")</f>
        <v>#VALUE!</v>
      </c>
      <c r="GY20">
        <f>IF(Ischemia_singlenet_25percent_ou!1691:1691,"AAAAAHu99M4=",0)</f>
        <v>0</v>
      </c>
      <c r="GZ20" t="e">
        <f>AND(Ischemia_singlenet_25percent_ou!A1691,"AAAAAHu99M8=")</f>
        <v>#VALUE!</v>
      </c>
      <c r="HA20" t="e">
        <f>AND(Ischemia_singlenet_25percent_ou!B1691,"AAAAAHu99NA=")</f>
        <v>#VALUE!</v>
      </c>
      <c r="HB20">
        <f>IF(Ischemia_singlenet_25percent_ou!1692:1692,"AAAAAHu99NE=",0)</f>
        <v>0</v>
      </c>
      <c r="HC20" t="e">
        <f>AND(Ischemia_singlenet_25percent_ou!A1692,"AAAAAHu99NI=")</f>
        <v>#VALUE!</v>
      </c>
      <c r="HD20" t="e">
        <f>AND(Ischemia_singlenet_25percent_ou!B1692,"AAAAAHu99NM=")</f>
        <v>#VALUE!</v>
      </c>
      <c r="HE20">
        <f>IF(Ischemia_singlenet_25percent_ou!1693:1693,"AAAAAHu99NQ=",0)</f>
        <v>0</v>
      </c>
      <c r="HF20" t="e">
        <f>AND(Ischemia_singlenet_25percent_ou!A1693,"AAAAAHu99NU=")</f>
        <v>#VALUE!</v>
      </c>
      <c r="HG20" t="e">
        <f>AND(Ischemia_singlenet_25percent_ou!B1693,"AAAAAHu99NY=")</f>
        <v>#VALUE!</v>
      </c>
      <c r="HH20">
        <f>IF(Ischemia_singlenet_25percent_ou!1694:1694,"AAAAAHu99Nc=",0)</f>
        <v>0</v>
      </c>
      <c r="HI20" t="e">
        <f>AND(Ischemia_singlenet_25percent_ou!A1694,"AAAAAHu99Ng=")</f>
        <v>#VALUE!</v>
      </c>
      <c r="HJ20" t="e">
        <f>AND(Ischemia_singlenet_25percent_ou!B1694,"AAAAAHu99Nk=")</f>
        <v>#VALUE!</v>
      </c>
      <c r="HK20">
        <f>IF(Ischemia_singlenet_25percent_ou!1695:1695,"AAAAAHu99No=",0)</f>
        <v>0</v>
      </c>
      <c r="HL20" t="e">
        <f>AND(Ischemia_singlenet_25percent_ou!A1695,"AAAAAHu99Ns=")</f>
        <v>#VALUE!</v>
      </c>
      <c r="HM20" t="e">
        <f>AND(Ischemia_singlenet_25percent_ou!B1695,"AAAAAHu99Nw=")</f>
        <v>#VALUE!</v>
      </c>
      <c r="HN20">
        <f>IF(Ischemia_singlenet_25percent_ou!1696:1696,"AAAAAHu99N0=",0)</f>
        <v>0</v>
      </c>
      <c r="HO20" t="e">
        <f>AND(Ischemia_singlenet_25percent_ou!A1696,"AAAAAHu99N4=")</f>
        <v>#VALUE!</v>
      </c>
      <c r="HP20" t="e">
        <f>AND(Ischemia_singlenet_25percent_ou!B1696,"AAAAAHu99N8=")</f>
        <v>#VALUE!</v>
      </c>
      <c r="HQ20">
        <f>IF(Ischemia_singlenet_25percent_ou!1697:1697,"AAAAAHu99OA=",0)</f>
        <v>0</v>
      </c>
      <c r="HR20" t="e">
        <f>AND(Ischemia_singlenet_25percent_ou!A1697,"AAAAAHu99OE=")</f>
        <v>#VALUE!</v>
      </c>
      <c r="HS20" t="e">
        <f>AND(Ischemia_singlenet_25percent_ou!B1697,"AAAAAHu99OI=")</f>
        <v>#VALUE!</v>
      </c>
      <c r="HT20">
        <f>IF(Ischemia_singlenet_25percent_ou!1698:1698,"AAAAAHu99OM=",0)</f>
        <v>0</v>
      </c>
      <c r="HU20" t="e">
        <f>AND(Ischemia_singlenet_25percent_ou!A1698,"AAAAAHu99OQ=")</f>
        <v>#VALUE!</v>
      </c>
      <c r="HV20" t="e">
        <f>AND(Ischemia_singlenet_25percent_ou!B1698,"AAAAAHu99OU=")</f>
        <v>#VALUE!</v>
      </c>
      <c r="HW20">
        <f>IF(Ischemia_singlenet_25percent_ou!1699:1699,"AAAAAHu99OY=",0)</f>
        <v>0</v>
      </c>
      <c r="HX20" t="e">
        <f>AND(Ischemia_singlenet_25percent_ou!A1699,"AAAAAHu99Oc=")</f>
        <v>#VALUE!</v>
      </c>
      <c r="HY20" t="e">
        <f>AND(Ischemia_singlenet_25percent_ou!B1699,"AAAAAHu99Og=")</f>
        <v>#VALUE!</v>
      </c>
      <c r="HZ20">
        <f>IF(Ischemia_singlenet_25percent_ou!1700:1700,"AAAAAHu99Ok=",0)</f>
        <v>0</v>
      </c>
      <c r="IA20" t="e">
        <f>AND(Ischemia_singlenet_25percent_ou!A1700,"AAAAAHu99Oo=")</f>
        <v>#VALUE!</v>
      </c>
      <c r="IB20" t="e">
        <f>AND(Ischemia_singlenet_25percent_ou!B1700,"AAAAAHu99Os=")</f>
        <v>#VALUE!</v>
      </c>
      <c r="IC20">
        <f>IF(Ischemia_singlenet_25percent_ou!1701:1701,"AAAAAHu99Ow=",0)</f>
        <v>0</v>
      </c>
      <c r="ID20" t="e">
        <f>AND(Ischemia_singlenet_25percent_ou!A1701,"AAAAAHu99O0=")</f>
        <v>#VALUE!</v>
      </c>
      <c r="IE20" t="e">
        <f>AND(Ischemia_singlenet_25percent_ou!B1701,"AAAAAHu99O4=")</f>
        <v>#VALUE!</v>
      </c>
      <c r="IF20">
        <f>IF(Ischemia_singlenet_25percent_ou!1702:1702,"AAAAAHu99O8=",0)</f>
        <v>0</v>
      </c>
      <c r="IG20" t="e">
        <f>AND(Ischemia_singlenet_25percent_ou!A1702,"AAAAAHu99PA=")</f>
        <v>#VALUE!</v>
      </c>
      <c r="IH20" t="e">
        <f>AND(Ischemia_singlenet_25percent_ou!B1702,"AAAAAHu99PE=")</f>
        <v>#VALUE!</v>
      </c>
      <c r="II20">
        <f>IF(Ischemia_singlenet_25percent_ou!1703:1703,"AAAAAHu99PI=",0)</f>
        <v>0</v>
      </c>
      <c r="IJ20" t="e">
        <f>AND(Ischemia_singlenet_25percent_ou!A1703,"AAAAAHu99PM=")</f>
        <v>#VALUE!</v>
      </c>
      <c r="IK20" t="e">
        <f>AND(Ischemia_singlenet_25percent_ou!B1703,"AAAAAHu99PQ=")</f>
        <v>#VALUE!</v>
      </c>
      <c r="IL20">
        <f>IF(Ischemia_singlenet_25percent_ou!1704:1704,"AAAAAHu99PU=",0)</f>
        <v>0</v>
      </c>
      <c r="IM20" t="e">
        <f>AND(Ischemia_singlenet_25percent_ou!A1704,"AAAAAHu99PY=")</f>
        <v>#VALUE!</v>
      </c>
      <c r="IN20" t="e">
        <f>AND(Ischemia_singlenet_25percent_ou!B1704,"AAAAAHu99Pc=")</f>
        <v>#VALUE!</v>
      </c>
      <c r="IO20">
        <f>IF(Ischemia_singlenet_25percent_ou!1705:1705,"AAAAAHu99Pg=",0)</f>
        <v>0</v>
      </c>
      <c r="IP20" t="e">
        <f>AND(Ischemia_singlenet_25percent_ou!A1705,"AAAAAHu99Pk=")</f>
        <v>#VALUE!</v>
      </c>
      <c r="IQ20" t="e">
        <f>AND(Ischemia_singlenet_25percent_ou!B1705,"AAAAAHu99Po=")</f>
        <v>#VALUE!</v>
      </c>
      <c r="IR20">
        <f>IF(Ischemia_singlenet_25percent_ou!1706:1706,"AAAAAHu99Ps=",0)</f>
        <v>0</v>
      </c>
      <c r="IS20" t="e">
        <f>AND(Ischemia_singlenet_25percent_ou!A1706,"AAAAAHu99Pw=")</f>
        <v>#VALUE!</v>
      </c>
      <c r="IT20" t="e">
        <f>AND(Ischemia_singlenet_25percent_ou!B1706,"AAAAAHu99P0=")</f>
        <v>#VALUE!</v>
      </c>
      <c r="IU20">
        <f>IF(Ischemia_singlenet_25percent_ou!1707:1707,"AAAAAHu99P4=",0)</f>
        <v>0</v>
      </c>
      <c r="IV20" t="e">
        <f>AND(Ischemia_singlenet_25percent_ou!A1707,"AAAAAHu99P8=")</f>
        <v>#VALUE!</v>
      </c>
    </row>
    <row r="21" spans="1:256">
      <c r="A21" t="e">
        <f>AND(Ischemia_singlenet_25percent_ou!B1707,"AAAAAFb/+wA=")</f>
        <v>#VALUE!</v>
      </c>
      <c r="B21" t="e">
        <f>IF(Ischemia_singlenet_25percent_ou!1708:1708,"AAAAAFb/+wE=",0)</f>
        <v>#VALUE!</v>
      </c>
      <c r="C21" t="e">
        <f>AND(Ischemia_singlenet_25percent_ou!A1708,"AAAAAFb/+wI=")</f>
        <v>#VALUE!</v>
      </c>
      <c r="D21" t="e">
        <f>AND(Ischemia_singlenet_25percent_ou!B1708,"AAAAAFb/+wM=")</f>
        <v>#VALUE!</v>
      </c>
      <c r="E21">
        <f>IF(Ischemia_singlenet_25percent_ou!1709:1709,"AAAAAFb/+wQ=",0)</f>
        <v>0</v>
      </c>
      <c r="F21" t="e">
        <f>AND(Ischemia_singlenet_25percent_ou!A1709,"AAAAAFb/+wU=")</f>
        <v>#VALUE!</v>
      </c>
      <c r="G21" t="e">
        <f>AND(Ischemia_singlenet_25percent_ou!B1709,"AAAAAFb/+wY=")</f>
        <v>#VALUE!</v>
      </c>
      <c r="H21">
        <f>IF(Ischemia_singlenet_25percent_ou!1710:1710,"AAAAAFb/+wc=",0)</f>
        <v>0</v>
      </c>
      <c r="I21" t="e">
        <f>AND(Ischemia_singlenet_25percent_ou!A1710,"AAAAAFb/+wg=")</f>
        <v>#VALUE!</v>
      </c>
      <c r="J21" t="e">
        <f>AND(Ischemia_singlenet_25percent_ou!B1710,"AAAAAFb/+wk=")</f>
        <v>#VALUE!</v>
      </c>
      <c r="K21">
        <f>IF(Ischemia_singlenet_25percent_ou!1711:1711,"AAAAAFb/+wo=",0)</f>
        <v>0</v>
      </c>
      <c r="L21" t="e">
        <f>AND(Ischemia_singlenet_25percent_ou!A1711,"AAAAAFb/+ws=")</f>
        <v>#VALUE!</v>
      </c>
      <c r="M21" t="e">
        <f>AND(Ischemia_singlenet_25percent_ou!B1711,"AAAAAFb/+ww=")</f>
        <v>#VALUE!</v>
      </c>
      <c r="N21">
        <f>IF(Ischemia_singlenet_25percent_ou!1712:1712,"AAAAAFb/+w0=",0)</f>
        <v>0</v>
      </c>
      <c r="O21" t="e">
        <f>AND(Ischemia_singlenet_25percent_ou!A1712,"AAAAAFb/+w4=")</f>
        <v>#VALUE!</v>
      </c>
      <c r="P21" t="e">
        <f>AND(Ischemia_singlenet_25percent_ou!B1712,"AAAAAFb/+w8=")</f>
        <v>#VALUE!</v>
      </c>
      <c r="Q21">
        <f>IF(Ischemia_singlenet_25percent_ou!1713:1713,"AAAAAFb/+xA=",0)</f>
        <v>0</v>
      </c>
      <c r="R21" t="e">
        <f>AND(Ischemia_singlenet_25percent_ou!A1713,"AAAAAFb/+xE=")</f>
        <v>#VALUE!</v>
      </c>
      <c r="S21" t="e">
        <f>AND(Ischemia_singlenet_25percent_ou!B1713,"AAAAAFb/+xI=")</f>
        <v>#VALUE!</v>
      </c>
      <c r="T21">
        <f>IF(Ischemia_singlenet_25percent_ou!1714:1714,"AAAAAFb/+xM=",0)</f>
        <v>0</v>
      </c>
      <c r="U21" t="e">
        <f>AND(Ischemia_singlenet_25percent_ou!A1714,"AAAAAFb/+xQ=")</f>
        <v>#VALUE!</v>
      </c>
      <c r="V21" t="e">
        <f>AND(Ischemia_singlenet_25percent_ou!B1714,"AAAAAFb/+xU=")</f>
        <v>#VALUE!</v>
      </c>
      <c r="W21">
        <f>IF(Ischemia_singlenet_25percent_ou!1715:1715,"AAAAAFb/+xY=",0)</f>
        <v>0</v>
      </c>
      <c r="X21" t="e">
        <f>AND(Ischemia_singlenet_25percent_ou!A1715,"AAAAAFb/+xc=")</f>
        <v>#VALUE!</v>
      </c>
      <c r="Y21" t="e">
        <f>AND(Ischemia_singlenet_25percent_ou!B1715,"AAAAAFb/+xg=")</f>
        <v>#VALUE!</v>
      </c>
      <c r="Z21">
        <f>IF(Ischemia_singlenet_25percent_ou!1716:1716,"AAAAAFb/+xk=",0)</f>
        <v>0</v>
      </c>
      <c r="AA21" t="e">
        <f>AND(Ischemia_singlenet_25percent_ou!A1716,"AAAAAFb/+xo=")</f>
        <v>#VALUE!</v>
      </c>
      <c r="AB21" t="e">
        <f>AND(Ischemia_singlenet_25percent_ou!B1716,"AAAAAFb/+xs=")</f>
        <v>#VALUE!</v>
      </c>
      <c r="AC21">
        <f>IF(Ischemia_singlenet_25percent_ou!1717:1717,"AAAAAFb/+xw=",0)</f>
        <v>0</v>
      </c>
      <c r="AD21" t="e">
        <f>AND(Ischemia_singlenet_25percent_ou!A1717,"AAAAAFb/+x0=")</f>
        <v>#VALUE!</v>
      </c>
      <c r="AE21" t="e">
        <f>AND(Ischemia_singlenet_25percent_ou!B1717,"AAAAAFb/+x4=")</f>
        <v>#VALUE!</v>
      </c>
      <c r="AF21">
        <f>IF(Ischemia_singlenet_25percent_ou!1718:1718,"AAAAAFb/+x8=",0)</f>
        <v>0</v>
      </c>
      <c r="AG21" t="e">
        <f>AND(Ischemia_singlenet_25percent_ou!A1718,"AAAAAFb/+yA=")</f>
        <v>#VALUE!</v>
      </c>
      <c r="AH21" t="e">
        <f>AND(Ischemia_singlenet_25percent_ou!B1718,"AAAAAFb/+yE=")</f>
        <v>#VALUE!</v>
      </c>
      <c r="AI21">
        <f>IF(Ischemia_singlenet_25percent_ou!1719:1719,"AAAAAFb/+yI=",0)</f>
        <v>0</v>
      </c>
      <c r="AJ21" t="e">
        <f>AND(Ischemia_singlenet_25percent_ou!A1719,"AAAAAFb/+yM=")</f>
        <v>#VALUE!</v>
      </c>
      <c r="AK21" t="e">
        <f>AND(Ischemia_singlenet_25percent_ou!B1719,"AAAAAFb/+yQ=")</f>
        <v>#VALUE!</v>
      </c>
      <c r="AL21">
        <f>IF(Ischemia_singlenet_25percent_ou!1720:1720,"AAAAAFb/+yU=",0)</f>
        <v>0</v>
      </c>
      <c r="AM21" t="e">
        <f>AND(Ischemia_singlenet_25percent_ou!A1720,"AAAAAFb/+yY=")</f>
        <v>#VALUE!</v>
      </c>
      <c r="AN21" t="e">
        <f>AND(Ischemia_singlenet_25percent_ou!B1720,"AAAAAFb/+yc=")</f>
        <v>#VALUE!</v>
      </c>
      <c r="AO21">
        <f>IF(Ischemia_singlenet_25percent_ou!1721:1721,"AAAAAFb/+yg=",0)</f>
        <v>0</v>
      </c>
      <c r="AP21" t="e">
        <f>AND(Ischemia_singlenet_25percent_ou!A1721,"AAAAAFb/+yk=")</f>
        <v>#VALUE!</v>
      </c>
      <c r="AQ21" t="e">
        <f>AND(Ischemia_singlenet_25percent_ou!B1721,"AAAAAFb/+yo=")</f>
        <v>#VALUE!</v>
      </c>
      <c r="AR21">
        <f>IF(Ischemia_singlenet_25percent_ou!1722:1722,"AAAAAFb/+ys=",0)</f>
        <v>0</v>
      </c>
      <c r="AS21" t="e">
        <f>AND(Ischemia_singlenet_25percent_ou!A1722,"AAAAAFb/+yw=")</f>
        <v>#VALUE!</v>
      </c>
      <c r="AT21" t="e">
        <f>AND(Ischemia_singlenet_25percent_ou!B1722,"AAAAAFb/+y0=")</f>
        <v>#VALUE!</v>
      </c>
      <c r="AU21">
        <f>IF(Ischemia_singlenet_25percent_ou!1723:1723,"AAAAAFb/+y4=",0)</f>
        <v>0</v>
      </c>
      <c r="AV21" t="e">
        <f>AND(Ischemia_singlenet_25percent_ou!A1723,"AAAAAFb/+y8=")</f>
        <v>#VALUE!</v>
      </c>
      <c r="AW21" t="e">
        <f>AND(Ischemia_singlenet_25percent_ou!B1723,"AAAAAFb/+zA=")</f>
        <v>#VALUE!</v>
      </c>
      <c r="AX21">
        <f>IF(Ischemia_singlenet_25percent_ou!1724:1724,"AAAAAFb/+zE=",0)</f>
        <v>0</v>
      </c>
      <c r="AY21" t="e">
        <f>AND(Ischemia_singlenet_25percent_ou!A1724,"AAAAAFb/+zI=")</f>
        <v>#VALUE!</v>
      </c>
      <c r="AZ21" t="e">
        <f>AND(Ischemia_singlenet_25percent_ou!B1724,"AAAAAFb/+zM=")</f>
        <v>#VALUE!</v>
      </c>
      <c r="BA21">
        <f>IF(Ischemia_singlenet_25percent_ou!1725:1725,"AAAAAFb/+zQ=",0)</f>
        <v>0</v>
      </c>
      <c r="BB21" t="e">
        <f>AND(Ischemia_singlenet_25percent_ou!A1725,"AAAAAFb/+zU=")</f>
        <v>#VALUE!</v>
      </c>
      <c r="BC21" t="e">
        <f>AND(Ischemia_singlenet_25percent_ou!B1725,"AAAAAFb/+zY=")</f>
        <v>#VALUE!</v>
      </c>
      <c r="BD21">
        <f>IF(Ischemia_singlenet_25percent_ou!1726:1726,"AAAAAFb/+zc=",0)</f>
        <v>0</v>
      </c>
      <c r="BE21" t="e">
        <f>AND(Ischemia_singlenet_25percent_ou!A1726,"AAAAAFb/+zg=")</f>
        <v>#VALUE!</v>
      </c>
      <c r="BF21" t="e">
        <f>AND(Ischemia_singlenet_25percent_ou!B1726,"AAAAAFb/+zk=")</f>
        <v>#VALUE!</v>
      </c>
      <c r="BG21">
        <f>IF(Ischemia_singlenet_25percent_ou!1727:1727,"AAAAAFb/+zo=",0)</f>
        <v>0</v>
      </c>
      <c r="BH21" t="e">
        <f>AND(Ischemia_singlenet_25percent_ou!A1727,"AAAAAFb/+zs=")</f>
        <v>#VALUE!</v>
      </c>
      <c r="BI21" t="e">
        <f>AND(Ischemia_singlenet_25percent_ou!B1727,"AAAAAFb/+zw=")</f>
        <v>#VALUE!</v>
      </c>
      <c r="BJ21">
        <f>IF(Ischemia_singlenet_25percent_ou!1728:1728,"AAAAAFb/+z0=",0)</f>
        <v>0</v>
      </c>
      <c r="BK21" t="e">
        <f>AND(Ischemia_singlenet_25percent_ou!A1728,"AAAAAFb/+z4=")</f>
        <v>#VALUE!</v>
      </c>
      <c r="BL21" t="e">
        <f>AND(Ischemia_singlenet_25percent_ou!B1728,"AAAAAFb/+z8=")</f>
        <v>#VALUE!</v>
      </c>
      <c r="BM21">
        <f>IF(Ischemia_singlenet_25percent_ou!1729:1729,"AAAAAFb/+0A=",0)</f>
        <v>0</v>
      </c>
      <c r="BN21" t="e">
        <f>AND(Ischemia_singlenet_25percent_ou!A1729,"AAAAAFb/+0E=")</f>
        <v>#VALUE!</v>
      </c>
      <c r="BO21" t="e">
        <f>AND(Ischemia_singlenet_25percent_ou!B1729,"AAAAAFb/+0I=")</f>
        <v>#VALUE!</v>
      </c>
      <c r="BP21">
        <f>IF(Ischemia_singlenet_25percent_ou!1730:1730,"AAAAAFb/+0M=",0)</f>
        <v>0</v>
      </c>
      <c r="BQ21" t="e">
        <f>AND(Ischemia_singlenet_25percent_ou!A1730,"AAAAAFb/+0Q=")</f>
        <v>#VALUE!</v>
      </c>
      <c r="BR21" t="e">
        <f>AND(Ischemia_singlenet_25percent_ou!B1730,"AAAAAFb/+0U=")</f>
        <v>#VALUE!</v>
      </c>
      <c r="BS21">
        <f>IF(Ischemia_singlenet_25percent_ou!1731:1731,"AAAAAFb/+0Y=",0)</f>
        <v>0</v>
      </c>
      <c r="BT21" t="e">
        <f>AND(Ischemia_singlenet_25percent_ou!A1731,"AAAAAFb/+0c=")</f>
        <v>#VALUE!</v>
      </c>
      <c r="BU21" t="e">
        <f>AND(Ischemia_singlenet_25percent_ou!B1731,"AAAAAFb/+0g=")</f>
        <v>#VALUE!</v>
      </c>
      <c r="BV21">
        <f>IF(Ischemia_singlenet_25percent_ou!1732:1732,"AAAAAFb/+0k=",0)</f>
        <v>0</v>
      </c>
      <c r="BW21" t="e">
        <f>AND(Ischemia_singlenet_25percent_ou!A1732,"AAAAAFb/+0o=")</f>
        <v>#VALUE!</v>
      </c>
      <c r="BX21" t="e">
        <f>AND(Ischemia_singlenet_25percent_ou!B1732,"AAAAAFb/+0s=")</f>
        <v>#VALUE!</v>
      </c>
      <c r="BY21">
        <f>IF(Ischemia_singlenet_25percent_ou!1733:1733,"AAAAAFb/+0w=",0)</f>
        <v>0</v>
      </c>
      <c r="BZ21" t="e">
        <f>AND(Ischemia_singlenet_25percent_ou!A1733,"AAAAAFb/+00=")</f>
        <v>#VALUE!</v>
      </c>
      <c r="CA21" t="e">
        <f>AND(Ischemia_singlenet_25percent_ou!B1733,"AAAAAFb/+04=")</f>
        <v>#VALUE!</v>
      </c>
      <c r="CB21">
        <f>IF(Ischemia_singlenet_25percent_ou!1734:1734,"AAAAAFb/+08=",0)</f>
        <v>0</v>
      </c>
      <c r="CC21" t="e">
        <f>AND(Ischemia_singlenet_25percent_ou!A1734,"AAAAAFb/+1A=")</f>
        <v>#VALUE!</v>
      </c>
      <c r="CD21" t="e">
        <f>AND(Ischemia_singlenet_25percent_ou!B1734,"AAAAAFb/+1E=")</f>
        <v>#VALUE!</v>
      </c>
      <c r="CE21">
        <f>IF(Ischemia_singlenet_25percent_ou!1735:1735,"AAAAAFb/+1I=",0)</f>
        <v>0</v>
      </c>
      <c r="CF21" t="e">
        <f>AND(Ischemia_singlenet_25percent_ou!A1735,"AAAAAFb/+1M=")</f>
        <v>#VALUE!</v>
      </c>
      <c r="CG21" t="e">
        <f>AND(Ischemia_singlenet_25percent_ou!B1735,"AAAAAFb/+1Q=")</f>
        <v>#VALUE!</v>
      </c>
      <c r="CH21">
        <f>IF(Ischemia_singlenet_25percent_ou!1736:1736,"AAAAAFb/+1U=",0)</f>
        <v>0</v>
      </c>
      <c r="CI21" t="e">
        <f>AND(Ischemia_singlenet_25percent_ou!A1736,"AAAAAFb/+1Y=")</f>
        <v>#VALUE!</v>
      </c>
      <c r="CJ21" t="e">
        <f>AND(Ischemia_singlenet_25percent_ou!B1736,"AAAAAFb/+1c=")</f>
        <v>#VALUE!</v>
      </c>
      <c r="CK21">
        <f>IF(Ischemia_singlenet_25percent_ou!1737:1737,"AAAAAFb/+1g=",0)</f>
        <v>0</v>
      </c>
      <c r="CL21" t="e">
        <f>AND(Ischemia_singlenet_25percent_ou!A1737,"AAAAAFb/+1k=")</f>
        <v>#VALUE!</v>
      </c>
      <c r="CM21" t="e">
        <f>AND(Ischemia_singlenet_25percent_ou!B1737,"AAAAAFb/+1o=")</f>
        <v>#VALUE!</v>
      </c>
      <c r="CN21">
        <f>IF(Ischemia_singlenet_25percent_ou!1738:1738,"AAAAAFb/+1s=",0)</f>
        <v>0</v>
      </c>
      <c r="CO21" t="e">
        <f>AND(Ischemia_singlenet_25percent_ou!A1738,"AAAAAFb/+1w=")</f>
        <v>#VALUE!</v>
      </c>
      <c r="CP21" t="e">
        <f>AND(Ischemia_singlenet_25percent_ou!B1738,"AAAAAFb/+10=")</f>
        <v>#VALUE!</v>
      </c>
      <c r="CQ21">
        <f>IF(Ischemia_singlenet_25percent_ou!1739:1739,"AAAAAFb/+14=",0)</f>
        <v>0</v>
      </c>
      <c r="CR21" t="e">
        <f>AND(Ischemia_singlenet_25percent_ou!A1739,"AAAAAFb/+18=")</f>
        <v>#VALUE!</v>
      </c>
      <c r="CS21" t="e">
        <f>AND(Ischemia_singlenet_25percent_ou!B1739,"AAAAAFb/+2A=")</f>
        <v>#VALUE!</v>
      </c>
      <c r="CT21">
        <f>IF(Ischemia_singlenet_25percent_ou!1740:1740,"AAAAAFb/+2E=",0)</f>
        <v>0</v>
      </c>
      <c r="CU21" t="e">
        <f>AND(Ischemia_singlenet_25percent_ou!A1740,"AAAAAFb/+2I=")</f>
        <v>#VALUE!</v>
      </c>
      <c r="CV21" t="e">
        <f>AND(Ischemia_singlenet_25percent_ou!B1740,"AAAAAFb/+2M=")</f>
        <v>#VALUE!</v>
      </c>
      <c r="CW21">
        <f>IF(Ischemia_singlenet_25percent_ou!1741:1741,"AAAAAFb/+2Q=",0)</f>
        <v>0</v>
      </c>
      <c r="CX21" t="e">
        <f>AND(Ischemia_singlenet_25percent_ou!A1741,"AAAAAFb/+2U=")</f>
        <v>#VALUE!</v>
      </c>
      <c r="CY21" t="e">
        <f>AND(Ischemia_singlenet_25percent_ou!B1741,"AAAAAFb/+2Y=")</f>
        <v>#VALUE!</v>
      </c>
      <c r="CZ21">
        <f>IF(Ischemia_singlenet_25percent_ou!1742:1742,"AAAAAFb/+2c=",0)</f>
        <v>0</v>
      </c>
      <c r="DA21" t="e">
        <f>AND(Ischemia_singlenet_25percent_ou!A1742,"AAAAAFb/+2g=")</f>
        <v>#VALUE!</v>
      </c>
      <c r="DB21" t="e">
        <f>AND(Ischemia_singlenet_25percent_ou!B1742,"AAAAAFb/+2k=")</f>
        <v>#VALUE!</v>
      </c>
      <c r="DC21">
        <f>IF(Ischemia_singlenet_25percent_ou!1743:1743,"AAAAAFb/+2o=",0)</f>
        <v>0</v>
      </c>
      <c r="DD21" t="e">
        <f>AND(Ischemia_singlenet_25percent_ou!A1743,"AAAAAFb/+2s=")</f>
        <v>#VALUE!</v>
      </c>
      <c r="DE21" t="e">
        <f>AND(Ischemia_singlenet_25percent_ou!B1743,"AAAAAFb/+2w=")</f>
        <v>#VALUE!</v>
      </c>
      <c r="DF21">
        <f>IF(Ischemia_singlenet_25percent_ou!1744:1744,"AAAAAFb/+20=",0)</f>
        <v>0</v>
      </c>
      <c r="DG21" t="e">
        <f>AND(Ischemia_singlenet_25percent_ou!A1744,"AAAAAFb/+24=")</f>
        <v>#VALUE!</v>
      </c>
      <c r="DH21" t="e">
        <f>AND(Ischemia_singlenet_25percent_ou!B1744,"AAAAAFb/+28=")</f>
        <v>#VALUE!</v>
      </c>
      <c r="DI21">
        <f>IF(Ischemia_singlenet_25percent_ou!1745:1745,"AAAAAFb/+3A=",0)</f>
        <v>0</v>
      </c>
      <c r="DJ21" t="e">
        <f>AND(Ischemia_singlenet_25percent_ou!A1745,"AAAAAFb/+3E=")</f>
        <v>#VALUE!</v>
      </c>
      <c r="DK21" t="e">
        <f>AND(Ischemia_singlenet_25percent_ou!B1745,"AAAAAFb/+3I=")</f>
        <v>#VALUE!</v>
      </c>
      <c r="DL21">
        <f>IF(Ischemia_singlenet_25percent_ou!1746:1746,"AAAAAFb/+3M=",0)</f>
        <v>0</v>
      </c>
      <c r="DM21" t="e">
        <f>AND(Ischemia_singlenet_25percent_ou!A1746,"AAAAAFb/+3Q=")</f>
        <v>#VALUE!</v>
      </c>
      <c r="DN21" t="e">
        <f>AND(Ischemia_singlenet_25percent_ou!B1746,"AAAAAFb/+3U=")</f>
        <v>#VALUE!</v>
      </c>
      <c r="DO21">
        <f>IF(Ischemia_singlenet_25percent_ou!1747:1747,"AAAAAFb/+3Y=",0)</f>
        <v>0</v>
      </c>
      <c r="DP21" t="e">
        <f>AND(Ischemia_singlenet_25percent_ou!A1747,"AAAAAFb/+3c=")</f>
        <v>#VALUE!</v>
      </c>
      <c r="DQ21" t="e">
        <f>AND(Ischemia_singlenet_25percent_ou!B1747,"AAAAAFb/+3g=")</f>
        <v>#VALUE!</v>
      </c>
      <c r="DR21">
        <f>IF(Ischemia_singlenet_25percent_ou!1748:1748,"AAAAAFb/+3k=",0)</f>
        <v>0</v>
      </c>
      <c r="DS21" t="e">
        <f>AND(Ischemia_singlenet_25percent_ou!A1748,"AAAAAFb/+3o=")</f>
        <v>#VALUE!</v>
      </c>
      <c r="DT21" t="e">
        <f>AND(Ischemia_singlenet_25percent_ou!B1748,"AAAAAFb/+3s=")</f>
        <v>#VALUE!</v>
      </c>
      <c r="DU21">
        <f>IF(Ischemia_singlenet_25percent_ou!1749:1749,"AAAAAFb/+3w=",0)</f>
        <v>0</v>
      </c>
      <c r="DV21" t="e">
        <f>AND(Ischemia_singlenet_25percent_ou!A1749,"AAAAAFb/+30=")</f>
        <v>#VALUE!</v>
      </c>
      <c r="DW21" t="e">
        <f>AND(Ischemia_singlenet_25percent_ou!B1749,"AAAAAFb/+34=")</f>
        <v>#VALUE!</v>
      </c>
      <c r="DX21">
        <f>IF(Ischemia_singlenet_25percent_ou!1750:1750,"AAAAAFb/+38=",0)</f>
        <v>0</v>
      </c>
      <c r="DY21" t="e">
        <f>AND(Ischemia_singlenet_25percent_ou!A1750,"AAAAAFb/+4A=")</f>
        <v>#VALUE!</v>
      </c>
      <c r="DZ21" t="e">
        <f>AND(Ischemia_singlenet_25percent_ou!B1750,"AAAAAFb/+4E=")</f>
        <v>#VALUE!</v>
      </c>
      <c r="EA21">
        <f>IF(Ischemia_singlenet_25percent_ou!1751:1751,"AAAAAFb/+4I=",0)</f>
        <v>0</v>
      </c>
      <c r="EB21" t="e">
        <f>AND(Ischemia_singlenet_25percent_ou!A1751,"AAAAAFb/+4M=")</f>
        <v>#VALUE!</v>
      </c>
      <c r="EC21" t="e">
        <f>AND(Ischemia_singlenet_25percent_ou!B1751,"AAAAAFb/+4Q=")</f>
        <v>#VALUE!</v>
      </c>
      <c r="ED21">
        <f>IF(Ischemia_singlenet_25percent_ou!1752:1752,"AAAAAFb/+4U=",0)</f>
        <v>0</v>
      </c>
      <c r="EE21" t="e">
        <f>AND(Ischemia_singlenet_25percent_ou!A1752,"AAAAAFb/+4Y=")</f>
        <v>#VALUE!</v>
      </c>
      <c r="EF21" t="e">
        <f>AND(Ischemia_singlenet_25percent_ou!B1752,"AAAAAFb/+4c=")</f>
        <v>#VALUE!</v>
      </c>
      <c r="EG21">
        <f>IF(Ischemia_singlenet_25percent_ou!1753:1753,"AAAAAFb/+4g=",0)</f>
        <v>0</v>
      </c>
      <c r="EH21" t="e">
        <f>AND(Ischemia_singlenet_25percent_ou!A1753,"AAAAAFb/+4k=")</f>
        <v>#VALUE!</v>
      </c>
      <c r="EI21" t="e">
        <f>AND(Ischemia_singlenet_25percent_ou!B1753,"AAAAAFb/+4o=")</f>
        <v>#VALUE!</v>
      </c>
      <c r="EJ21">
        <f>IF(Ischemia_singlenet_25percent_ou!1754:1754,"AAAAAFb/+4s=",0)</f>
        <v>0</v>
      </c>
      <c r="EK21" t="e">
        <f>AND(Ischemia_singlenet_25percent_ou!A1754,"AAAAAFb/+4w=")</f>
        <v>#VALUE!</v>
      </c>
      <c r="EL21" t="e">
        <f>AND(Ischemia_singlenet_25percent_ou!B1754,"AAAAAFb/+40=")</f>
        <v>#VALUE!</v>
      </c>
      <c r="EM21">
        <f>IF(Ischemia_singlenet_25percent_ou!1755:1755,"AAAAAFb/+44=",0)</f>
        <v>0</v>
      </c>
      <c r="EN21" t="e">
        <f>AND(Ischemia_singlenet_25percent_ou!A1755,"AAAAAFb/+48=")</f>
        <v>#VALUE!</v>
      </c>
      <c r="EO21" t="e">
        <f>AND(Ischemia_singlenet_25percent_ou!B1755,"AAAAAFb/+5A=")</f>
        <v>#VALUE!</v>
      </c>
      <c r="EP21">
        <f>IF(Ischemia_singlenet_25percent_ou!1756:1756,"AAAAAFb/+5E=",0)</f>
        <v>0</v>
      </c>
      <c r="EQ21" t="e">
        <f>AND(Ischemia_singlenet_25percent_ou!A1756,"AAAAAFb/+5I=")</f>
        <v>#VALUE!</v>
      </c>
      <c r="ER21" t="e">
        <f>AND(Ischemia_singlenet_25percent_ou!B1756,"AAAAAFb/+5M=")</f>
        <v>#VALUE!</v>
      </c>
      <c r="ES21">
        <f>IF(Ischemia_singlenet_25percent_ou!1757:1757,"AAAAAFb/+5Q=",0)</f>
        <v>0</v>
      </c>
      <c r="ET21" t="e">
        <f>AND(Ischemia_singlenet_25percent_ou!A1757,"AAAAAFb/+5U=")</f>
        <v>#VALUE!</v>
      </c>
      <c r="EU21" t="e">
        <f>AND(Ischemia_singlenet_25percent_ou!B1757,"AAAAAFb/+5Y=")</f>
        <v>#VALUE!</v>
      </c>
      <c r="EV21">
        <f>IF(Ischemia_singlenet_25percent_ou!1758:1758,"AAAAAFb/+5c=",0)</f>
        <v>0</v>
      </c>
      <c r="EW21" t="e">
        <f>AND(Ischemia_singlenet_25percent_ou!A1758,"AAAAAFb/+5g=")</f>
        <v>#VALUE!</v>
      </c>
      <c r="EX21" t="e">
        <f>AND(Ischemia_singlenet_25percent_ou!B1758,"AAAAAFb/+5k=")</f>
        <v>#VALUE!</v>
      </c>
      <c r="EY21">
        <f>IF(Ischemia_singlenet_25percent_ou!1759:1759,"AAAAAFb/+5o=",0)</f>
        <v>0</v>
      </c>
      <c r="EZ21" t="e">
        <f>AND(Ischemia_singlenet_25percent_ou!A1759,"AAAAAFb/+5s=")</f>
        <v>#VALUE!</v>
      </c>
      <c r="FA21" t="e">
        <f>AND(Ischemia_singlenet_25percent_ou!B1759,"AAAAAFb/+5w=")</f>
        <v>#VALUE!</v>
      </c>
      <c r="FB21">
        <f>IF(Ischemia_singlenet_25percent_ou!1760:1760,"AAAAAFb/+50=",0)</f>
        <v>0</v>
      </c>
      <c r="FC21" t="e">
        <f>AND(Ischemia_singlenet_25percent_ou!A1760,"AAAAAFb/+54=")</f>
        <v>#VALUE!</v>
      </c>
      <c r="FD21" t="e">
        <f>AND(Ischemia_singlenet_25percent_ou!B1760,"AAAAAFb/+58=")</f>
        <v>#VALUE!</v>
      </c>
      <c r="FE21">
        <f>IF(Ischemia_singlenet_25percent_ou!1761:1761,"AAAAAFb/+6A=",0)</f>
        <v>0</v>
      </c>
      <c r="FF21" t="e">
        <f>AND(Ischemia_singlenet_25percent_ou!A1761,"AAAAAFb/+6E=")</f>
        <v>#VALUE!</v>
      </c>
      <c r="FG21" t="e">
        <f>AND(Ischemia_singlenet_25percent_ou!B1761,"AAAAAFb/+6I=")</f>
        <v>#VALUE!</v>
      </c>
      <c r="FH21">
        <f>IF(Ischemia_singlenet_25percent_ou!1762:1762,"AAAAAFb/+6M=",0)</f>
        <v>0</v>
      </c>
      <c r="FI21" t="e">
        <f>AND(Ischemia_singlenet_25percent_ou!A1762,"AAAAAFb/+6Q=")</f>
        <v>#VALUE!</v>
      </c>
      <c r="FJ21" t="e">
        <f>AND(Ischemia_singlenet_25percent_ou!B1762,"AAAAAFb/+6U=")</f>
        <v>#VALUE!</v>
      </c>
      <c r="FK21">
        <f>IF(Ischemia_singlenet_25percent_ou!1763:1763,"AAAAAFb/+6Y=",0)</f>
        <v>0</v>
      </c>
      <c r="FL21" t="e">
        <f>AND(Ischemia_singlenet_25percent_ou!A1763,"AAAAAFb/+6c=")</f>
        <v>#VALUE!</v>
      </c>
      <c r="FM21" t="e">
        <f>AND(Ischemia_singlenet_25percent_ou!B1763,"AAAAAFb/+6g=")</f>
        <v>#VALUE!</v>
      </c>
      <c r="FN21">
        <f>IF(Ischemia_singlenet_25percent_ou!1764:1764,"AAAAAFb/+6k=",0)</f>
        <v>0</v>
      </c>
      <c r="FO21" t="e">
        <f>AND(Ischemia_singlenet_25percent_ou!A1764,"AAAAAFb/+6o=")</f>
        <v>#VALUE!</v>
      </c>
      <c r="FP21" t="e">
        <f>AND(Ischemia_singlenet_25percent_ou!B1764,"AAAAAFb/+6s=")</f>
        <v>#VALUE!</v>
      </c>
      <c r="FQ21">
        <f>IF(Ischemia_singlenet_25percent_ou!1765:1765,"AAAAAFb/+6w=",0)</f>
        <v>0</v>
      </c>
      <c r="FR21" t="e">
        <f>AND(Ischemia_singlenet_25percent_ou!A1765,"AAAAAFb/+60=")</f>
        <v>#VALUE!</v>
      </c>
      <c r="FS21" t="e">
        <f>AND(Ischemia_singlenet_25percent_ou!B1765,"AAAAAFb/+64=")</f>
        <v>#VALUE!</v>
      </c>
      <c r="FT21">
        <f>IF(Ischemia_singlenet_25percent_ou!1766:1766,"AAAAAFb/+68=",0)</f>
        <v>0</v>
      </c>
      <c r="FU21" t="e">
        <f>AND(Ischemia_singlenet_25percent_ou!A1766,"AAAAAFb/+7A=")</f>
        <v>#VALUE!</v>
      </c>
      <c r="FV21" t="e">
        <f>AND(Ischemia_singlenet_25percent_ou!B1766,"AAAAAFb/+7E=")</f>
        <v>#VALUE!</v>
      </c>
      <c r="FW21">
        <f>IF(Ischemia_singlenet_25percent_ou!1767:1767,"AAAAAFb/+7I=",0)</f>
        <v>0</v>
      </c>
      <c r="FX21" t="e">
        <f>AND(Ischemia_singlenet_25percent_ou!A1767,"AAAAAFb/+7M=")</f>
        <v>#VALUE!</v>
      </c>
      <c r="FY21" t="e">
        <f>AND(Ischemia_singlenet_25percent_ou!B1767,"AAAAAFb/+7Q=")</f>
        <v>#VALUE!</v>
      </c>
      <c r="FZ21">
        <f>IF(Ischemia_singlenet_25percent_ou!1768:1768,"AAAAAFb/+7U=",0)</f>
        <v>0</v>
      </c>
      <c r="GA21" t="e">
        <f>AND(Ischemia_singlenet_25percent_ou!A1768,"AAAAAFb/+7Y=")</f>
        <v>#VALUE!</v>
      </c>
      <c r="GB21" t="e">
        <f>AND(Ischemia_singlenet_25percent_ou!B1768,"AAAAAFb/+7c=")</f>
        <v>#VALUE!</v>
      </c>
      <c r="GC21">
        <f>IF(Ischemia_singlenet_25percent_ou!1769:1769,"AAAAAFb/+7g=",0)</f>
        <v>0</v>
      </c>
      <c r="GD21" t="e">
        <f>AND(Ischemia_singlenet_25percent_ou!A1769,"AAAAAFb/+7k=")</f>
        <v>#VALUE!</v>
      </c>
      <c r="GE21" t="e">
        <f>AND(Ischemia_singlenet_25percent_ou!B1769,"AAAAAFb/+7o=")</f>
        <v>#VALUE!</v>
      </c>
      <c r="GF21">
        <f>IF(Ischemia_singlenet_25percent_ou!1770:1770,"AAAAAFb/+7s=",0)</f>
        <v>0</v>
      </c>
      <c r="GG21" t="e">
        <f>AND(Ischemia_singlenet_25percent_ou!A1770,"AAAAAFb/+7w=")</f>
        <v>#VALUE!</v>
      </c>
      <c r="GH21" t="e">
        <f>AND(Ischemia_singlenet_25percent_ou!B1770,"AAAAAFb/+70=")</f>
        <v>#VALUE!</v>
      </c>
      <c r="GI21">
        <f>IF(Ischemia_singlenet_25percent_ou!1771:1771,"AAAAAFb/+74=",0)</f>
        <v>0</v>
      </c>
      <c r="GJ21" t="e">
        <f>AND(Ischemia_singlenet_25percent_ou!A1771,"AAAAAFb/+78=")</f>
        <v>#VALUE!</v>
      </c>
      <c r="GK21" t="e">
        <f>AND(Ischemia_singlenet_25percent_ou!B1771,"AAAAAFb/+8A=")</f>
        <v>#VALUE!</v>
      </c>
      <c r="GL21">
        <f>IF(Ischemia_singlenet_25percent_ou!1772:1772,"AAAAAFb/+8E=",0)</f>
        <v>0</v>
      </c>
      <c r="GM21" t="e">
        <f>AND(Ischemia_singlenet_25percent_ou!A1772,"AAAAAFb/+8I=")</f>
        <v>#VALUE!</v>
      </c>
      <c r="GN21" t="e">
        <f>AND(Ischemia_singlenet_25percent_ou!B1772,"AAAAAFb/+8M=")</f>
        <v>#VALUE!</v>
      </c>
      <c r="GO21">
        <f>IF(Ischemia_singlenet_25percent_ou!1773:1773,"AAAAAFb/+8Q=",0)</f>
        <v>0</v>
      </c>
      <c r="GP21" t="e">
        <f>AND(Ischemia_singlenet_25percent_ou!A1773,"AAAAAFb/+8U=")</f>
        <v>#VALUE!</v>
      </c>
      <c r="GQ21" t="e">
        <f>AND(Ischemia_singlenet_25percent_ou!B1773,"AAAAAFb/+8Y=")</f>
        <v>#VALUE!</v>
      </c>
      <c r="GR21">
        <f>IF(Ischemia_singlenet_25percent_ou!1774:1774,"AAAAAFb/+8c=",0)</f>
        <v>0</v>
      </c>
      <c r="GS21" t="e">
        <f>AND(Ischemia_singlenet_25percent_ou!A1774,"AAAAAFb/+8g=")</f>
        <v>#VALUE!</v>
      </c>
      <c r="GT21" t="e">
        <f>AND(Ischemia_singlenet_25percent_ou!B1774,"AAAAAFb/+8k=")</f>
        <v>#VALUE!</v>
      </c>
      <c r="GU21">
        <f>IF(Ischemia_singlenet_25percent_ou!1775:1775,"AAAAAFb/+8o=",0)</f>
        <v>0</v>
      </c>
      <c r="GV21" t="e">
        <f>AND(Ischemia_singlenet_25percent_ou!A1775,"AAAAAFb/+8s=")</f>
        <v>#VALUE!</v>
      </c>
      <c r="GW21" t="e">
        <f>AND(Ischemia_singlenet_25percent_ou!B1775,"AAAAAFb/+8w=")</f>
        <v>#VALUE!</v>
      </c>
      <c r="GX21">
        <f>IF(Ischemia_singlenet_25percent_ou!1776:1776,"AAAAAFb/+80=",0)</f>
        <v>0</v>
      </c>
      <c r="GY21" t="e">
        <f>AND(Ischemia_singlenet_25percent_ou!A1776,"AAAAAFb/+84=")</f>
        <v>#VALUE!</v>
      </c>
      <c r="GZ21" t="e">
        <f>AND(Ischemia_singlenet_25percent_ou!B1776,"AAAAAFb/+88=")</f>
        <v>#VALUE!</v>
      </c>
      <c r="HA21">
        <f>IF(Ischemia_singlenet_25percent_ou!1777:1777,"AAAAAFb/+9A=",0)</f>
        <v>0</v>
      </c>
      <c r="HB21" t="e">
        <f>AND(Ischemia_singlenet_25percent_ou!A1777,"AAAAAFb/+9E=")</f>
        <v>#VALUE!</v>
      </c>
      <c r="HC21" t="e">
        <f>AND(Ischemia_singlenet_25percent_ou!B1777,"AAAAAFb/+9I=")</f>
        <v>#VALUE!</v>
      </c>
      <c r="HD21">
        <f>IF(Ischemia_singlenet_25percent_ou!1778:1778,"AAAAAFb/+9M=",0)</f>
        <v>0</v>
      </c>
      <c r="HE21" t="e">
        <f>AND(Ischemia_singlenet_25percent_ou!A1778,"AAAAAFb/+9Q=")</f>
        <v>#VALUE!</v>
      </c>
      <c r="HF21" t="e">
        <f>AND(Ischemia_singlenet_25percent_ou!B1778,"AAAAAFb/+9U=")</f>
        <v>#VALUE!</v>
      </c>
      <c r="HG21">
        <f>IF(Ischemia_singlenet_25percent_ou!1779:1779,"AAAAAFb/+9Y=",0)</f>
        <v>0</v>
      </c>
      <c r="HH21" t="e">
        <f>AND(Ischemia_singlenet_25percent_ou!A1779,"AAAAAFb/+9c=")</f>
        <v>#VALUE!</v>
      </c>
      <c r="HI21" t="e">
        <f>AND(Ischemia_singlenet_25percent_ou!B1779,"AAAAAFb/+9g=")</f>
        <v>#VALUE!</v>
      </c>
      <c r="HJ21">
        <f>IF(Ischemia_singlenet_25percent_ou!1780:1780,"AAAAAFb/+9k=",0)</f>
        <v>0</v>
      </c>
      <c r="HK21" t="e">
        <f>AND(Ischemia_singlenet_25percent_ou!A1780,"AAAAAFb/+9o=")</f>
        <v>#VALUE!</v>
      </c>
      <c r="HL21" t="e">
        <f>AND(Ischemia_singlenet_25percent_ou!B1780,"AAAAAFb/+9s=")</f>
        <v>#VALUE!</v>
      </c>
      <c r="HM21">
        <f>IF(Ischemia_singlenet_25percent_ou!1781:1781,"AAAAAFb/+9w=",0)</f>
        <v>0</v>
      </c>
      <c r="HN21" t="e">
        <f>AND(Ischemia_singlenet_25percent_ou!A1781,"AAAAAFb/+90=")</f>
        <v>#VALUE!</v>
      </c>
      <c r="HO21" t="e">
        <f>AND(Ischemia_singlenet_25percent_ou!B1781,"AAAAAFb/+94=")</f>
        <v>#VALUE!</v>
      </c>
      <c r="HP21">
        <f>IF(Ischemia_singlenet_25percent_ou!1782:1782,"AAAAAFb/+98=",0)</f>
        <v>0</v>
      </c>
      <c r="HQ21" t="e">
        <f>AND(Ischemia_singlenet_25percent_ou!A1782,"AAAAAFb/++A=")</f>
        <v>#VALUE!</v>
      </c>
      <c r="HR21" t="e">
        <f>AND(Ischemia_singlenet_25percent_ou!B1782,"AAAAAFb/++E=")</f>
        <v>#VALUE!</v>
      </c>
      <c r="HS21">
        <f>IF(Ischemia_singlenet_25percent_ou!1783:1783,"AAAAAFb/++I=",0)</f>
        <v>0</v>
      </c>
      <c r="HT21" t="e">
        <f>AND(Ischemia_singlenet_25percent_ou!A1783,"AAAAAFb/++M=")</f>
        <v>#VALUE!</v>
      </c>
      <c r="HU21" t="e">
        <f>AND(Ischemia_singlenet_25percent_ou!B1783,"AAAAAFb/++Q=")</f>
        <v>#VALUE!</v>
      </c>
      <c r="HV21">
        <f>IF(Ischemia_singlenet_25percent_ou!1784:1784,"AAAAAFb/++U=",0)</f>
        <v>0</v>
      </c>
      <c r="HW21" t="e">
        <f>AND(Ischemia_singlenet_25percent_ou!A1784,"AAAAAFb/++Y=")</f>
        <v>#VALUE!</v>
      </c>
      <c r="HX21" t="e">
        <f>AND(Ischemia_singlenet_25percent_ou!B1784,"AAAAAFb/++c=")</f>
        <v>#VALUE!</v>
      </c>
      <c r="HY21">
        <f>IF(Ischemia_singlenet_25percent_ou!1785:1785,"AAAAAFb/++g=",0)</f>
        <v>0</v>
      </c>
      <c r="HZ21" t="e">
        <f>AND(Ischemia_singlenet_25percent_ou!A1785,"AAAAAFb/++k=")</f>
        <v>#VALUE!</v>
      </c>
      <c r="IA21" t="e">
        <f>AND(Ischemia_singlenet_25percent_ou!B1785,"AAAAAFb/++o=")</f>
        <v>#VALUE!</v>
      </c>
      <c r="IB21">
        <f>IF(Ischemia_singlenet_25percent_ou!1786:1786,"AAAAAFb/++s=",0)</f>
        <v>0</v>
      </c>
      <c r="IC21" t="e">
        <f>AND(Ischemia_singlenet_25percent_ou!A1786,"AAAAAFb/++w=")</f>
        <v>#VALUE!</v>
      </c>
      <c r="ID21" t="e">
        <f>AND(Ischemia_singlenet_25percent_ou!B1786,"AAAAAFb/++0=")</f>
        <v>#VALUE!</v>
      </c>
      <c r="IE21">
        <f>IF(Ischemia_singlenet_25percent_ou!1787:1787,"AAAAAFb/++4=",0)</f>
        <v>0</v>
      </c>
      <c r="IF21" t="e">
        <f>AND(Ischemia_singlenet_25percent_ou!A1787,"AAAAAFb/++8=")</f>
        <v>#VALUE!</v>
      </c>
      <c r="IG21" t="e">
        <f>AND(Ischemia_singlenet_25percent_ou!B1787,"AAAAAFb/+/A=")</f>
        <v>#VALUE!</v>
      </c>
      <c r="IH21">
        <f>IF(Ischemia_singlenet_25percent_ou!1788:1788,"AAAAAFb/+/E=",0)</f>
        <v>0</v>
      </c>
      <c r="II21" t="e">
        <f>AND(Ischemia_singlenet_25percent_ou!A1788,"AAAAAFb/+/I=")</f>
        <v>#VALUE!</v>
      </c>
      <c r="IJ21" t="e">
        <f>AND(Ischemia_singlenet_25percent_ou!B1788,"AAAAAFb/+/M=")</f>
        <v>#VALUE!</v>
      </c>
      <c r="IK21">
        <f>IF(Ischemia_singlenet_25percent_ou!1789:1789,"AAAAAFb/+/Q=",0)</f>
        <v>0</v>
      </c>
      <c r="IL21" t="e">
        <f>AND(Ischemia_singlenet_25percent_ou!A1789,"AAAAAFb/+/U=")</f>
        <v>#VALUE!</v>
      </c>
      <c r="IM21" t="e">
        <f>AND(Ischemia_singlenet_25percent_ou!B1789,"AAAAAFb/+/Y=")</f>
        <v>#VALUE!</v>
      </c>
      <c r="IN21">
        <f>IF(Ischemia_singlenet_25percent_ou!1790:1790,"AAAAAFb/+/c=",0)</f>
        <v>0</v>
      </c>
      <c r="IO21" t="e">
        <f>AND(Ischemia_singlenet_25percent_ou!A1790,"AAAAAFb/+/g=")</f>
        <v>#VALUE!</v>
      </c>
      <c r="IP21" t="e">
        <f>AND(Ischemia_singlenet_25percent_ou!B1790,"AAAAAFb/+/k=")</f>
        <v>#VALUE!</v>
      </c>
      <c r="IQ21">
        <f>IF(Ischemia_singlenet_25percent_ou!1791:1791,"AAAAAFb/+/o=",0)</f>
        <v>0</v>
      </c>
      <c r="IR21" t="e">
        <f>AND(Ischemia_singlenet_25percent_ou!A1791,"AAAAAFb/+/s=")</f>
        <v>#VALUE!</v>
      </c>
      <c r="IS21" t="e">
        <f>AND(Ischemia_singlenet_25percent_ou!B1791,"AAAAAFb/+/w=")</f>
        <v>#VALUE!</v>
      </c>
      <c r="IT21">
        <f>IF(Ischemia_singlenet_25percent_ou!1792:1792,"AAAAAFb/+/0=",0)</f>
        <v>0</v>
      </c>
      <c r="IU21" t="e">
        <f>AND(Ischemia_singlenet_25percent_ou!A1792,"AAAAAFb/+/4=")</f>
        <v>#VALUE!</v>
      </c>
      <c r="IV21" t="e">
        <f>AND(Ischemia_singlenet_25percent_ou!B1792,"AAAAAFb/+/8=")</f>
        <v>#VALUE!</v>
      </c>
    </row>
    <row r="22" spans="1:256">
      <c r="A22" t="e">
        <f>IF(Ischemia_singlenet_25percent_ou!1793:1793,"AAAAAD9nZwA=",0)</f>
        <v>#VALUE!</v>
      </c>
      <c r="B22" t="e">
        <f>AND(Ischemia_singlenet_25percent_ou!A1793,"AAAAAD9nZwE=")</f>
        <v>#VALUE!</v>
      </c>
      <c r="C22" t="e">
        <f>AND(Ischemia_singlenet_25percent_ou!B1793,"AAAAAD9nZwI=")</f>
        <v>#VALUE!</v>
      </c>
      <c r="D22">
        <f>IF(Ischemia_singlenet_25percent_ou!1794:1794,"AAAAAD9nZwM=",0)</f>
        <v>0</v>
      </c>
      <c r="E22" t="e">
        <f>AND(Ischemia_singlenet_25percent_ou!A1794,"AAAAAD9nZwQ=")</f>
        <v>#VALUE!</v>
      </c>
      <c r="F22" t="e">
        <f>AND(Ischemia_singlenet_25percent_ou!B1794,"AAAAAD9nZwU=")</f>
        <v>#VALUE!</v>
      </c>
      <c r="G22">
        <f>IF(Ischemia_singlenet_25percent_ou!1795:1795,"AAAAAD9nZwY=",0)</f>
        <v>0</v>
      </c>
      <c r="H22" t="e">
        <f>AND(Ischemia_singlenet_25percent_ou!A1795,"AAAAAD9nZwc=")</f>
        <v>#VALUE!</v>
      </c>
      <c r="I22" t="e">
        <f>AND(Ischemia_singlenet_25percent_ou!B1795,"AAAAAD9nZwg=")</f>
        <v>#VALUE!</v>
      </c>
      <c r="J22">
        <f>IF(Ischemia_singlenet_25percent_ou!1796:1796,"AAAAAD9nZwk=",0)</f>
        <v>0</v>
      </c>
      <c r="K22" t="e">
        <f>AND(Ischemia_singlenet_25percent_ou!A1796,"AAAAAD9nZwo=")</f>
        <v>#VALUE!</v>
      </c>
      <c r="L22" t="e">
        <f>AND(Ischemia_singlenet_25percent_ou!B1796,"AAAAAD9nZws=")</f>
        <v>#VALUE!</v>
      </c>
      <c r="M22">
        <f>IF(Ischemia_singlenet_25percent_ou!1797:1797,"AAAAAD9nZww=",0)</f>
        <v>0</v>
      </c>
      <c r="N22" t="e">
        <f>AND(Ischemia_singlenet_25percent_ou!A1797,"AAAAAD9nZw0=")</f>
        <v>#VALUE!</v>
      </c>
      <c r="O22" t="e">
        <f>AND(Ischemia_singlenet_25percent_ou!B1797,"AAAAAD9nZw4=")</f>
        <v>#VALUE!</v>
      </c>
      <c r="P22">
        <f>IF(Ischemia_singlenet_25percent_ou!1798:1798,"AAAAAD9nZw8=",0)</f>
        <v>0</v>
      </c>
      <c r="Q22" t="e">
        <f>AND(Ischemia_singlenet_25percent_ou!A1798,"AAAAAD9nZxA=")</f>
        <v>#VALUE!</v>
      </c>
      <c r="R22" t="e">
        <f>AND(Ischemia_singlenet_25percent_ou!B1798,"AAAAAD9nZxE=")</f>
        <v>#VALUE!</v>
      </c>
      <c r="S22">
        <f>IF(Ischemia_singlenet_25percent_ou!1799:1799,"AAAAAD9nZxI=",0)</f>
        <v>0</v>
      </c>
      <c r="T22" t="e">
        <f>AND(Ischemia_singlenet_25percent_ou!A1799,"AAAAAD9nZxM=")</f>
        <v>#VALUE!</v>
      </c>
      <c r="U22" t="e">
        <f>AND(Ischemia_singlenet_25percent_ou!B1799,"AAAAAD9nZxQ=")</f>
        <v>#VALUE!</v>
      </c>
      <c r="V22">
        <f>IF(Ischemia_singlenet_25percent_ou!1800:1800,"AAAAAD9nZxU=",0)</f>
        <v>0</v>
      </c>
      <c r="W22" t="e">
        <f>AND(Ischemia_singlenet_25percent_ou!A1800,"AAAAAD9nZxY=")</f>
        <v>#VALUE!</v>
      </c>
      <c r="X22" t="e">
        <f>AND(Ischemia_singlenet_25percent_ou!B1800,"AAAAAD9nZxc=")</f>
        <v>#VALUE!</v>
      </c>
      <c r="Y22">
        <f>IF(Ischemia_singlenet_25percent_ou!1801:1801,"AAAAAD9nZxg=",0)</f>
        <v>0</v>
      </c>
      <c r="Z22" t="e">
        <f>AND(Ischemia_singlenet_25percent_ou!A1801,"AAAAAD9nZxk=")</f>
        <v>#VALUE!</v>
      </c>
      <c r="AA22" t="e">
        <f>AND(Ischemia_singlenet_25percent_ou!B1801,"AAAAAD9nZxo=")</f>
        <v>#VALUE!</v>
      </c>
      <c r="AB22">
        <f>IF(Ischemia_singlenet_25percent_ou!1802:1802,"AAAAAD9nZxs=",0)</f>
        <v>0</v>
      </c>
      <c r="AC22" t="e">
        <f>AND(Ischemia_singlenet_25percent_ou!A1802,"AAAAAD9nZxw=")</f>
        <v>#VALUE!</v>
      </c>
      <c r="AD22" t="e">
        <f>AND(Ischemia_singlenet_25percent_ou!B1802,"AAAAAD9nZx0=")</f>
        <v>#VALUE!</v>
      </c>
      <c r="AE22">
        <f>IF(Ischemia_singlenet_25percent_ou!1803:1803,"AAAAAD9nZx4=",0)</f>
        <v>0</v>
      </c>
      <c r="AF22" t="e">
        <f>AND(Ischemia_singlenet_25percent_ou!A1803,"AAAAAD9nZx8=")</f>
        <v>#VALUE!</v>
      </c>
      <c r="AG22" t="e">
        <f>AND(Ischemia_singlenet_25percent_ou!B1803,"AAAAAD9nZyA=")</f>
        <v>#VALUE!</v>
      </c>
      <c r="AH22">
        <f>IF(Ischemia_singlenet_25percent_ou!1804:1804,"AAAAAD9nZyE=",0)</f>
        <v>0</v>
      </c>
      <c r="AI22" t="e">
        <f>AND(Ischemia_singlenet_25percent_ou!A1804,"AAAAAD9nZyI=")</f>
        <v>#VALUE!</v>
      </c>
      <c r="AJ22" t="e">
        <f>AND(Ischemia_singlenet_25percent_ou!B1804,"AAAAAD9nZyM=")</f>
        <v>#VALUE!</v>
      </c>
      <c r="AK22">
        <f>IF(Ischemia_singlenet_25percent_ou!1805:1805,"AAAAAD9nZyQ=",0)</f>
        <v>0</v>
      </c>
      <c r="AL22" t="e">
        <f>AND(Ischemia_singlenet_25percent_ou!A1805,"AAAAAD9nZyU=")</f>
        <v>#VALUE!</v>
      </c>
      <c r="AM22" t="e">
        <f>AND(Ischemia_singlenet_25percent_ou!B1805,"AAAAAD9nZyY=")</f>
        <v>#VALUE!</v>
      </c>
      <c r="AN22">
        <f>IF(Ischemia_singlenet_25percent_ou!1806:1806,"AAAAAD9nZyc=",0)</f>
        <v>0</v>
      </c>
      <c r="AO22" t="e">
        <f>AND(Ischemia_singlenet_25percent_ou!A1806,"AAAAAD9nZyg=")</f>
        <v>#VALUE!</v>
      </c>
      <c r="AP22" t="e">
        <f>AND(Ischemia_singlenet_25percent_ou!B1806,"AAAAAD9nZyk=")</f>
        <v>#VALUE!</v>
      </c>
      <c r="AQ22">
        <f>IF(Ischemia_singlenet_25percent_ou!1807:1807,"AAAAAD9nZyo=",0)</f>
        <v>0</v>
      </c>
      <c r="AR22" t="e">
        <f>AND(Ischemia_singlenet_25percent_ou!A1807,"AAAAAD9nZys=")</f>
        <v>#VALUE!</v>
      </c>
      <c r="AS22" t="e">
        <f>AND(Ischemia_singlenet_25percent_ou!B1807,"AAAAAD9nZyw=")</f>
        <v>#VALUE!</v>
      </c>
      <c r="AT22">
        <f>IF(Ischemia_singlenet_25percent_ou!1808:1808,"AAAAAD9nZy0=",0)</f>
        <v>0</v>
      </c>
      <c r="AU22" t="e">
        <f>AND(Ischemia_singlenet_25percent_ou!A1808,"AAAAAD9nZy4=")</f>
        <v>#VALUE!</v>
      </c>
      <c r="AV22" t="e">
        <f>AND(Ischemia_singlenet_25percent_ou!B1808,"AAAAAD9nZy8=")</f>
        <v>#VALUE!</v>
      </c>
      <c r="AW22">
        <f>IF(Ischemia_singlenet_25percent_ou!1809:1809,"AAAAAD9nZzA=",0)</f>
        <v>0</v>
      </c>
      <c r="AX22" t="e">
        <f>AND(Ischemia_singlenet_25percent_ou!A1809,"AAAAAD9nZzE=")</f>
        <v>#VALUE!</v>
      </c>
      <c r="AY22" t="e">
        <f>AND(Ischemia_singlenet_25percent_ou!B1809,"AAAAAD9nZzI=")</f>
        <v>#VALUE!</v>
      </c>
      <c r="AZ22">
        <f>IF(Ischemia_singlenet_25percent_ou!1810:1810,"AAAAAD9nZzM=",0)</f>
        <v>0</v>
      </c>
      <c r="BA22" t="e">
        <f>AND(Ischemia_singlenet_25percent_ou!A1810,"AAAAAD9nZzQ=")</f>
        <v>#VALUE!</v>
      </c>
      <c r="BB22" t="e">
        <f>AND(Ischemia_singlenet_25percent_ou!B1810,"AAAAAD9nZzU=")</f>
        <v>#VALUE!</v>
      </c>
      <c r="BC22">
        <f>IF(Ischemia_singlenet_25percent_ou!1811:1811,"AAAAAD9nZzY=",0)</f>
        <v>0</v>
      </c>
      <c r="BD22" t="e">
        <f>AND(Ischemia_singlenet_25percent_ou!A1811,"AAAAAD9nZzc=")</f>
        <v>#VALUE!</v>
      </c>
      <c r="BE22" t="e">
        <f>AND(Ischemia_singlenet_25percent_ou!B1811,"AAAAAD9nZzg=")</f>
        <v>#VALUE!</v>
      </c>
      <c r="BF22">
        <f>IF(Ischemia_singlenet_25percent_ou!1812:1812,"AAAAAD9nZzk=",0)</f>
        <v>0</v>
      </c>
      <c r="BG22" t="e">
        <f>AND(Ischemia_singlenet_25percent_ou!A1812,"AAAAAD9nZzo=")</f>
        <v>#VALUE!</v>
      </c>
      <c r="BH22" t="e">
        <f>AND(Ischemia_singlenet_25percent_ou!B1812,"AAAAAD9nZzs=")</f>
        <v>#VALUE!</v>
      </c>
      <c r="BI22">
        <f>IF(Ischemia_singlenet_25percent_ou!1813:1813,"AAAAAD9nZzw=",0)</f>
        <v>0</v>
      </c>
      <c r="BJ22" t="e">
        <f>AND(Ischemia_singlenet_25percent_ou!A1813,"AAAAAD9nZz0=")</f>
        <v>#VALUE!</v>
      </c>
      <c r="BK22" t="e">
        <f>AND(Ischemia_singlenet_25percent_ou!B1813,"AAAAAD9nZz4=")</f>
        <v>#VALUE!</v>
      </c>
      <c r="BL22">
        <f>IF(Ischemia_singlenet_25percent_ou!1814:1814,"AAAAAD9nZz8=",0)</f>
        <v>0</v>
      </c>
      <c r="BM22" t="e">
        <f>AND(Ischemia_singlenet_25percent_ou!A1814,"AAAAAD9nZ0A=")</f>
        <v>#VALUE!</v>
      </c>
      <c r="BN22" t="e">
        <f>AND(Ischemia_singlenet_25percent_ou!B1814,"AAAAAD9nZ0E=")</f>
        <v>#VALUE!</v>
      </c>
      <c r="BO22">
        <f>IF(Ischemia_singlenet_25percent_ou!1815:1815,"AAAAAD9nZ0I=",0)</f>
        <v>0</v>
      </c>
      <c r="BP22" t="e">
        <f>AND(Ischemia_singlenet_25percent_ou!A1815,"AAAAAD9nZ0M=")</f>
        <v>#VALUE!</v>
      </c>
      <c r="BQ22" t="e">
        <f>AND(Ischemia_singlenet_25percent_ou!B1815,"AAAAAD9nZ0Q=")</f>
        <v>#VALUE!</v>
      </c>
      <c r="BR22">
        <f>IF(Ischemia_singlenet_25percent_ou!1816:1816,"AAAAAD9nZ0U=",0)</f>
        <v>0</v>
      </c>
      <c r="BS22" t="e">
        <f>AND(Ischemia_singlenet_25percent_ou!A1816,"AAAAAD9nZ0Y=")</f>
        <v>#VALUE!</v>
      </c>
      <c r="BT22" t="e">
        <f>AND(Ischemia_singlenet_25percent_ou!B1816,"AAAAAD9nZ0c=")</f>
        <v>#VALUE!</v>
      </c>
      <c r="BU22">
        <f>IF(Ischemia_singlenet_25percent_ou!1817:1817,"AAAAAD9nZ0g=",0)</f>
        <v>0</v>
      </c>
      <c r="BV22" t="e">
        <f>AND(Ischemia_singlenet_25percent_ou!A1817,"AAAAAD9nZ0k=")</f>
        <v>#VALUE!</v>
      </c>
      <c r="BW22" t="e">
        <f>AND(Ischemia_singlenet_25percent_ou!B1817,"AAAAAD9nZ0o=")</f>
        <v>#VALUE!</v>
      </c>
      <c r="BX22">
        <f>IF(Ischemia_singlenet_25percent_ou!1818:1818,"AAAAAD9nZ0s=",0)</f>
        <v>0</v>
      </c>
      <c r="BY22" t="e">
        <f>AND(Ischemia_singlenet_25percent_ou!A1818,"AAAAAD9nZ0w=")</f>
        <v>#VALUE!</v>
      </c>
      <c r="BZ22" t="e">
        <f>AND(Ischemia_singlenet_25percent_ou!B1818,"AAAAAD9nZ00=")</f>
        <v>#VALUE!</v>
      </c>
      <c r="CA22">
        <f>IF(Ischemia_singlenet_25percent_ou!1819:1819,"AAAAAD9nZ04=",0)</f>
        <v>0</v>
      </c>
      <c r="CB22" t="e">
        <f>AND(Ischemia_singlenet_25percent_ou!A1819,"AAAAAD9nZ08=")</f>
        <v>#VALUE!</v>
      </c>
      <c r="CC22" t="e">
        <f>AND(Ischemia_singlenet_25percent_ou!B1819,"AAAAAD9nZ1A=")</f>
        <v>#VALUE!</v>
      </c>
      <c r="CD22">
        <f>IF(Ischemia_singlenet_25percent_ou!1820:1820,"AAAAAD9nZ1E=",0)</f>
        <v>0</v>
      </c>
      <c r="CE22" t="e">
        <f>AND(Ischemia_singlenet_25percent_ou!A1820,"AAAAAD9nZ1I=")</f>
        <v>#VALUE!</v>
      </c>
      <c r="CF22" t="e">
        <f>AND(Ischemia_singlenet_25percent_ou!B1820,"AAAAAD9nZ1M=")</f>
        <v>#VALUE!</v>
      </c>
      <c r="CG22">
        <f>IF(Ischemia_singlenet_25percent_ou!1821:1821,"AAAAAD9nZ1Q=",0)</f>
        <v>0</v>
      </c>
      <c r="CH22" t="e">
        <f>AND(Ischemia_singlenet_25percent_ou!A1821,"AAAAAD9nZ1U=")</f>
        <v>#VALUE!</v>
      </c>
      <c r="CI22" t="e">
        <f>AND(Ischemia_singlenet_25percent_ou!B1821,"AAAAAD9nZ1Y=")</f>
        <v>#VALUE!</v>
      </c>
      <c r="CJ22">
        <f>IF(Ischemia_singlenet_25percent_ou!1822:1822,"AAAAAD9nZ1c=",0)</f>
        <v>0</v>
      </c>
      <c r="CK22" t="e">
        <f>AND(Ischemia_singlenet_25percent_ou!A1822,"AAAAAD9nZ1g=")</f>
        <v>#VALUE!</v>
      </c>
      <c r="CL22" t="e">
        <f>AND(Ischemia_singlenet_25percent_ou!B1822,"AAAAAD9nZ1k=")</f>
        <v>#VALUE!</v>
      </c>
      <c r="CM22">
        <f>IF(Ischemia_singlenet_25percent_ou!1823:1823,"AAAAAD9nZ1o=",0)</f>
        <v>0</v>
      </c>
      <c r="CN22" t="e">
        <f>AND(Ischemia_singlenet_25percent_ou!A1823,"AAAAAD9nZ1s=")</f>
        <v>#VALUE!</v>
      </c>
      <c r="CO22" t="e">
        <f>AND(Ischemia_singlenet_25percent_ou!B1823,"AAAAAD9nZ1w=")</f>
        <v>#VALUE!</v>
      </c>
      <c r="CP22">
        <f>IF(Ischemia_singlenet_25percent_ou!1824:1824,"AAAAAD9nZ10=",0)</f>
        <v>0</v>
      </c>
      <c r="CQ22" t="e">
        <f>AND(Ischemia_singlenet_25percent_ou!A1824,"AAAAAD9nZ14=")</f>
        <v>#VALUE!</v>
      </c>
      <c r="CR22" t="e">
        <f>AND(Ischemia_singlenet_25percent_ou!B1824,"AAAAAD9nZ18=")</f>
        <v>#VALUE!</v>
      </c>
      <c r="CS22">
        <f>IF(Ischemia_singlenet_25percent_ou!1825:1825,"AAAAAD9nZ2A=",0)</f>
        <v>0</v>
      </c>
      <c r="CT22" t="e">
        <f>AND(Ischemia_singlenet_25percent_ou!A1825,"AAAAAD9nZ2E=")</f>
        <v>#VALUE!</v>
      </c>
      <c r="CU22" t="e">
        <f>AND(Ischemia_singlenet_25percent_ou!B1825,"AAAAAD9nZ2I=")</f>
        <v>#VALUE!</v>
      </c>
      <c r="CV22">
        <f>IF(Ischemia_singlenet_25percent_ou!1826:1826,"AAAAAD9nZ2M=",0)</f>
        <v>0</v>
      </c>
      <c r="CW22" t="e">
        <f>AND(Ischemia_singlenet_25percent_ou!A1826,"AAAAAD9nZ2Q=")</f>
        <v>#VALUE!</v>
      </c>
      <c r="CX22" t="e">
        <f>AND(Ischemia_singlenet_25percent_ou!B1826,"AAAAAD9nZ2U=")</f>
        <v>#VALUE!</v>
      </c>
      <c r="CY22">
        <f>IF(Ischemia_singlenet_25percent_ou!1827:1827,"AAAAAD9nZ2Y=",0)</f>
        <v>0</v>
      </c>
      <c r="CZ22" t="e">
        <f>AND(Ischemia_singlenet_25percent_ou!A1827,"AAAAAD9nZ2c=")</f>
        <v>#VALUE!</v>
      </c>
      <c r="DA22" t="e">
        <f>AND(Ischemia_singlenet_25percent_ou!B1827,"AAAAAD9nZ2g=")</f>
        <v>#VALUE!</v>
      </c>
      <c r="DB22">
        <f>IF(Ischemia_singlenet_25percent_ou!1828:1828,"AAAAAD9nZ2k=",0)</f>
        <v>0</v>
      </c>
      <c r="DC22" t="e">
        <f>AND(Ischemia_singlenet_25percent_ou!A1828,"AAAAAD9nZ2o=")</f>
        <v>#VALUE!</v>
      </c>
      <c r="DD22" t="e">
        <f>AND(Ischemia_singlenet_25percent_ou!B1828,"AAAAAD9nZ2s=")</f>
        <v>#VALUE!</v>
      </c>
      <c r="DE22">
        <f>IF(Ischemia_singlenet_25percent_ou!1829:1829,"AAAAAD9nZ2w=",0)</f>
        <v>0</v>
      </c>
      <c r="DF22" t="e">
        <f>AND(Ischemia_singlenet_25percent_ou!A1829,"AAAAAD9nZ20=")</f>
        <v>#VALUE!</v>
      </c>
      <c r="DG22" t="e">
        <f>AND(Ischemia_singlenet_25percent_ou!B1829,"AAAAAD9nZ24=")</f>
        <v>#VALUE!</v>
      </c>
      <c r="DH22">
        <f>IF(Ischemia_singlenet_25percent_ou!1830:1830,"AAAAAD9nZ28=",0)</f>
        <v>0</v>
      </c>
      <c r="DI22" t="e">
        <f>AND(Ischemia_singlenet_25percent_ou!A1830,"AAAAAD9nZ3A=")</f>
        <v>#VALUE!</v>
      </c>
      <c r="DJ22" t="e">
        <f>AND(Ischemia_singlenet_25percent_ou!B1830,"AAAAAD9nZ3E=")</f>
        <v>#VALUE!</v>
      </c>
      <c r="DK22">
        <f>IF(Ischemia_singlenet_25percent_ou!1831:1831,"AAAAAD9nZ3I=",0)</f>
        <v>0</v>
      </c>
      <c r="DL22" t="e">
        <f>AND(Ischemia_singlenet_25percent_ou!A1831,"AAAAAD9nZ3M=")</f>
        <v>#VALUE!</v>
      </c>
      <c r="DM22" t="e">
        <f>AND(Ischemia_singlenet_25percent_ou!B1831,"AAAAAD9nZ3Q=")</f>
        <v>#VALUE!</v>
      </c>
      <c r="DN22">
        <f>IF(Ischemia_singlenet_25percent_ou!1832:1832,"AAAAAD9nZ3U=",0)</f>
        <v>0</v>
      </c>
      <c r="DO22" t="e">
        <f>AND(Ischemia_singlenet_25percent_ou!A1832,"AAAAAD9nZ3Y=")</f>
        <v>#VALUE!</v>
      </c>
      <c r="DP22" t="e">
        <f>AND(Ischemia_singlenet_25percent_ou!B1832,"AAAAAD9nZ3c=")</f>
        <v>#VALUE!</v>
      </c>
      <c r="DQ22">
        <f>IF(Ischemia_singlenet_25percent_ou!1833:1833,"AAAAAD9nZ3g=",0)</f>
        <v>0</v>
      </c>
      <c r="DR22" t="e">
        <f>AND(Ischemia_singlenet_25percent_ou!A1833,"AAAAAD9nZ3k=")</f>
        <v>#VALUE!</v>
      </c>
      <c r="DS22" t="e">
        <f>AND(Ischemia_singlenet_25percent_ou!B1833,"AAAAAD9nZ3o=")</f>
        <v>#VALUE!</v>
      </c>
      <c r="DT22">
        <f>IF(Ischemia_singlenet_25percent_ou!1834:1834,"AAAAAD9nZ3s=",0)</f>
        <v>0</v>
      </c>
      <c r="DU22" t="e">
        <f>AND(Ischemia_singlenet_25percent_ou!A1834,"AAAAAD9nZ3w=")</f>
        <v>#VALUE!</v>
      </c>
      <c r="DV22" t="e">
        <f>AND(Ischemia_singlenet_25percent_ou!B1834,"AAAAAD9nZ30=")</f>
        <v>#VALUE!</v>
      </c>
      <c r="DW22">
        <f>IF(Ischemia_singlenet_25percent_ou!1835:1835,"AAAAAD9nZ34=",0)</f>
        <v>0</v>
      </c>
      <c r="DX22" t="e">
        <f>AND(Ischemia_singlenet_25percent_ou!A1835,"AAAAAD9nZ38=")</f>
        <v>#VALUE!</v>
      </c>
      <c r="DY22" t="e">
        <f>AND(Ischemia_singlenet_25percent_ou!B1835,"AAAAAD9nZ4A=")</f>
        <v>#VALUE!</v>
      </c>
      <c r="DZ22">
        <f>IF(Ischemia_singlenet_25percent_ou!1836:1836,"AAAAAD9nZ4E=",0)</f>
        <v>0</v>
      </c>
      <c r="EA22" t="e">
        <f>AND(Ischemia_singlenet_25percent_ou!A1836,"AAAAAD9nZ4I=")</f>
        <v>#VALUE!</v>
      </c>
      <c r="EB22" t="e">
        <f>AND(Ischemia_singlenet_25percent_ou!B1836,"AAAAAD9nZ4M=")</f>
        <v>#VALUE!</v>
      </c>
      <c r="EC22">
        <f>IF(Ischemia_singlenet_25percent_ou!1837:1837,"AAAAAD9nZ4Q=",0)</f>
        <v>0</v>
      </c>
      <c r="ED22" t="e">
        <f>AND(Ischemia_singlenet_25percent_ou!A1837,"AAAAAD9nZ4U=")</f>
        <v>#VALUE!</v>
      </c>
      <c r="EE22" t="e">
        <f>AND(Ischemia_singlenet_25percent_ou!B1837,"AAAAAD9nZ4Y=")</f>
        <v>#VALUE!</v>
      </c>
      <c r="EF22">
        <f>IF(Ischemia_singlenet_25percent_ou!1838:1838,"AAAAAD9nZ4c=",0)</f>
        <v>0</v>
      </c>
      <c r="EG22" t="e">
        <f>AND(Ischemia_singlenet_25percent_ou!A1838,"AAAAAD9nZ4g=")</f>
        <v>#VALUE!</v>
      </c>
      <c r="EH22" t="e">
        <f>AND(Ischemia_singlenet_25percent_ou!B1838,"AAAAAD9nZ4k=")</f>
        <v>#VALUE!</v>
      </c>
      <c r="EI22">
        <f>IF(Ischemia_singlenet_25percent_ou!1839:1839,"AAAAAD9nZ4o=",0)</f>
        <v>0</v>
      </c>
      <c r="EJ22" t="e">
        <f>AND(Ischemia_singlenet_25percent_ou!A1839,"AAAAAD9nZ4s=")</f>
        <v>#VALUE!</v>
      </c>
      <c r="EK22" t="e">
        <f>AND(Ischemia_singlenet_25percent_ou!B1839,"AAAAAD9nZ4w=")</f>
        <v>#VALUE!</v>
      </c>
      <c r="EL22">
        <f>IF(Ischemia_singlenet_25percent_ou!1840:1840,"AAAAAD9nZ40=",0)</f>
        <v>0</v>
      </c>
      <c r="EM22" t="e">
        <f>AND(Ischemia_singlenet_25percent_ou!A1840,"AAAAAD9nZ44=")</f>
        <v>#VALUE!</v>
      </c>
      <c r="EN22" t="e">
        <f>AND(Ischemia_singlenet_25percent_ou!B1840,"AAAAAD9nZ48=")</f>
        <v>#VALUE!</v>
      </c>
      <c r="EO22">
        <f>IF(Ischemia_singlenet_25percent_ou!1841:1841,"AAAAAD9nZ5A=",0)</f>
        <v>0</v>
      </c>
      <c r="EP22" t="e">
        <f>AND(Ischemia_singlenet_25percent_ou!A1841,"AAAAAD9nZ5E=")</f>
        <v>#VALUE!</v>
      </c>
      <c r="EQ22" t="e">
        <f>AND(Ischemia_singlenet_25percent_ou!B1841,"AAAAAD9nZ5I=")</f>
        <v>#VALUE!</v>
      </c>
      <c r="ER22">
        <f>IF(Ischemia_singlenet_25percent_ou!1842:1842,"AAAAAD9nZ5M=",0)</f>
        <v>0</v>
      </c>
      <c r="ES22" t="e">
        <f>AND(Ischemia_singlenet_25percent_ou!A1842,"AAAAAD9nZ5Q=")</f>
        <v>#VALUE!</v>
      </c>
      <c r="ET22" t="e">
        <f>AND(Ischemia_singlenet_25percent_ou!B1842,"AAAAAD9nZ5U=")</f>
        <v>#VALUE!</v>
      </c>
      <c r="EU22">
        <f>IF(Ischemia_singlenet_25percent_ou!1843:1843,"AAAAAD9nZ5Y=",0)</f>
        <v>0</v>
      </c>
      <c r="EV22" t="e">
        <f>AND(Ischemia_singlenet_25percent_ou!A1843,"AAAAAD9nZ5c=")</f>
        <v>#VALUE!</v>
      </c>
      <c r="EW22" t="e">
        <f>AND(Ischemia_singlenet_25percent_ou!B1843,"AAAAAD9nZ5g=")</f>
        <v>#VALUE!</v>
      </c>
      <c r="EX22">
        <f>IF(Ischemia_singlenet_25percent_ou!1844:1844,"AAAAAD9nZ5k=",0)</f>
        <v>0</v>
      </c>
      <c r="EY22" t="e">
        <f>AND(Ischemia_singlenet_25percent_ou!A1844,"AAAAAD9nZ5o=")</f>
        <v>#VALUE!</v>
      </c>
      <c r="EZ22" t="e">
        <f>AND(Ischemia_singlenet_25percent_ou!B1844,"AAAAAD9nZ5s=")</f>
        <v>#VALUE!</v>
      </c>
      <c r="FA22">
        <f>IF(Ischemia_singlenet_25percent_ou!1845:1845,"AAAAAD9nZ5w=",0)</f>
        <v>0</v>
      </c>
      <c r="FB22" t="e">
        <f>AND(Ischemia_singlenet_25percent_ou!A1845,"AAAAAD9nZ50=")</f>
        <v>#VALUE!</v>
      </c>
      <c r="FC22" t="e">
        <f>AND(Ischemia_singlenet_25percent_ou!B1845,"AAAAAD9nZ54=")</f>
        <v>#VALUE!</v>
      </c>
      <c r="FD22">
        <f>IF(Ischemia_singlenet_25percent_ou!1846:1846,"AAAAAD9nZ58=",0)</f>
        <v>0</v>
      </c>
      <c r="FE22" t="e">
        <f>AND(Ischemia_singlenet_25percent_ou!A1846,"AAAAAD9nZ6A=")</f>
        <v>#VALUE!</v>
      </c>
      <c r="FF22" t="e">
        <f>AND(Ischemia_singlenet_25percent_ou!B1846,"AAAAAD9nZ6E=")</f>
        <v>#VALUE!</v>
      </c>
      <c r="FG22">
        <f>IF(Ischemia_singlenet_25percent_ou!1847:1847,"AAAAAD9nZ6I=",0)</f>
        <v>0</v>
      </c>
      <c r="FH22" t="e">
        <f>AND(Ischemia_singlenet_25percent_ou!A1847,"AAAAAD9nZ6M=")</f>
        <v>#VALUE!</v>
      </c>
      <c r="FI22" t="e">
        <f>AND(Ischemia_singlenet_25percent_ou!B1847,"AAAAAD9nZ6Q=")</f>
        <v>#VALUE!</v>
      </c>
      <c r="FJ22">
        <f>IF(Ischemia_singlenet_25percent_ou!1848:1848,"AAAAAD9nZ6U=",0)</f>
        <v>0</v>
      </c>
      <c r="FK22" t="e">
        <f>AND(Ischemia_singlenet_25percent_ou!A1848,"AAAAAD9nZ6Y=")</f>
        <v>#VALUE!</v>
      </c>
      <c r="FL22" t="e">
        <f>AND(Ischemia_singlenet_25percent_ou!B1848,"AAAAAD9nZ6c=")</f>
        <v>#VALUE!</v>
      </c>
      <c r="FM22">
        <f>IF(Ischemia_singlenet_25percent_ou!1849:1849,"AAAAAD9nZ6g=",0)</f>
        <v>0</v>
      </c>
      <c r="FN22" t="e">
        <f>AND(Ischemia_singlenet_25percent_ou!A1849,"AAAAAD9nZ6k=")</f>
        <v>#VALUE!</v>
      </c>
      <c r="FO22" t="e">
        <f>AND(Ischemia_singlenet_25percent_ou!B1849,"AAAAAD9nZ6o=")</f>
        <v>#VALUE!</v>
      </c>
      <c r="FP22">
        <f>IF(Ischemia_singlenet_25percent_ou!1850:1850,"AAAAAD9nZ6s=",0)</f>
        <v>0</v>
      </c>
      <c r="FQ22" t="e">
        <f>AND(Ischemia_singlenet_25percent_ou!A1850,"AAAAAD9nZ6w=")</f>
        <v>#VALUE!</v>
      </c>
      <c r="FR22" t="e">
        <f>AND(Ischemia_singlenet_25percent_ou!B1850,"AAAAAD9nZ60=")</f>
        <v>#VALUE!</v>
      </c>
      <c r="FS22">
        <f>IF(Ischemia_singlenet_25percent_ou!1851:1851,"AAAAAD9nZ64=",0)</f>
        <v>0</v>
      </c>
      <c r="FT22" t="e">
        <f>AND(Ischemia_singlenet_25percent_ou!A1851,"AAAAAD9nZ68=")</f>
        <v>#VALUE!</v>
      </c>
      <c r="FU22" t="e">
        <f>AND(Ischemia_singlenet_25percent_ou!B1851,"AAAAAD9nZ7A=")</f>
        <v>#VALUE!</v>
      </c>
      <c r="FV22">
        <f>IF(Ischemia_singlenet_25percent_ou!1852:1852,"AAAAAD9nZ7E=",0)</f>
        <v>0</v>
      </c>
      <c r="FW22" t="e">
        <f>AND(Ischemia_singlenet_25percent_ou!A1852,"AAAAAD9nZ7I=")</f>
        <v>#VALUE!</v>
      </c>
      <c r="FX22" t="e">
        <f>AND(Ischemia_singlenet_25percent_ou!B1852,"AAAAAD9nZ7M=")</f>
        <v>#VALUE!</v>
      </c>
      <c r="FY22">
        <f>IF(Ischemia_singlenet_25percent_ou!1853:1853,"AAAAAD9nZ7Q=",0)</f>
        <v>0</v>
      </c>
      <c r="FZ22" t="e">
        <f>AND(Ischemia_singlenet_25percent_ou!A1853,"AAAAAD9nZ7U=")</f>
        <v>#VALUE!</v>
      </c>
      <c r="GA22" t="e">
        <f>AND(Ischemia_singlenet_25percent_ou!B1853,"AAAAAD9nZ7Y=")</f>
        <v>#VALUE!</v>
      </c>
      <c r="GB22">
        <f>IF(Ischemia_singlenet_25percent_ou!1854:1854,"AAAAAD9nZ7c=",0)</f>
        <v>0</v>
      </c>
      <c r="GC22" t="e">
        <f>AND(Ischemia_singlenet_25percent_ou!A1854,"AAAAAD9nZ7g=")</f>
        <v>#VALUE!</v>
      </c>
      <c r="GD22" t="e">
        <f>AND(Ischemia_singlenet_25percent_ou!B1854,"AAAAAD9nZ7k=")</f>
        <v>#VALUE!</v>
      </c>
      <c r="GE22">
        <f>IF(Ischemia_singlenet_25percent_ou!1855:1855,"AAAAAD9nZ7o=",0)</f>
        <v>0</v>
      </c>
      <c r="GF22" t="e">
        <f>AND(Ischemia_singlenet_25percent_ou!A1855,"AAAAAD9nZ7s=")</f>
        <v>#VALUE!</v>
      </c>
      <c r="GG22" t="e">
        <f>AND(Ischemia_singlenet_25percent_ou!B1855,"AAAAAD9nZ7w=")</f>
        <v>#VALUE!</v>
      </c>
      <c r="GH22">
        <f>IF(Ischemia_singlenet_25percent_ou!1856:1856,"AAAAAD9nZ70=",0)</f>
        <v>0</v>
      </c>
      <c r="GI22" t="e">
        <f>AND(Ischemia_singlenet_25percent_ou!A1856,"AAAAAD9nZ74=")</f>
        <v>#VALUE!</v>
      </c>
      <c r="GJ22" t="e">
        <f>AND(Ischemia_singlenet_25percent_ou!B1856,"AAAAAD9nZ78=")</f>
        <v>#VALUE!</v>
      </c>
      <c r="GK22">
        <f>IF(Ischemia_singlenet_25percent_ou!1857:1857,"AAAAAD9nZ8A=",0)</f>
        <v>0</v>
      </c>
      <c r="GL22" t="e">
        <f>AND(Ischemia_singlenet_25percent_ou!A1857,"AAAAAD9nZ8E=")</f>
        <v>#VALUE!</v>
      </c>
      <c r="GM22" t="e">
        <f>AND(Ischemia_singlenet_25percent_ou!B1857,"AAAAAD9nZ8I=")</f>
        <v>#VALUE!</v>
      </c>
      <c r="GN22">
        <f>IF(Ischemia_singlenet_25percent_ou!1858:1858,"AAAAAD9nZ8M=",0)</f>
        <v>0</v>
      </c>
      <c r="GO22" t="e">
        <f>AND(Ischemia_singlenet_25percent_ou!A1858,"AAAAAD9nZ8Q=")</f>
        <v>#VALUE!</v>
      </c>
      <c r="GP22" t="e">
        <f>AND(Ischemia_singlenet_25percent_ou!B1858,"AAAAAD9nZ8U=")</f>
        <v>#VALUE!</v>
      </c>
      <c r="GQ22">
        <f>IF(Ischemia_singlenet_25percent_ou!1859:1859,"AAAAAD9nZ8Y=",0)</f>
        <v>0</v>
      </c>
      <c r="GR22" t="e">
        <f>AND(Ischemia_singlenet_25percent_ou!A1859,"AAAAAD9nZ8c=")</f>
        <v>#VALUE!</v>
      </c>
      <c r="GS22" t="e">
        <f>AND(Ischemia_singlenet_25percent_ou!B1859,"AAAAAD9nZ8g=")</f>
        <v>#VALUE!</v>
      </c>
      <c r="GT22">
        <f>IF(Ischemia_singlenet_25percent_ou!1860:1860,"AAAAAD9nZ8k=",0)</f>
        <v>0</v>
      </c>
      <c r="GU22" t="e">
        <f>AND(Ischemia_singlenet_25percent_ou!A1860,"AAAAAD9nZ8o=")</f>
        <v>#VALUE!</v>
      </c>
      <c r="GV22" t="e">
        <f>AND(Ischemia_singlenet_25percent_ou!B1860,"AAAAAD9nZ8s=")</f>
        <v>#VALUE!</v>
      </c>
      <c r="GW22">
        <f>IF(Ischemia_singlenet_25percent_ou!1861:1861,"AAAAAD9nZ8w=",0)</f>
        <v>0</v>
      </c>
      <c r="GX22" t="e">
        <f>AND(Ischemia_singlenet_25percent_ou!A1861,"AAAAAD9nZ80=")</f>
        <v>#VALUE!</v>
      </c>
      <c r="GY22" t="e">
        <f>AND(Ischemia_singlenet_25percent_ou!B1861,"AAAAAD9nZ84=")</f>
        <v>#VALUE!</v>
      </c>
      <c r="GZ22">
        <f>IF(Ischemia_singlenet_25percent_ou!1862:1862,"AAAAAD9nZ88=",0)</f>
        <v>0</v>
      </c>
      <c r="HA22" t="e">
        <f>AND(Ischemia_singlenet_25percent_ou!A1862,"AAAAAD9nZ9A=")</f>
        <v>#VALUE!</v>
      </c>
      <c r="HB22" t="e">
        <f>AND(Ischemia_singlenet_25percent_ou!B1862,"AAAAAD9nZ9E=")</f>
        <v>#VALUE!</v>
      </c>
      <c r="HC22">
        <f>IF(Ischemia_singlenet_25percent_ou!1863:1863,"AAAAAD9nZ9I=",0)</f>
        <v>0</v>
      </c>
      <c r="HD22" t="e">
        <f>AND(Ischemia_singlenet_25percent_ou!A1863,"AAAAAD9nZ9M=")</f>
        <v>#VALUE!</v>
      </c>
      <c r="HE22" t="e">
        <f>AND(Ischemia_singlenet_25percent_ou!B1863,"AAAAAD9nZ9Q=")</f>
        <v>#VALUE!</v>
      </c>
      <c r="HF22">
        <f>IF(Ischemia_singlenet_25percent_ou!1864:1864,"AAAAAD9nZ9U=",0)</f>
        <v>0</v>
      </c>
      <c r="HG22" t="e">
        <f>AND(Ischemia_singlenet_25percent_ou!A1864,"AAAAAD9nZ9Y=")</f>
        <v>#VALUE!</v>
      </c>
      <c r="HH22" t="e">
        <f>AND(Ischemia_singlenet_25percent_ou!B1864,"AAAAAD9nZ9c=")</f>
        <v>#VALUE!</v>
      </c>
      <c r="HI22">
        <f>IF(Ischemia_singlenet_25percent_ou!1865:1865,"AAAAAD9nZ9g=",0)</f>
        <v>0</v>
      </c>
      <c r="HJ22" t="e">
        <f>AND(Ischemia_singlenet_25percent_ou!A1865,"AAAAAD9nZ9k=")</f>
        <v>#VALUE!</v>
      </c>
      <c r="HK22" t="e">
        <f>AND(Ischemia_singlenet_25percent_ou!B1865,"AAAAAD9nZ9o=")</f>
        <v>#VALUE!</v>
      </c>
      <c r="HL22">
        <f>IF(Ischemia_singlenet_25percent_ou!1866:1866,"AAAAAD9nZ9s=",0)</f>
        <v>0</v>
      </c>
      <c r="HM22" t="e">
        <f>AND(Ischemia_singlenet_25percent_ou!A1866,"AAAAAD9nZ9w=")</f>
        <v>#VALUE!</v>
      </c>
      <c r="HN22" t="e">
        <f>AND(Ischemia_singlenet_25percent_ou!B1866,"AAAAAD9nZ90=")</f>
        <v>#VALUE!</v>
      </c>
      <c r="HO22">
        <f>IF(Ischemia_singlenet_25percent_ou!1867:1867,"AAAAAD9nZ94=",0)</f>
        <v>0</v>
      </c>
      <c r="HP22" t="e">
        <f>AND(Ischemia_singlenet_25percent_ou!A1867,"AAAAAD9nZ98=")</f>
        <v>#VALUE!</v>
      </c>
      <c r="HQ22" t="e">
        <f>AND(Ischemia_singlenet_25percent_ou!B1867,"AAAAAD9nZ+A=")</f>
        <v>#VALUE!</v>
      </c>
      <c r="HR22">
        <f>IF(Ischemia_singlenet_25percent_ou!1868:1868,"AAAAAD9nZ+E=",0)</f>
        <v>0</v>
      </c>
      <c r="HS22" t="e">
        <f>AND(Ischemia_singlenet_25percent_ou!A1868,"AAAAAD9nZ+I=")</f>
        <v>#VALUE!</v>
      </c>
      <c r="HT22" t="e">
        <f>AND(Ischemia_singlenet_25percent_ou!B1868,"AAAAAD9nZ+M=")</f>
        <v>#VALUE!</v>
      </c>
      <c r="HU22">
        <f>IF(Ischemia_singlenet_25percent_ou!1869:1869,"AAAAAD9nZ+Q=",0)</f>
        <v>0</v>
      </c>
      <c r="HV22" t="e">
        <f>AND(Ischemia_singlenet_25percent_ou!A1869,"AAAAAD9nZ+U=")</f>
        <v>#VALUE!</v>
      </c>
      <c r="HW22" t="e">
        <f>AND(Ischemia_singlenet_25percent_ou!B1869,"AAAAAD9nZ+Y=")</f>
        <v>#VALUE!</v>
      </c>
      <c r="HX22">
        <f>IF(Ischemia_singlenet_25percent_ou!1870:1870,"AAAAAD9nZ+c=",0)</f>
        <v>0</v>
      </c>
      <c r="HY22" t="e">
        <f>AND(Ischemia_singlenet_25percent_ou!A1870,"AAAAAD9nZ+g=")</f>
        <v>#VALUE!</v>
      </c>
      <c r="HZ22" t="e">
        <f>AND(Ischemia_singlenet_25percent_ou!B1870,"AAAAAD9nZ+k=")</f>
        <v>#VALUE!</v>
      </c>
      <c r="IA22">
        <f>IF(Ischemia_singlenet_25percent_ou!1871:1871,"AAAAAD9nZ+o=",0)</f>
        <v>0</v>
      </c>
      <c r="IB22" t="e">
        <f>AND(Ischemia_singlenet_25percent_ou!A1871,"AAAAAD9nZ+s=")</f>
        <v>#VALUE!</v>
      </c>
      <c r="IC22" t="e">
        <f>AND(Ischemia_singlenet_25percent_ou!B1871,"AAAAAD9nZ+w=")</f>
        <v>#VALUE!</v>
      </c>
      <c r="ID22">
        <f>IF(Ischemia_singlenet_25percent_ou!1872:1872,"AAAAAD9nZ+0=",0)</f>
        <v>0</v>
      </c>
      <c r="IE22" t="e">
        <f>AND(Ischemia_singlenet_25percent_ou!A1872,"AAAAAD9nZ+4=")</f>
        <v>#VALUE!</v>
      </c>
      <c r="IF22" t="e">
        <f>AND(Ischemia_singlenet_25percent_ou!B1872,"AAAAAD9nZ+8=")</f>
        <v>#VALUE!</v>
      </c>
      <c r="IG22">
        <f>IF(Ischemia_singlenet_25percent_ou!1873:1873,"AAAAAD9nZ/A=",0)</f>
        <v>0</v>
      </c>
      <c r="IH22" t="e">
        <f>AND(Ischemia_singlenet_25percent_ou!A1873,"AAAAAD9nZ/E=")</f>
        <v>#VALUE!</v>
      </c>
      <c r="II22" t="e">
        <f>AND(Ischemia_singlenet_25percent_ou!B1873,"AAAAAD9nZ/I=")</f>
        <v>#VALUE!</v>
      </c>
      <c r="IJ22">
        <f>IF(Ischemia_singlenet_25percent_ou!1874:1874,"AAAAAD9nZ/M=",0)</f>
        <v>0</v>
      </c>
      <c r="IK22" t="e">
        <f>AND(Ischemia_singlenet_25percent_ou!A1874,"AAAAAD9nZ/Q=")</f>
        <v>#VALUE!</v>
      </c>
      <c r="IL22" t="e">
        <f>AND(Ischemia_singlenet_25percent_ou!B1874,"AAAAAD9nZ/U=")</f>
        <v>#VALUE!</v>
      </c>
      <c r="IM22">
        <f>IF(Ischemia_singlenet_25percent_ou!1875:1875,"AAAAAD9nZ/Y=",0)</f>
        <v>0</v>
      </c>
      <c r="IN22" t="e">
        <f>AND(Ischemia_singlenet_25percent_ou!A1875,"AAAAAD9nZ/c=")</f>
        <v>#VALUE!</v>
      </c>
      <c r="IO22" t="e">
        <f>AND(Ischemia_singlenet_25percent_ou!B1875,"AAAAAD9nZ/g=")</f>
        <v>#VALUE!</v>
      </c>
      <c r="IP22">
        <f>IF(Ischemia_singlenet_25percent_ou!1876:1876,"AAAAAD9nZ/k=",0)</f>
        <v>0</v>
      </c>
      <c r="IQ22" t="e">
        <f>AND(Ischemia_singlenet_25percent_ou!A1876,"AAAAAD9nZ/o=")</f>
        <v>#VALUE!</v>
      </c>
      <c r="IR22" t="e">
        <f>AND(Ischemia_singlenet_25percent_ou!B1876,"AAAAAD9nZ/s=")</f>
        <v>#VALUE!</v>
      </c>
      <c r="IS22">
        <f>IF(Ischemia_singlenet_25percent_ou!1877:1877,"AAAAAD9nZ/w=",0)</f>
        <v>0</v>
      </c>
      <c r="IT22" t="e">
        <f>AND(Ischemia_singlenet_25percent_ou!A1877,"AAAAAD9nZ/0=")</f>
        <v>#VALUE!</v>
      </c>
      <c r="IU22" t="e">
        <f>AND(Ischemia_singlenet_25percent_ou!B1877,"AAAAAD9nZ/4=")</f>
        <v>#VALUE!</v>
      </c>
      <c r="IV22">
        <f>IF(Ischemia_singlenet_25percent_ou!1878:1878,"AAAAAD9nZ/8=",0)</f>
        <v>0</v>
      </c>
    </row>
    <row r="23" spans="1:256">
      <c r="A23" t="e">
        <f>AND(Ischemia_singlenet_25percent_ou!A1878,"AAAAAFXNmwA=")</f>
        <v>#VALUE!</v>
      </c>
      <c r="B23" t="e">
        <f>AND(Ischemia_singlenet_25percent_ou!B1878,"AAAAAFXNmwE=")</f>
        <v>#VALUE!</v>
      </c>
      <c r="C23">
        <f>IF(Ischemia_singlenet_25percent_ou!1879:1879,"AAAAAFXNmwI=",0)</f>
        <v>0</v>
      </c>
      <c r="D23" t="e">
        <f>AND(Ischemia_singlenet_25percent_ou!A1879,"AAAAAFXNmwM=")</f>
        <v>#VALUE!</v>
      </c>
      <c r="E23" t="e">
        <f>AND(Ischemia_singlenet_25percent_ou!B1879,"AAAAAFXNmwQ=")</f>
        <v>#VALUE!</v>
      </c>
      <c r="F23">
        <f>IF(Ischemia_singlenet_25percent_ou!1880:1880,"AAAAAFXNmwU=",0)</f>
        <v>0</v>
      </c>
      <c r="G23" t="e">
        <f>AND(Ischemia_singlenet_25percent_ou!A1880,"AAAAAFXNmwY=")</f>
        <v>#VALUE!</v>
      </c>
      <c r="H23" t="e">
        <f>AND(Ischemia_singlenet_25percent_ou!B1880,"AAAAAFXNmwc=")</f>
        <v>#VALUE!</v>
      </c>
      <c r="I23">
        <f>IF(Ischemia_singlenet_25percent_ou!1881:1881,"AAAAAFXNmwg=",0)</f>
        <v>0</v>
      </c>
      <c r="J23" t="e">
        <f>AND(Ischemia_singlenet_25percent_ou!A1881,"AAAAAFXNmwk=")</f>
        <v>#VALUE!</v>
      </c>
      <c r="K23" t="e">
        <f>AND(Ischemia_singlenet_25percent_ou!B1881,"AAAAAFXNmwo=")</f>
        <v>#VALUE!</v>
      </c>
      <c r="L23">
        <f>IF(Ischemia_singlenet_25percent_ou!1882:1882,"AAAAAFXNmws=",0)</f>
        <v>0</v>
      </c>
      <c r="M23" t="e">
        <f>AND(Ischemia_singlenet_25percent_ou!A1882,"AAAAAFXNmww=")</f>
        <v>#VALUE!</v>
      </c>
      <c r="N23" t="e">
        <f>AND(Ischemia_singlenet_25percent_ou!B1882,"AAAAAFXNmw0=")</f>
        <v>#VALUE!</v>
      </c>
      <c r="O23">
        <f>IF(Ischemia_singlenet_25percent_ou!1883:1883,"AAAAAFXNmw4=",0)</f>
        <v>0</v>
      </c>
      <c r="P23" t="e">
        <f>AND(Ischemia_singlenet_25percent_ou!A1883,"AAAAAFXNmw8=")</f>
        <v>#VALUE!</v>
      </c>
      <c r="Q23" t="e">
        <f>AND(Ischemia_singlenet_25percent_ou!B1883,"AAAAAFXNmxA=")</f>
        <v>#VALUE!</v>
      </c>
      <c r="R23">
        <f>IF(Ischemia_singlenet_25percent_ou!1884:1884,"AAAAAFXNmxE=",0)</f>
        <v>0</v>
      </c>
      <c r="S23" t="e">
        <f>AND(Ischemia_singlenet_25percent_ou!A1884,"AAAAAFXNmxI=")</f>
        <v>#VALUE!</v>
      </c>
      <c r="T23" t="e">
        <f>AND(Ischemia_singlenet_25percent_ou!B1884,"AAAAAFXNmxM=")</f>
        <v>#VALUE!</v>
      </c>
      <c r="U23">
        <f>IF(Ischemia_singlenet_25percent_ou!1885:1885,"AAAAAFXNmxQ=",0)</f>
        <v>0</v>
      </c>
      <c r="V23" t="e">
        <f>AND(Ischemia_singlenet_25percent_ou!A1885,"AAAAAFXNmxU=")</f>
        <v>#VALUE!</v>
      </c>
      <c r="W23" t="e">
        <f>AND(Ischemia_singlenet_25percent_ou!B1885,"AAAAAFXNmxY=")</f>
        <v>#VALUE!</v>
      </c>
      <c r="X23">
        <f>IF(Ischemia_singlenet_25percent_ou!1886:1886,"AAAAAFXNmxc=",0)</f>
        <v>0</v>
      </c>
      <c r="Y23" t="e">
        <f>AND(Ischemia_singlenet_25percent_ou!A1886,"AAAAAFXNmxg=")</f>
        <v>#VALUE!</v>
      </c>
      <c r="Z23" t="e">
        <f>AND(Ischemia_singlenet_25percent_ou!B1886,"AAAAAFXNmxk=")</f>
        <v>#VALUE!</v>
      </c>
      <c r="AA23">
        <f>IF(Ischemia_singlenet_25percent_ou!1887:1887,"AAAAAFXNmxo=",0)</f>
        <v>0</v>
      </c>
      <c r="AB23" t="e">
        <f>AND(Ischemia_singlenet_25percent_ou!A1887,"AAAAAFXNmxs=")</f>
        <v>#VALUE!</v>
      </c>
      <c r="AC23" t="e">
        <f>AND(Ischemia_singlenet_25percent_ou!B1887,"AAAAAFXNmxw=")</f>
        <v>#VALUE!</v>
      </c>
      <c r="AD23">
        <f>IF(Ischemia_singlenet_25percent_ou!1888:1888,"AAAAAFXNmx0=",0)</f>
        <v>0</v>
      </c>
      <c r="AE23" t="e">
        <f>AND(Ischemia_singlenet_25percent_ou!A1888,"AAAAAFXNmx4=")</f>
        <v>#VALUE!</v>
      </c>
      <c r="AF23" t="e">
        <f>AND(Ischemia_singlenet_25percent_ou!B1888,"AAAAAFXNmx8=")</f>
        <v>#VALUE!</v>
      </c>
      <c r="AG23">
        <f>IF(Ischemia_singlenet_25percent_ou!1889:1889,"AAAAAFXNmyA=",0)</f>
        <v>0</v>
      </c>
      <c r="AH23" t="e">
        <f>AND(Ischemia_singlenet_25percent_ou!A1889,"AAAAAFXNmyE=")</f>
        <v>#VALUE!</v>
      </c>
      <c r="AI23" t="e">
        <f>AND(Ischemia_singlenet_25percent_ou!B1889,"AAAAAFXNmyI=")</f>
        <v>#VALUE!</v>
      </c>
      <c r="AJ23">
        <f>IF(Ischemia_singlenet_25percent_ou!1890:1890,"AAAAAFXNmyM=",0)</f>
        <v>0</v>
      </c>
      <c r="AK23" t="e">
        <f>AND(Ischemia_singlenet_25percent_ou!A1890,"AAAAAFXNmyQ=")</f>
        <v>#VALUE!</v>
      </c>
      <c r="AL23" t="e">
        <f>AND(Ischemia_singlenet_25percent_ou!B1890,"AAAAAFXNmyU=")</f>
        <v>#VALUE!</v>
      </c>
      <c r="AM23">
        <f>IF(Ischemia_singlenet_25percent_ou!1891:1891,"AAAAAFXNmyY=",0)</f>
        <v>0</v>
      </c>
      <c r="AN23" t="e">
        <f>AND(Ischemia_singlenet_25percent_ou!A1891,"AAAAAFXNmyc=")</f>
        <v>#VALUE!</v>
      </c>
      <c r="AO23" t="e">
        <f>AND(Ischemia_singlenet_25percent_ou!B1891,"AAAAAFXNmyg=")</f>
        <v>#VALUE!</v>
      </c>
      <c r="AP23">
        <f>IF(Ischemia_singlenet_25percent_ou!1892:1892,"AAAAAFXNmyk=",0)</f>
        <v>0</v>
      </c>
      <c r="AQ23" t="e">
        <f>AND(Ischemia_singlenet_25percent_ou!A1892,"AAAAAFXNmyo=")</f>
        <v>#VALUE!</v>
      </c>
      <c r="AR23" t="e">
        <f>AND(Ischemia_singlenet_25percent_ou!B1892,"AAAAAFXNmys=")</f>
        <v>#VALUE!</v>
      </c>
      <c r="AS23">
        <f>IF(Ischemia_singlenet_25percent_ou!1893:1893,"AAAAAFXNmyw=",0)</f>
        <v>0</v>
      </c>
      <c r="AT23" t="e">
        <f>AND(Ischemia_singlenet_25percent_ou!A1893,"AAAAAFXNmy0=")</f>
        <v>#VALUE!</v>
      </c>
      <c r="AU23" t="e">
        <f>AND(Ischemia_singlenet_25percent_ou!B1893,"AAAAAFXNmy4=")</f>
        <v>#VALUE!</v>
      </c>
      <c r="AV23">
        <f>IF(Ischemia_singlenet_25percent_ou!1894:1894,"AAAAAFXNmy8=",0)</f>
        <v>0</v>
      </c>
      <c r="AW23" t="e">
        <f>AND(Ischemia_singlenet_25percent_ou!A1894,"AAAAAFXNmzA=")</f>
        <v>#VALUE!</v>
      </c>
      <c r="AX23" t="e">
        <f>AND(Ischemia_singlenet_25percent_ou!B1894,"AAAAAFXNmzE=")</f>
        <v>#VALUE!</v>
      </c>
      <c r="AY23">
        <f>IF(Ischemia_singlenet_25percent_ou!1895:1895,"AAAAAFXNmzI=",0)</f>
        <v>0</v>
      </c>
      <c r="AZ23" t="e">
        <f>AND(Ischemia_singlenet_25percent_ou!A1895,"AAAAAFXNmzM=")</f>
        <v>#VALUE!</v>
      </c>
      <c r="BA23" t="e">
        <f>AND(Ischemia_singlenet_25percent_ou!B1895,"AAAAAFXNmzQ=")</f>
        <v>#VALUE!</v>
      </c>
      <c r="BB23">
        <f>IF(Ischemia_singlenet_25percent_ou!1896:1896,"AAAAAFXNmzU=",0)</f>
        <v>0</v>
      </c>
      <c r="BC23" t="e">
        <f>AND(Ischemia_singlenet_25percent_ou!A1896,"AAAAAFXNmzY=")</f>
        <v>#VALUE!</v>
      </c>
      <c r="BD23" t="e">
        <f>AND(Ischemia_singlenet_25percent_ou!B1896,"AAAAAFXNmzc=")</f>
        <v>#VALUE!</v>
      </c>
      <c r="BE23">
        <f>IF(Ischemia_singlenet_25percent_ou!1897:1897,"AAAAAFXNmzg=",0)</f>
        <v>0</v>
      </c>
      <c r="BF23" t="e">
        <f>AND(Ischemia_singlenet_25percent_ou!A1897,"AAAAAFXNmzk=")</f>
        <v>#VALUE!</v>
      </c>
      <c r="BG23" t="e">
        <f>AND(Ischemia_singlenet_25percent_ou!B1897,"AAAAAFXNmzo=")</f>
        <v>#VALUE!</v>
      </c>
      <c r="BH23">
        <f>IF(Ischemia_singlenet_25percent_ou!1898:1898,"AAAAAFXNmzs=",0)</f>
        <v>0</v>
      </c>
      <c r="BI23" t="e">
        <f>AND(Ischemia_singlenet_25percent_ou!A1898,"AAAAAFXNmzw=")</f>
        <v>#VALUE!</v>
      </c>
      <c r="BJ23" t="e">
        <f>AND(Ischemia_singlenet_25percent_ou!B1898,"AAAAAFXNmz0=")</f>
        <v>#VALUE!</v>
      </c>
      <c r="BK23">
        <f>IF(Ischemia_singlenet_25percent_ou!1899:1899,"AAAAAFXNmz4=",0)</f>
        <v>0</v>
      </c>
      <c r="BL23" t="e">
        <f>AND(Ischemia_singlenet_25percent_ou!A1899,"AAAAAFXNmz8=")</f>
        <v>#VALUE!</v>
      </c>
      <c r="BM23" t="e">
        <f>AND(Ischemia_singlenet_25percent_ou!B1899,"AAAAAFXNm0A=")</f>
        <v>#VALUE!</v>
      </c>
      <c r="BN23">
        <f>IF(Ischemia_singlenet_25percent_ou!1900:1900,"AAAAAFXNm0E=",0)</f>
        <v>0</v>
      </c>
      <c r="BO23" t="e">
        <f>AND(Ischemia_singlenet_25percent_ou!A1900,"AAAAAFXNm0I=")</f>
        <v>#VALUE!</v>
      </c>
      <c r="BP23" t="e">
        <f>AND(Ischemia_singlenet_25percent_ou!B1900,"AAAAAFXNm0M=")</f>
        <v>#VALUE!</v>
      </c>
      <c r="BQ23">
        <f>IF(Ischemia_singlenet_25percent_ou!1901:1901,"AAAAAFXNm0Q=",0)</f>
        <v>0</v>
      </c>
      <c r="BR23" t="e">
        <f>AND(Ischemia_singlenet_25percent_ou!A1901,"AAAAAFXNm0U=")</f>
        <v>#VALUE!</v>
      </c>
      <c r="BS23" t="e">
        <f>AND(Ischemia_singlenet_25percent_ou!B1901,"AAAAAFXNm0Y=")</f>
        <v>#VALUE!</v>
      </c>
      <c r="BT23">
        <f>IF(Ischemia_singlenet_25percent_ou!1902:1902,"AAAAAFXNm0c=",0)</f>
        <v>0</v>
      </c>
      <c r="BU23" t="e">
        <f>AND(Ischemia_singlenet_25percent_ou!A1902,"AAAAAFXNm0g=")</f>
        <v>#VALUE!</v>
      </c>
      <c r="BV23" t="e">
        <f>AND(Ischemia_singlenet_25percent_ou!B1902,"AAAAAFXNm0k=")</f>
        <v>#VALUE!</v>
      </c>
      <c r="BW23">
        <f>IF(Ischemia_singlenet_25percent_ou!1903:1903,"AAAAAFXNm0o=",0)</f>
        <v>0</v>
      </c>
      <c r="BX23" t="e">
        <f>AND(Ischemia_singlenet_25percent_ou!A1903,"AAAAAFXNm0s=")</f>
        <v>#VALUE!</v>
      </c>
      <c r="BY23" t="e">
        <f>AND(Ischemia_singlenet_25percent_ou!B1903,"AAAAAFXNm0w=")</f>
        <v>#VALUE!</v>
      </c>
      <c r="BZ23">
        <f>IF(Ischemia_singlenet_25percent_ou!1904:1904,"AAAAAFXNm00=",0)</f>
        <v>0</v>
      </c>
      <c r="CA23" t="e">
        <f>AND(Ischemia_singlenet_25percent_ou!A1904,"AAAAAFXNm04=")</f>
        <v>#VALUE!</v>
      </c>
      <c r="CB23" t="e">
        <f>AND(Ischemia_singlenet_25percent_ou!B1904,"AAAAAFXNm08=")</f>
        <v>#VALUE!</v>
      </c>
      <c r="CC23">
        <f>IF(Ischemia_singlenet_25percent_ou!1905:1905,"AAAAAFXNm1A=",0)</f>
        <v>0</v>
      </c>
      <c r="CD23" t="e">
        <f>AND(Ischemia_singlenet_25percent_ou!A1905,"AAAAAFXNm1E=")</f>
        <v>#VALUE!</v>
      </c>
      <c r="CE23" t="e">
        <f>AND(Ischemia_singlenet_25percent_ou!B1905,"AAAAAFXNm1I=")</f>
        <v>#VALUE!</v>
      </c>
      <c r="CF23">
        <f>IF(Ischemia_singlenet_25percent_ou!1906:1906,"AAAAAFXNm1M=",0)</f>
        <v>0</v>
      </c>
      <c r="CG23" t="e">
        <f>AND(Ischemia_singlenet_25percent_ou!A1906,"AAAAAFXNm1Q=")</f>
        <v>#VALUE!</v>
      </c>
      <c r="CH23" t="e">
        <f>AND(Ischemia_singlenet_25percent_ou!B1906,"AAAAAFXNm1U=")</f>
        <v>#VALUE!</v>
      </c>
      <c r="CI23">
        <f>IF(Ischemia_singlenet_25percent_ou!1907:1907,"AAAAAFXNm1Y=",0)</f>
        <v>0</v>
      </c>
      <c r="CJ23" t="e">
        <f>AND(Ischemia_singlenet_25percent_ou!A1907,"AAAAAFXNm1c=")</f>
        <v>#VALUE!</v>
      </c>
      <c r="CK23" t="e">
        <f>AND(Ischemia_singlenet_25percent_ou!B1907,"AAAAAFXNm1g=")</f>
        <v>#VALUE!</v>
      </c>
      <c r="CL23">
        <f>IF(Ischemia_singlenet_25percent_ou!1908:1908,"AAAAAFXNm1k=",0)</f>
        <v>0</v>
      </c>
      <c r="CM23" t="e">
        <f>AND(Ischemia_singlenet_25percent_ou!A1908,"AAAAAFXNm1o=")</f>
        <v>#VALUE!</v>
      </c>
      <c r="CN23" t="e">
        <f>AND(Ischemia_singlenet_25percent_ou!B1908,"AAAAAFXNm1s=")</f>
        <v>#VALUE!</v>
      </c>
      <c r="CO23">
        <f>IF(Ischemia_singlenet_25percent_ou!1909:1909,"AAAAAFXNm1w=",0)</f>
        <v>0</v>
      </c>
      <c r="CP23" t="e">
        <f>AND(Ischemia_singlenet_25percent_ou!A1909,"AAAAAFXNm10=")</f>
        <v>#VALUE!</v>
      </c>
      <c r="CQ23" t="e">
        <f>AND(Ischemia_singlenet_25percent_ou!B1909,"AAAAAFXNm14=")</f>
        <v>#VALUE!</v>
      </c>
      <c r="CR23">
        <f>IF(Ischemia_singlenet_25percent_ou!1910:1910,"AAAAAFXNm18=",0)</f>
        <v>0</v>
      </c>
      <c r="CS23" t="e">
        <f>AND(Ischemia_singlenet_25percent_ou!A1910,"AAAAAFXNm2A=")</f>
        <v>#VALUE!</v>
      </c>
      <c r="CT23" t="e">
        <f>AND(Ischemia_singlenet_25percent_ou!B1910,"AAAAAFXNm2E=")</f>
        <v>#VALUE!</v>
      </c>
      <c r="CU23">
        <f>IF(Ischemia_singlenet_25percent_ou!1911:1911,"AAAAAFXNm2I=",0)</f>
        <v>0</v>
      </c>
      <c r="CV23" t="e">
        <f>AND(Ischemia_singlenet_25percent_ou!A1911,"AAAAAFXNm2M=")</f>
        <v>#VALUE!</v>
      </c>
      <c r="CW23" t="e">
        <f>AND(Ischemia_singlenet_25percent_ou!B1911,"AAAAAFXNm2Q=")</f>
        <v>#VALUE!</v>
      </c>
      <c r="CX23">
        <f>IF(Ischemia_singlenet_25percent_ou!1912:1912,"AAAAAFXNm2U=",0)</f>
        <v>0</v>
      </c>
      <c r="CY23" t="e">
        <f>AND(Ischemia_singlenet_25percent_ou!A1912,"AAAAAFXNm2Y=")</f>
        <v>#VALUE!</v>
      </c>
      <c r="CZ23" t="e">
        <f>AND(Ischemia_singlenet_25percent_ou!B1912,"AAAAAFXNm2c=")</f>
        <v>#VALUE!</v>
      </c>
      <c r="DA23">
        <f>IF(Ischemia_singlenet_25percent_ou!1913:1913,"AAAAAFXNm2g=",0)</f>
        <v>0</v>
      </c>
      <c r="DB23" t="e">
        <f>AND(Ischemia_singlenet_25percent_ou!A1913,"AAAAAFXNm2k=")</f>
        <v>#VALUE!</v>
      </c>
      <c r="DC23" t="e">
        <f>AND(Ischemia_singlenet_25percent_ou!B1913,"AAAAAFXNm2o=")</f>
        <v>#VALUE!</v>
      </c>
      <c r="DD23">
        <f>IF(Ischemia_singlenet_25percent_ou!1914:1914,"AAAAAFXNm2s=",0)</f>
        <v>0</v>
      </c>
      <c r="DE23" t="e">
        <f>AND(Ischemia_singlenet_25percent_ou!A1914,"AAAAAFXNm2w=")</f>
        <v>#VALUE!</v>
      </c>
      <c r="DF23" t="e">
        <f>AND(Ischemia_singlenet_25percent_ou!B1914,"AAAAAFXNm20=")</f>
        <v>#VALUE!</v>
      </c>
      <c r="DG23">
        <f>IF(Ischemia_singlenet_25percent_ou!1915:1915,"AAAAAFXNm24=",0)</f>
        <v>0</v>
      </c>
      <c r="DH23" t="e">
        <f>AND(Ischemia_singlenet_25percent_ou!A1915,"AAAAAFXNm28=")</f>
        <v>#VALUE!</v>
      </c>
      <c r="DI23" t="e">
        <f>AND(Ischemia_singlenet_25percent_ou!B1915,"AAAAAFXNm3A=")</f>
        <v>#VALUE!</v>
      </c>
      <c r="DJ23">
        <f>IF(Ischemia_singlenet_25percent_ou!1916:1916,"AAAAAFXNm3E=",0)</f>
        <v>0</v>
      </c>
      <c r="DK23" t="e">
        <f>AND(Ischemia_singlenet_25percent_ou!A1916,"AAAAAFXNm3I=")</f>
        <v>#VALUE!</v>
      </c>
      <c r="DL23" t="e">
        <f>AND(Ischemia_singlenet_25percent_ou!B1916,"AAAAAFXNm3M=")</f>
        <v>#VALUE!</v>
      </c>
      <c r="DM23">
        <f>IF(Ischemia_singlenet_25percent_ou!1917:1917,"AAAAAFXNm3Q=",0)</f>
        <v>0</v>
      </c>
      <c r="DN23" t="e">
        <f>AND(Ischemia_singlenet_25percent_ou!A1917,"AAAAAFXNm3U=")</f>
        <v>#VALUE!</v>
      </c>
      <c r="DO23" t="e">
        <f>AND(Ischemia_singlenet_25percent_ou!B1917,"AAAAAFXNm3Y=")</f>
        <v>#VALUE!</v>
      </c>
      <c r="DP23">
        <f>IF(Ischemia_singlenet_25percent_ou!1918:1918,"AAAAAFXNm3c=",0)</f>
        <v>0</v>
      </c>
      <c r="DQ23" t="e">
        <f>AND(Ischemia_singlenet_25percent_ou!A1918,"AAAAAFXNm3g=")</f>
        <v>#VALUE!</v>
      </c>
      <c r="DR23" t="e">
        <f>AND(Ischemia_singlenet_25percent_ou!B1918,"AAAAAFXNm3k=")</f>
        <v>#VALUE!</v>
      </c>
      <c r="DS23">
        <f>IF(Ischemia_singlenet_25percent_ou!1919:1919,"AAAAAFXNm3o=",0)</f>
        <v>0</v>
      </c>
      <c r="DT23" t="e">
        <f>AND(Ischemia_singlenet_25percent_ou!A1919,"AAAAAFXNm3s=")</f>
        <v>#VALUE!</v>
      </c>
      <c r="DU23" t="e">
        <f>AND(Ischemia_singlenet_25percent_ou!B1919,"AAAAAFXNm3w=")</f>
        <v>#VALUE!</v>
      </c>
      <c r="DV23">
        <f>IF(Ischemia_singlenet_25percent_ou!1920:1920,"AAAAAFXNm30=",0)</f>
        <v>0</v>
      </c>
      <c r="DW23" t="e">
        <f>AND(Ischemia_singlenet_25percent_ou!A1920,"AAAAAFXNm34=")</f>
        <v>#VALUE!</v>
      </c>
      <c r="DX23" t="e">
        <f>AND(Ischemia_singlenet_25percent_ou!B1920,"AAAAAFXNm38=")</f>
        <v>#VALUE!</v>
      </c>
      <c r="DY23">
        <f>IF(Ischemia_singlenet_25percent_ou!1921:1921,"AAAAAFXNm4A=",0)</f>
        <v>0</v>
      </c>
      <c r="DZ23" t="e">
        <f>AND(Ischemia_singlenet_25percent_ou!A1921,"AAAAAFXNm4E=")</f>
        <v>#VALUE!</v>
      </c>
      <c r="EA23" t="e">
        <f>AND(Ischemia_singlenet_25percent_ou!B1921,"AAAAAFXNm4I=")</f>
        <v>#VALUE!</v>
      </c>
      <c r="EB23">
        <f>IF(Ischemia_singlenet_25percent_ou!1922:1922,"AAAAAFXNm4M=",0)</f>
        <v>0</v>
      </c>
      <c r="EC23" t="e">
        <f>AND(Ischemia_singlenet_25percent_ou!A1922,"AAAAAFXNm4Q=")</f>
        <v>#VALUE!</v>
      </c>
      <c r="ED23" t="e">
        <f>AND(Ischemia_singlenet_25percent_ou!B1922,"AAAAAFXNm4U=")</f>
        <v>#VALUE!</v>
      </c>
      <c r="EE23">
        <f>IF(Ischemia_singlenet_25percent_ou!1923:1923,"AAAAAFXNm4Y=",0)</f>
        <v>0</v>
      </c>
      <c r="EF23" t="e">
        <f>AND(Ischemia_singlenet_25percent_ou!A1923,"AAAAAFXNm4c=")</f>
        <v>#VALUE!</v>
      </c>
      <c r="EG23" t="e">
        <f>AND(Ischemia_singlenet_25percent_ou!B1923,"AAAAAFXNm4g=")</f>
        <v>#VALUE!</v>
      </c>
      <c r="EH23">
        <f>IF(Ischemia_singlenet_25percent_ou!1924:1924,"AAAAAFXNm4k=",0)</f>
        <v>0</v>
      </c>
      <c r="EI23" t="e">
        <f>AND(Ischemia_singlenet_25percent_ou!A1924,"AAAAAFXNm4o=")</f>
        <v>#VALUE!</v>
      </c>
      <c r="EJ23" t="e">
        <f>AND(Ischemia_singlenet_25percent_ou!B1924,"AAAAAFXNm4s=")</f>
        <v>#VALUE!</v>
      </c>
      <c r="EK23">
        <f>IF(Ischemia_singlenet_25percent_ou!1925:1925,"AAAAAFXNm4w=",0)</f>
        <v>0</v>
      </c>
      <c r="EL23" t="e">
        <f>AND(Ischemia_singlenet_25percent_ou!A1925,"AAAAAFXNm40=")</f>
        <v>#VALUE!</v>
      </c>
      <c r="EM23" t="e">
        <f>AND(Ischemia_singlenet_25percent_ou!B1925,"AAAAAFXNm44=")</f>
        <v>#VALUE!</v>
      </c>
      <c r="EN23">
        <f>IF(Ischemia_singlenet_25percent_ou!1926:1926,"AAAAAFXNm48=",0)</f>
        <v>0</v>
      </c>
      <c r="EO23" t="e">
        <f>AND(Ischemia_singlenet_25percent_ou!A1926,"AAAAAFXNm5A=")</f>
        <v>#VALUE!</v>
      </c>
      <c r="EP23" t="e">
        <f>AND(Ischemia_singlenet_25percent_ou!B1926,"AAAAAFXNm5E=")</f>
        <v>#VALUE!</v>
      </c>
      <c r="EQ23">
        <f>IF(Ischemia_singlenet_25percent_ou!1927:1927,"AAAAAFXNm5I=",0)</f>
        <v>0</v>
      </c>
      <c r="ER23" t="e">
        <f>AND(Ischemia_singlenet_25percent_ou!A1927,"AAAAAFXNm5M=")</f>
        <v>#VALUE!</v>
      </c>
      <c r="ES23" t="e">
        <f>AND(Ischemia_singlenet_25percent_ou!B1927,"AAAAAFXNm5Q=")</f>
        <v>#VALUE!</v>
      </c>
      <c r="ET23">
        <f>IF(Ischemia_singlenet_25percent_ou!1928:1928,"AAAAAFXNm5U=",0)</f>
        <v>0</v>
      </c>
      <c r="EU23" t="e">
        <f>AND(Ischemia_singlenet_25percent_ou!A1928,"AAAAAFXNm5Y=")</f>
        <v>#VALUE!</v>
      </c>
      <c r="EV23" t="e">
        <f>AND(Ischemia_singlenet_25percent_ou!B1928,"AAAAAFXNm5c=")</f>
        <v>#VALUE!</v>
      </c>
      <c r="EW23">
        <f>IF(Ischemia_singlenet_25percent_ou!1929:1929,"AAAAAFXNm5g=",0)</f>
        <v>0</v>
      </c>
      <c r="EX23" t="e">
        <f>AND(Ischemia_singlenet_25percent_ou!A1929,"AAAAAFXNm5k=")</f>
        <v>#VALUE!</v>
      </c>
      <c r="EY23" t="e">
        <f>AND(Ischemia_singlenet_25percent_ou!B1929,"AAAAAFXNm5o=")</f>
        <v>#VALUE!</v>
      </c>
      <c r="EZ23">
        <f>IF(Ischemia_singlenet_25percent_ou!1930:1930,"AAAAAFXNm5s=",0)</f>
        <v>0</v>
      </c>
      <c r="FA23" t="e">
        <f>AND(Ischemia_singlenet_25percent_ou!A1930,"AAAAAFXNm5w=")</f>
        <v>#VALUE!</v>
      </c>
      <c r="FB23" t="e">
        <f>AND(Ischemia_singlenet_25percent_ou!B1930,"AAAAAFXNm50=")</f>
        <v>#VALUE!</v>
      </c>
      <c r="FC23">
        <f>IF(Ischemia_singlenet_25percent_ou!1931:1931,"AAAAAFXNm54=",0)</f>
        <v>0</v>
      </c>
      <c r="FD23" t="e">
        <f>AND(Ischemia_singlenet_25percent_ou!A1931,"AAAAAFXNm58=")</f>
        <v>#VALUE!</v>
      </c>
      <c r="FE23" t="e">
        <f>AND(Ischemia_singlenet_25percent_ou!B1931,"AAAAAFXNm6A=")</f>
        <v>#VALUE!</v>
      </c>
      <c r="FF23">
        <f>IF(Ischemia_singlenet_25percent_ou!1932:1932,"AAAAAFXNm6E=",0)</f>
        <v>0</v>
      </c>
      <c r="FG23" t="e">
        <f>AND(Ischemia_singlenet_25percent_ou!A1932,"AAAAAFXNm6I=")</f>
        <v>#VALUE!</v>
      </c>
      <c r="FH23" t="e">
        <f>AND(Ischemia_singlenet_25percent_ou!B1932,"AAAAAFXNm6M=")</f>
        <v>#VALUE!</v>
      </c>
      <c r="FI23">
        <f>IF(Ischemia_singlenet_25percent_ou!1933:1933,"AAAAAFXNm6Q=",0)</f>
        <v>0</v>
      </c>
      <c r="FJ23" t="e">
        <f>AND(Ischemia_singlenet_25percent_ou!A1933,"AAAAAFXNm6U=")</f>
        <v>#VALUE!</v>
      </c>
      <c r="FK23" t="e">
        <f>AND(Ischemia_singlenet_25percent_ou!B1933,"AAAAAFXNm6Y=")</f>
        <v>#VALUE!</v>
      </c>
      <c r="FL23">
        <f>IF(Ischemia_singlenet_25percent_ou!1934:1934,"AAAAAFXNm6c=",0)</f>
        <v>0</v>
      </c>
      <c r="FM23" t="e">
        <f>AND(Ischemia_singlenet_25percent_ou!A1934,"AAAAAFXNm6g=")</f>
        <v>#VALUE!</v>
      </c>
      <c r="FN23" t="e">
        <f>AND(Ischemia_singlenet_25percent_ou!B1934,"AAAAAFXNm6k=")</f>
        <v>#VALUE!</v>
      </c>
      <c r="FO23">
        <f>IF(Ischemia_singlenet_25percent_ou!1935:1935,"AAAAAFXNm6o=",0)</f>
        <v>0</v>
      </c>
      <c r="FP23" t="e">
        <f>AND(Ischemia_singlenet_25percent_ou!A1935,"AAAAAFXNm6s=")</f>
        <v>#VALUE!</v>
      </c>
      <c r="FQ23" t="e">
        <f>AND(Ischemia_singlenet_25percent_ou!B1935,"AAAAAFXNm6w=")</f>
        <v>#VALUE!</v>
      </c>
      <c r="FR23">
        <f>IF(Ischemia_singlenet_25percent_ou!1936:1936,"AAAAAFXNm60=",0)</f>
        <v>0</v>
      </c>
      <c r="FS23" t="e">
        <f>AND(Ischemia_singlenet_25percent_ou!A1936,"AAAAAFXNm64=")</f>
        <v>#VALUE!</v>
      </c>
      <c r="FT23" t="e">
        <f>AND(Ischemia_singlenet_25percent_ou!B1936,"AAAAAFXNm68=")</f>
        <v>#VALUE!</v>
      </c>
      <c r="FU23">
        <f>IF(Ischemia_singlenet_25percent_ou!1937:1937,"AAAAAFXNm7A=",0)</f>
        <v>0</v>
      </c>
      <c r="FV23" t="e">
        <f>AND(Ischemia_singlenet_25percent_ou!A1937,"AAAAAFXNm7E=")</f>
        <v>#VALUE!</v>
      </c>
      <c r="FW23" t="e">
        <f>AND(Ischemia_singlenet_25percent_ou!B1937,"AAAAAFXNm7I=")</f>
        <v>#VALUE!</v>
      </c>
      <c r="FX23">
        <f>IF(Ischemia_singlenet_25percent_ou!1938:1938,"AAAAAFXNm7M=",0)</f>
        <v>0</v>
      </c>
      <c r="FY23" t="e">
        <f>AND(Ischemia_singlenet_25percent_ou!A1938,"AAAAAFXNm7Q=")</f>
        <v>#VALUE!</v>
      </c>
      <c r="FZ23" t="e">
        <f>AND(Ischemia_singlenet_25percent_ou!B1938,"AAAAAFXNm7U=")</f>
        <v>#VALUE!</v>
      </c>
      <c r="GA23">
        <f>IF(Ischemia_singlenet_25percent_ou!1939:1939,"AAAAAFXNm7Y=",0)</f>
        <v>0</v>
      </c>
      <c r="GB23" t="e">
        <f>AND(Ischemia_singlenet_25percent_ou!A1939,"AAAAAFXNm7c=")</f>
        <v>#VALUE!</v>
      </c>
      <c r="GC23" t="e">
        <f>AND(Ischemia_singlenet_25percent_ou!B1939,"AAAAAFXNm7g=")</f>
        <v>#VALUE!</v>
      </c>
      <c r="GD23">
        <f>IF(Ischemia_singlenet_25percent_ou!1940:1940,"AAAAAFXNm7k=",0)</f>
        <v>0</v>
      </c>
      <c r="GE23" t="e">
        <f>AND(Ischemia_singlenet_25percent_ou!A1940,"AAAAAFXNm7o=")</f>
        <v>#VALUE!</v>
      </c>
      <c r="GF23" t="e">
        <f>AND(Ischemia_singlenet_25percent_ou!B1940,"AAAAAFXNm7s=")</f>
        <v>#VALUE!</v>
      </c>
      <c r="GG23">
        <f>IF(Ischemia_singlenet_25percent_ou!1941:1941,"AAAAAFXNm7w=",0)</f>
        <v>0</v>
      </c>
      <c r="GH23" t="e">
        <f>AND(Ischemia_singlenet_25percent_ou!A1941,"AAAAAFXNm70=")</f>
        <v>#VALUE!</v>
      </c>
      <c r="GI23" t="e">
        <f>AND(Ischemia_singlenet_25percent_ou!B1941,"AAAAAFXNm74=")</f>
        <v>#VALUE!</v>
      </c>
      <c r="GJ23">
        <f>IF(Ischemia_singlenet_25percent_ou!1942:1942,"AAAAAFXNm78=",0)</f>
        <v>0</v>
      </c>
      <c r="GK23" t="e">
        <f>AND(Ischemia_singlenet_25percent_ou!A1942,"AAAAAFXNm8A=")</f>
        <v>#VALUE!</v>
      </c>
      <c r="GL23" t="e">
        <f>AND(Ischemia_singlenet_25percent_ou!B1942,"AAAAAFXNm8E=")</f>
        <v>#VALUE!</v>
      </c>
      <c r="GM23">
        <f>IF(Ischemia_singlenet_25percent_ou!1943:1943,"AAAAAFXNm8I=",0)</f>
        <v>0</v>
      </c>
      <c r="GN23" t="e">
        <f>AND(Ischemia_singlenet_25percent_ou!A1943,"AAAAAFXNm8M=")</f>
        <v>#VALUE!</v>
      </c>
      <c r="GO23" t="e">
        <f>AND(Ischemia_singlenet_25percent_ou!B1943,"AAAAAFXNm8Q=")</f>
        <v>#VALUE!</v>
      </c>
      <c r="GP23">
        <f>IF(Ischemia_singlenet_25percent_ou!1944:1944,"AAAAAFXNm8U=",0)</f>
        <v>0</v>
      </c>
      <c r="GQ23" t="e">
        <f>AND(Ischemia_singlenet_25percent_ou!A1944,"AAAAAFXNm8Y=")</f>
        <v>#VALUE!</v>
      </c>
      <c r="GR23" t="e">
        <f>AND(Ischemia_singlenet_25percent_ou!B1944,"AAAAAFXNm8c=")</f>
        <v>#VALUE!</v>
      </c>
      <c r="GS23">
        <f>IF(Ischemia_singlenet_25percent_ou!1945:1945,"AAAAAFXNm8g=",0)</f>
        <v>0</v>
      </c>
      <c r="GT23" t="e">
        <f>AND(Ischemia_singlenet_25percent_ou!A1945,"AAAAAFXNm8k=")</f>
        <v>#VALUE!</v>
      </c>
      <c r="GU23" t="e">
        <f>AND(Ischemia_singlenet_25percent_ou!B1945,"AAAAAFXNm8o=")</f>
        <v>#VALUE!</v>
      </c>
      <c r="GV23">
        <f>IF(Ischemia_singlenet_25percent_ou!1946:1946,"AAAAAFXNm8s=",0)</f>
        <v>0</v>
      </c>
      <c r="GW23" t="e">
        <f>AND(Ischemia_singlenet_25percent_ou!A1946,"AAAAAFXNm8w=")</f>
        <v>#VALUE!</v>
      </c>
      <c r="GX23" t="e">
        <f>AND(Ischemia_singlenet_25percent_ou!B1946,"AAAAAFXNm80=")</f>
        <v>#VALUE!</v>
      </c>
      <c r="GY23">
        <f>IF(Ischemia_singlenet_25percent_ou!1947:1947,"AAAAAFXNm84=",0)</f>
        <v>0</v>
      </c>
      <c r="GZ23" t="e">
        <f>AND(Ischemia_singlenet_25percent_ou!A1947,"AAAAAFXNm88=")</f>
        <v>#VALUE!</v>
      </c>
      <c r="HA23" t="e">
        <f>AND(Ischemia_singlenet_25percent_ou!B1947,"AAAAAFXNm9A=")</f>
        <v>#VALUE!</v>
      </c>
      <c r="HB23">
        <f>IF(Ischemia_singlenet_25percent_ou!1948:1948,"AAAAAFXNm9E=",0)</f>
        <v>0</v>
      </c>
      <c r="HC23" t="e">
        <f>AND(Ischemia_singlenet_25percent_ou!A1948,"AAAAAFXNm9I=")</f>
        <v>#VALUE!</v>
      </c>
      <c r="HD23" t="e">
        <f>AND(Ischemia_singlenet_25percent_ou!B1948,"AAAAAFXNm9M=")</f>
        <v>#VALUE!</v>
      </c>
      <c r="HE23">
        <f>IF(Ischemia_singlenet_25percent_ou!1949:1949,"AAAAAFXNm9Q=",0)</f>
        <v>0</v>
      </c>
      <c r="HF23" t="e">
        <f>AND(Ischemia_singlenet_25percent_ou!A1949,"AAAAAFXNm9U=")</f>
        <v>#VALUE!</v>
      </c>
      <c r="HG23" t="e">
        <f>AND(Ischemia_singlenet_25percent_ou!B1949,"AAAAAFXNm9Y=")</f>
        <v>#VALUE!</v>
      </c>
      <c r="HH23">
        <f>IF(Ischemia_singlenet_25percent_ou!1950:1950,"AAAAAFXNm9c=",0)</f>
        <v>0</v>
      </c>
      <c r="HI23" t="e">
        <f>AND(Ischemia_singlenet_25percent_ou!A1950,"AAAAAFXNm9g=")</f>
        <v>#VALUE!</v>
      </c>
      <c r="HJ23" t="e">
        <f>AND(Ischemia_singlenet_25percent_ou!B1950,"AAAAAFXNm9k=")</f>
        <v>#VALUE!</v>
      </c>
      <c r="HK23">
        <f>IF(Ischemia_singlenet_25percent_ou!1951:1951,"AAAAAFXNm9o=",0)</f>
        <v>0</v>
      </c>
      <c r="HL23" t="e">
        <f>AND(Ischemia_singlenet_25percent_ou!A1951,"AAAAAFXNm9s=")</f>
        <v>#VALUE!</v>
      </c>
      <c r="HM23" t="e">
        <f>AND(Ischemia_singlenet_25percent_ou!B1951,"AAAAAFXNm9w=")</f>
        <v>#VALUE!</v>
      </c>
      <c r="HN23">
        <f>IF(Ischemia_singlenet_25percent_ou!1952:1952,"AAAAAFXNm90=",0)</f>
        <v>0</v>
      </c>
      <c r="HO23" t="e">
        <f>AND(Ischemia_singlenet_25percent_ou!A1952,"AAAAAFXNm94=")</f>
        <v>#VALUE!</v>
      </c>
      <c r="HP23" t="e">
        <f>AND(Ischemia_singlenet_25percent_ou!B1952,"AAAAAFXNm98=")</f>
        <v>#VALUE!</v>
      </c>
      <c r="HQ23">
        <f>IF(Ischemia_singlenet_25percent_ou!1953:1953,"AAAAAFXNm+A=",0)</f>
        <v>0</v>
      </c>
      <c r="HR23" t="e">
        <f>AND(Ischemia_singlenet_25percent_ou!A1953,"AAAAAFXNm+E=")</f>
        <v>#VALUE!</v>
      </c>
      <c r="HS23" t="e">
        <f>AND(Ischemia_singlenet_25percent_ou!B1953,"AAAAAFXNm+I=")</f>
        <v>#VALUE!</v>
      </c>
      <c r="HT23">
        <f>IF(Ischemia_singlenet_25percent_ou!1954:1954,"AAAAAFXNm+M=",0)</f>
        <v>0</v>
      </c>
      <c r="HU23" t="e">
        <f>AND(Ischemia_singlenet_25percent_ou!A1954,"AAAAAFXNm+Q=")</f>
        <v>#VALUE!</v>
      </c>
      <c r="HV23" t="e">
        <f>AND(Ischemia_singlenet_25percent_ou!B1954,"AAAAAFXNm+U=")</f>
        <v>#VALUE!</v>
      </c>
      <c r="HW23">
        <f>IF(Ischemia_singlenet_25percent_ou!1955:1955,"AAAAAFXNm+Y=",0)</f>
        <v>0</v>
      </c>
      <c r="HX23" t="e">
        <f>AND(Ischemia_singlenet_25percent_ou!A1955,"AAAAAFXNm+c=")</f>
        <v>#VALUE!</v>
      </c>
      <c r="HY23" t="e">
        <f>AND(Ischemia_singlenet_25percent_ou!B1955,"AAAAAFXNm+g=")</f>
        <v>#VALUE!</v>
      </c>
      <c r="HZ23">
        <f>IF(Ischemia_singlenet_25percent_ou!1956:1956,"AAAAAFXNm+k=",0)</f>
        <v>0</v>
      </c>
      <c r="IA23" t="e">
        <f>AND(Ischemia_singlenet_25percent_ou!A1956,"AAAAAFXNm+o=")</f>
        <v>#VALUE!</v>
      </c>
      <c r="IB23" t="e">
        <f>AND(Ischemia_singlenet_25percent_ou!B1956,"AAAAAFXNm+s=")</f>
        <v>#VALUE!</v>
      </c>
      <c r="IC23">
        <f>IF(Ischemia_singlenet_25percent_ou!1957:1957,"AAAAAFXNm+w=",0)</f>
        <v>0</v>
      </c>
      <c r="ID23" t="e">
        <f>AND(Ischemia_singlenet_25percent_ou!A1957,"AAAAAFXNm+0=")</f>
        <v>#VALUE!</v>
      </c>
      <c r="IE23" t="e">
        <f>AND(Ischemia_singlenet_25percent_ou!B1957,"AAAAAFXNm+4=")</f>
        <v>#VALUE!</v>
      </c>
      <c r="IF23">
        <f>IF(Ischemia_singlenet_25percent_ou!1958:1958,"AAAAAFXNm+8=",0)</f>
        <v>0</v>
      </c>
      <c r="IG23" t="e">
        <f>AND(Ischemia_singlenet_25percent_ou!A1958,"AAAAAFXNm/A=")</f>
        <v>#VALUE!</v>
      </c>
      <c r="IH23" t="e">
        <f>AND(Ischemia_singlenet_25percent_ou!B1958,"AAAAAFXNm/E=")</f>
        <v>#VALUE!</v>
      </c>
      <c r="II23">
        <f>IF(Ischemia_singlenet_25percent_ou!1959:1959,"AAAAAFXNm/I=",0)</f>
        <v>0</v>
      </c>
      <c r="IJ23" t="e">
        <f>AND(Ischemia_singlenet_25percent_ou!A1959,"AAAAAFXNm/M=")</f>
        <v>#VALUE!</v>
      </c>
      <c r="IK23" t="e">
        <f>AND(Ischemia_singlenet_25percent_ou!B1959,"AAAAAFXNm/Q=")</f>
        <v>#VALUE!</v>
      </c>
      <c r="IL23">
        <f>IF(Ischemia_singlenet_25percent_ou!1960:1960,"AAAAAFXNm/U=",0)</f>
        <v>0</v>
      </c>
      <c r="IM23" t="e">
        <f>AND(Ischemia_singlenet_25percent_ou!A1960,"AAAAAFXNm/Y=")</f>
        <v>#VALUE!</v>
      </c>
      <c r="IN23" t="e">
        <f>AND(Ischemia_singlenet_25percent_ou!B1960,"AAAAAFXNm/c=")</f>
        <v>#VALUE!</v>
      </c>
      <c r="IO23">
        <f>IF(Ischemia_singlenet_25percent_ou!1961:1961,"AAAAAFXNm/g=",0)</f>
        <v>0</v>
      </c>
      <c r="IP23" t="e">
        <f>AND(Ischemia_singlenet_25percent_ou!A1961,"AAAAAFXNm/k=")</f>
        <v>#VALUE!</v>
      </c>
      <c r="IQ23" t="e">
        <f>AND(Ischemia_singlenet_25percent_ou!B1961,"AAAAAFXNm/o=")</f>
        <v>#VALUE!</v>
      </c>
      <c r="IR23">
        <f>IF(Ischemia_singlenet_25percent_ou!1962:1962,"AAAAAFXNm/s=",0)</f>
        <v>0</v>
      </c>
      <c r="IS23" t="e">
        <f>AND(Ischemia_singlenet_25percent_ou!A1962,"AAAAAFXNm/w=")</f>
        <v>#VALUE!</v>
      </c>
      <c r="IT23" t="e">
        <f>AND(Ischemia_singlenet_25percent_ou!B1962,"AAAAAFXNm/0=")</f>
        <v>#VALUE!</v>
      </c>
      <c r="IU23">
        <f>IF(Ischemia_singlenet_25percent_ou!1963:1963,"AAAAAFXNm/4=",0)</f>
        <v>0</v>
      </c>
      <c r="IV23" t="e">
        <f>AND(Ischemia_singlenet_25percent_ou!A1963,"AAAAAFXNm/8=")</f>
        <v>#VALUE!</v>
      </c>
    </row>
    <row r="24" spans="1:256">
      <c r="A24" t="e">
        <f>AND(Ischemia_singlenet_25percent_ou!B1963,"AAAAAFTt3wA=")</f>
        <v>#VALUE!</v>
      </c>
      <c r="B24" t="e">
        <f>IF(Ischemia_singlenet_25percent_ou!1964:1964,"AAAAAFTt3wE=",0)</f>
        <v>#VALUE!</v>
      </c>
      <c r="C24" t="e">
        <f>AND(Ischemia_singlenet_25percent_ou!A1964,"AAAAAFTt3wI=")</f>
        <v>#VALUE!</v>
      </c>
      <c r="D24" t="e">
        <f>AND(Ischemia_singlenet_25percent_ou!B1964,"AAAAAFTt3wM=")</f>
        <v>#VALUE!</v>
      </c>
      <c r="E24">
        <f>IF(Ischemia_singlenet_25percent_ou!1965:1965,"AAAAAFTt3wQ=",0)</f>
        <v>0</v>
      </c>
      <c r="F24" t="e">
        <f>AND(Ischemia_singlenet_25percent_ou!A1965,"AAAAAFTt3wU=")</f>
        <v>#VALUE!</v>
      </c>
      <c r="G24" t="e">
        <f>AND(Ischemia_singlenet_25percent_ou!B1965,"AAAAAFTt3wY=")</f>
        <v>#VALUE!</v>
      </c>
      <c r="H24">
        <f>IF(Ischemia_singlenet_25percent_ou!1966:1966,"AAAAAFTt3wc=",0)</f>
        <v>0</v>
      </c>
      <c r="I24" t="e">
        <f>AND(Ischemia_singlenet_25percent_ou!A1966,"AAAAAFTt3wg=")</f>
        <v>#VALUE!</v>
      </c>
      <c r="J24" t="e">
        <f>AND(Ischemia_singlenet_25percent_ou!B1966,"AAAAAFTt3wk=")</f>
        <v>#VALUE!</v>
      </c>
      <c r="K24">
        <f>IF(Ischemia_singlenet_25percent_ou!1967:1967,"AAAAAFTt3wo=",0)</f>
        <v>0</v>
      </c>
      <c r="L24" t="e">
        <f>AND(Ischemia_singlenet_25percent_ou!A1967,"AAAAAFTt3ws=")</f>
        <v>#VALUE!</v>
      </c>
      <c r="M24" t="e">
        <f>AND(Ischemia_singlenet_25percent_ou!B1967,"AAAAAFTt3ww=")</f>
        <v>#VALUE!</v>
      </c>
      <c r="N24">
        <f>IF(Ischemia_singlenet_25percent_ou!1968:1968,"AAAAAFTt3w0=",0)</f>
        <v>0</v>
      </c>
      <c r="O24" t="e">
        <f>AND(Ischemia_singlenet_25percent_ou!A1968,"AAAAAFTt3w4=")</f>
        <v>#VALUE!</v>
      </c>
      <c r="P24" t="e">
        <f>AND(Ischemia_singlenet_25percent_ou!B1968,"AAAAAFTt3w8=")</f>
        <v>#VALUE!</v>
      </c>
      <c r="Q24">
        <f>IF(Ischemia_singlenet_25percent_ou!1969:1969,"AAAAAFTt3xA=",0)</f>
        <v>0</v>
      </c>
      <c r="R24" t="e">
        <f>AND(Ischemia_singlenet_25percent_ou!A1969,"AAAAAFTt3xE=")</f>
        <v>#VALUE!</v>
      </c>
      <c r="S24" t="e">
        <f>AND(Ischemia_singlenet_25percent_ou!B1969,"AAAAAFTt3xI=")</f>
        <v>#VALUE!</v>
      </c>
      <c r="T24">
        <f>IF(Ischemia_singlenet_25percent_ou!1970:1970,"AAAAAFTt3xM=",0)</f>
        <v>0</v>
      </c>
      <c r="U24" t="e">
        <f>AND(Ischemia_singlenet_25percent_ou!A1970,"AAAAAFTt3xQ=")</f>
        <v>#VALUE!</v>
      </c>
      <c r="V24" t="e">
        <f>AND(Ischemia_singlenet_25percent_ou!B1970,"AAAAAFTt3xU=")</f>
        <v>#VALUE!</v>
      </c>
      <c r="W24">
        <f>IF(Ischemia_singlenet_25percent_ou!1971:1971,"AAAAAFTt3xY=",0)</f>
        <v>0</v>
      </c>
      <c r="X24" t="e">
        <f>AND(Ischemia_singlenet_25percent_ou!A1971,"AAAAAFTt3xc=")</f>
        <v>#VALUE!</v>
      </c>
      <c r="Y24" t="e">
        <f>AND(Ischemia_singlenet_25percent_ou!B1971,"AAAAAFTt3xg=")</f>
        <v>#VALUE!</v>
      </c>
      <c r="Z24">
        <f>IF(Ischemia_singlenet_25percent_ou!1972:1972,"AAAAAFTt3xk=",0)</f>
        <v>0</v>
      </c>
      <c r="AA24" t="e">
        <f>AND(Ischemia_singlenet_25percent_ou!A1972,"AAAAAFTt3xo=")</f>
        <v>#VALUE!</v>
      </c>
      <c r="AB24" t="e">
        <f>AND(Ischemia_singlenet_25percent_ou!B1972,"AAAAAFTt3xs=")</f>
        <v>#VALUE!</v>
      </c>
      <c r="AC24">
        <f>IF(Ischemia_singlenet_25percent_ou!1973:1973,"AAAAAFTt3xw=",0)</f>
        <v>0</v>
      </c>
      <c r="AD24" t="e">
        <f>AND(Ischemia_singlenet_25percent_ou!A1973,"AAAAAFTt3x0=")</f>
        <v>#VALUE!</v>
      </c>
      <c r="AE24" t="e">
        <f>AND(Ischemia_singlenet_25percent_ou!B1973,"AAAAAFTt3x4=")</f>
        <v>#VALUE!</v>
      </c>
      <c r="AF24">
        <f>IF(Ischemia_singlenet_25percent_ou!1974:1974,"AAAAAFTt3x8=",0)</f>
        <v>0</v>
      </c>
      <c r="AG24" t="e">
        <f>AND(Ischemia_singlenet_25percent_ou!A1974,"AAAAAFTt3yA=")</f>
        <v>#VALUE!</v>
      </c>
      <c r="AH24" t="e">
        <f>AND(Ischemia_singlenet_25percent_ou!B1974,"AAAAAFTt3yE=")</f>
        <v>#VALUE!</v>
      </c>
      <c r="AI24">
        <f>IF(Ischemia_singlenet_25percent_ou!1975:1975,"AAAAAFTt3yI=",0)</f>
        <v>0</v>
      </c>
      <c r="AJ24" t="e">
        <f>AND(Ischemia_singlenet_25percent_ou!A1975,"AAAAAFTt3yM=")</f>
        <v>#VALUE!</v>
      </c>
      <c r="AK24" t="e">
        <f>AND(Ischemia_singlenet_25percent_ou!B1975,"AAAAAFTt3yQ=")</f>
        <v>#VALUE!</v>
      </c>
      <c r="AL24">
        <f>IF(Ischemia_singlenet_25percent_ou!1976:1976,"AAAAAFTt3yU=",0)</f>
        <v>0</v>
      </c>
      <c r="AM24" t="e">
        <f>AND(Ischemia_singlenet_25percent_ou!A1976,"AAAAAFTt3yY=")</f>
        <v>#VALUE!</v>
      </c>
      <c r="AN24" t="e">
        <f>AND(Ischemia_singlenet_25percent_ou!B1976,"AAAAAFTt3yc=")</f>
        <v>#VALUE!</v>
      </c>
      <c r="AO24">
        <f>IF(Ischemia_singlenet_25percent_ou!1977:1977,"AAAAAFTt3yg=",0)</f>
        <v>0</v>
      </c>
      <c r="AP24" t="e">
        <f>AND(Ischemia_singlenet_25percent_ou!A1977,"AAAAAFTt3yk=")</f>
        <v>#VALUE!</v>
      </c>
      <c r="AQ24" t="e">
        <f>AND(Ischemia_singlenet_25percent_ou!B1977,"AAAAAFTt3yo=")</f>
        <v>#VALUE!</v>
      </c>
      <c r="AR24">
        <f>IF(Ischemia_singlenet_25percent_ou!1978:1978,"AAAAAFTt3ys=",0)</f>
        <v>0</v>
      </c>
      <c r="AS24" t="e">
        <f>AND(Ischemia_singlenet_25percent_ou!A1978,"AAAAAFTt3yw=")</f>
        <v>#VALUE!</v>
      </c>
      <c r="AT24" t="e">
        <f>AND(Ischemia_singlenet_25percent_ou!B1978,"AAAAAFTt3y0=")</f>
        <v>#VALUE!</v>
      </c>
      <c r="AU24">
        <f>IF(Ischemia_singlenet_25percent_ou!1979:1979,"AAAAAFTt3y4=",0)</f>
        <v>0</v>
      </c>
      <c r="AV24" t="e">
        <f>AND(Ischemia_singlenet_25percent_ou!A1979,"AAAAAFTt3y8=")</f>
        <v>#VALUE!</v>
      </c>
      <c r="AW24" t="e">
        <f>AND(Ischemia_singlenet_25percent_ou!B1979,"AAAAAFTt3zA=")</f>
        <v>#VALUE!</v>
      </c>
      <c r="AX24">
        <f>IF(Ischemia_singlenet_25percent_ou!1980:1980,"AAAAAFTt3zE=",0)</f>
        <v>0</v>
      </c>
      <c r="AY24" t="e">
        <f>AND(Ischemia_singlenet_25percent_ou!A1980,"AAAAAFTt3zI=")</f>
        <v>#VALUE!</v>
      </c>
      <c r="AZ24" t="e">
        <f>AND(Ischemia_singlenet_25percent_ou!B1980,"AAAAAFTt3zM=")</f>
        <v>#VALUE!</v>
      </c>
      <c r="BA24">
        <f>IF(Ischemia_singlenet_25percent_ou!1981:1981,"AAAAAFTt3zQ=",0)</f>
        <v>0</v>
      </c>
      <c r="BB24" t="e">
        <f>AND(Ischemia_singlenet_25percent_ou!A1981,"AAAAAFTt3zU=")</f>
        <v>#VALUE!</v>
      </c>
      <c r="BC24" t="e">
        <f>AND(Ischemia_singlenet_25percent_ou!B1981,"AAAAAFTt3zY=")</f>
        <v>#VALUE!</v>
      </c>
      <c r="BD24">
        <f>IF(Ischemia_singlenet_25percent_ou!1982:1982,"AAAAAFTt3zc=",0)</f>
        <v>0</v>
      </c>
      <c r="BE24" t="e">
        <f>AND(Ischemia_singlenet_25percent_ou!A1982,"AAAAAFTt3zg=")</f>
        <v>#VALUE!</v>
      </c>
      <c r="BF24" t="e">
        <f>AND(Ischemia_singlenet_25percent_ou!B1982,"AAAAAFTt3zk=")</f>
        <v>#VALUE!</v>
      </c>
      <c r="BG24">
        <f>IF(Ischemia_singlenet_25percent_ou!1983:1983,"AAAAAFTt3zo=",0)</f>
        <v>0</v>
      </c>
      <c r="BH24" t="e">
        <f>AND(Ischemia_singlenet_25percent_ou!A1983,"AAAAAFTt3zs=")</f>
        <v>#VALUE!</v>
      </c>
      <c r="BI24" t="e">
        <f>AND(Ischemia_singlenet_25percent_ou!B1983,"AAAAAFTt3zw=")</f>
        <v>#VALUE!</v>
      </c>
      <c r="BJ24">
        <f>IF(Ischemia_singlenet_25percent_ou!1984:1984,"AAAAAFTt3z0=",0)</f>
        <v>0</v>
      </c>
      <c r="BK24" t="e">
        <f>AND(Ischemia_singlenet_25percent_ou!A1984,"AAAAAFTt3z4=")</f>
        <v>#VALUE!</v>
      </c>
      <c r="BL24" t="e">
        <f>AND(Ischemia_singlenet_25percent_ou!B1984,"AAAAAFTt3z8=")</f>
        <v>#VALUE!</v>
      </c>
      <c r="BM24">
        <f>IF(Ischemia_singlenet_25percent_ou!1985:1985,"AAAAAFTt30A=",0)</f>
        <v>0</v>
      </c>
      <c r="BN24" t="e">
        <f>AND(Ischemia_singlenet_25percent_ou!A1985,"AAAAAFTt30E=")</f>
        <v>#VALUE!</v>
      </c>
      <c r="BO24" t="e">
        <f>AND(Ischemia_singlenet_25percent_ou!B1985,"AAAAAFTt30I=")</f>
        <v>#VALUE!</v>
      </c>
      <c r="BP24">
        <f>IF(Ischemia_singlenet_25percent_ou!1986:1986,"AAAAAFTt30M=",0)</f>
        <v>0</v>
      </c>
      <c r="BQ24" t="e">
        <f>AND(Ischemia_singlenet_25percent_ou!A1986,"AAAAAFTt30Q=")</f>
        <v>#VALUE!</v>
      </c>
      <c r="BR24" t="e">
        <f>AND(Ischemia_singlenet_25percent_ou!B1986,"AAAAAFTt30U=")</f>
        <v>#VALUE!</v>
      </c>
      <c r="BS24">
        <f>IF(Ischemia_singlenet_25percent_ou!1987:1987,"AAAAAFTt30Y=",0)</f>
        <v>0</v>
      </c>
      <c r="BT24" t="e">
        <f>AND(Ischemia_singlenet_25percent_ou!A1987,"AAAAAFTt30c=")</f>
        <v>#VALUE!</v>
      </c>
      <c r="BU24" t="e">
        <f>AND(Ischemia_singlenet_25percent_ou!B1987,"AAAAAFTt30g=")</f>
        <v>#VALUE!</v>
      </c>
      <c r="BV24">
        <f>IF(Ischemia_singlenet_25percent_ou!1988:1988,"AAAAAFTt30k=",0)</f>
        <v>0</v>
      </c>
      <c r="BW24" t="e">
        <f>AND(Ischemia_singlenet_25percent_ou!A1988,"AAAAAFTt30o=")</f>
        <v>#VALUE!</v>
      </c>
      <c r="BX24" t="e">
        <f>AND(Ischemia_singlenet_25percent_ou!B1988,"AAAAAFTt30s=")</f>
        <v>#VALUE!</v>
      </c>
      <c r="BY24">
        <f>IF(Ischemia_singlenet_25percent_ou!1989:1989,"AAAAAFTt30w=",0)</f>
        <v>0</v>
      </c>
      <c r="BZ24" t="e">
        <f>AND(Ischemia_singlenet_25percent_ou!A1989,"AAAAAFTt300=")</f>
        <v>#VALUE!</v>
      </c>
      <c r="CA24" t="e">
        <f>AND(Ischemia_singlenet_25percent_ou!B1989,"AAAAAFTt304=")</f>
        <v>#VALUE!</v>
      </c>
      <c r="CB24">
        <f>IF(Ischemia_singlenet_25percent_ou!1990:1990,"AAAAAFTt308=",0)</f>
        <v>0</v>
      </c>
      <c r="CC24" t="e">
        <f>AND(Ischemia_singlenet_25percent_ou!A1990,"AAAAAFTt31A=")</f>
        <v>#VALUE!</v>
      </c>
      <c r="CD24" t="e">
        <f>AND(Ischemia_singlenet_25percent_ou!B1990,"AAAAAFTt31E=")</f>
        <v>#VALUE!</v>
      </c>
      <c r="CE24">
        <f>IF(Ischemia_singlenet_25percent_ou!1991:1991,"AAAAAFTt31I=",0)</f>
        <v>0</v>
      </c>
      <c r="CF24" t="e">
        <f>AND(Ischemia_singlenet_25percent_ou!A1991,"AAAAAFTt31M=")</f>
        <v>#VALUE!</v>
      </c>
      <c r="CG24" t="e">
        <f>AND(Ischemia_singlenet_25percent_ou!B1991,"AAAAAFTt31Q=")</f>
        <v>#VALUE!</v>
      </c>
      <c r="CH24">
        <f>IF(Ischemia_singlenet_25percent_ou!1992:1992,"AAAAAFTt31U=",0)</f>
        <v>0</v>
      </c>
      <c r="CI24" t="e">
        <f>AND(Ischemia_singlenet_25percent_ou!A1992,"AAAAAFTt31Y=")</f>
        <v>#VALUE!</v>
      </c>
      <c r="CJ24" t="e">
        <f>AND(Ischemia_singlenet_25percent_ou!B1992,"AAAAAFTt31c=")</f>
        <v>#VALUE!</v>
      </c>
      <c r="CK24">
        <f>IF(Ischemia_singlenet_25percent_ou!1993:1993,"AAAAAFTt31g=",0)</f>
        <v>0</v>
      </c>
      <c r="CL24" t="e">
        <f>AND(Ischemia_singlenet_25percent_ou!A1993,"AAAAAFTt31k=")</f>
        <v>#VALUE!</v>
      </c>
      <c r="CM24" t="e">
        <f>AND(Ischemia_singlenet_25percent_ou!B1993,"AAAAAFTt31o=")</f>
        <v>#VALUE!</v>
      </c>
      <c r="CN24">
        <f>IF(Ischemia_singlenet_25percent_ou!1994:1994,"AAAAAFTt31s=",0)</f>
        <v>0</v>
      </c>
      <c r="CO24" t="e">
        <f>AND(Ischemia_singlenet_25percent_ou!A1994,"AAAAAFTt31w=")</f>
        <v>#VALUE!</v>
      </c>
      <c r="CP24" t="e">
        <f>AND(Ischemia_singlenet_25percent_ou!B1994,"AAAAAFTt310=")</f>
        <v>#VALUE!</v>
      </c>
      <c r="CQ24">
        <f>IF(Ischemia_singlenet_25percent_ou!1995:1995,"AAAAAFTt314=",0)</f>
        <v>0</v>
      </c>
      <c r="CR24" t="e">
        <f>AND(Ischemia_singlenet_25percent_ou!A1995,"AAAAAFTt318=")</f>
        <v>#VALUE!</v>
      </c>
      <c r="CS24" t="e">
        <f>AND(Ischemia_singlenet_25percent_ou!B1995,"AAAAAFTt32A=")</f>
        <v>#VALUE!</v>
      </c>
      <c r="CT24">
        <f>IF(Ischemia_singlenet_25percent_ou!1996:1996,"AAAAAFTt32E=",0)</f>
        <v>0</v>
      </c>
      <c r="CU24" t="e">
        <f>AND(Ischemia_singlenet_25percent_ou!A1996,"AAAAAFTt32I=")</f>
        <v>#VALUE!</v>
      </c>
      <c r="CV24" t="e">
        <f>AND(Ischemia_singlenet_25percent_ou!B1996,"AAAAAFTt32M=")</f>
        <v>#VALUE!</v>
      </c>
      <c r="CW24">
        <f>IF(Ischemia_singlenet_25percent_ou!1997:1997,"AAAAAFTt32Q=",0)</f>
        <v>0</v>
      </c>
      <c r="CX24" t="e">
        <f>AND(Ischemia_singlenet_25percent_ou!A1997,"AAAAAFTt32U=")</f>
        <v>#VALUE!</v>
      </c>
      <c r="CY24" t="e">
        <f>AND(Ischemia_singlenet_25percent_ou!B1997,"AAAAAFTt32Y=")</f>
        <v>#VALUE!</v>
      </c>
      <c r="CZ24">
        <f>IF(Ischemia_singlenet_25percent_ou!1998:1998,"AAAAAFTt32c=",0)</f>
        <v>0</v>
      </c>
      <c r="DA24" t="e">
        <f>AND(Ischemia_singlenet_25percent_ou!A1998,"AAAAAFTt32g=")</f>
        <v>#VALUE!</v>
      </c>
      <c r="DB24" t="e">
        <f>AND(Ischemia_singlenet_25percent_ou!B1998,"AAAAAFTt32k=")</f>
        <v>#VALUE!</v>
      </c>
      <c r="DC24">
        <f>IF(Ischemia_singlenet_25percent_ou!1999:1999,"AAAAAFTt32o=",0)</f>
        <v>0</v>
      </c>
      <c r="DD24" t="e">
        <f>AND(Ischemia_singlenet_25percent_ou!A1999,"AAAAAFTt32s=")</f>
        <v>#VALUE!</v>
      </c>
      <c r="DE24" t="e">
        <f>AND(Ischemia_singlenet_25percent_ou!B1999,"AAAAAFTt32w=")</f>
        <v>#VALUE!</v>
      </c>
      <c r="DF24">
        <f>IF(Ischemia_singlenet_25percent_ou!2000:2000,"AAAAAFTt320=",0)</f>
        <v>0</v>
      </c>
      <c r="DG24" t="e">
        <f>AND(Ischemia_singlenet_25percent_ou!A2000,"AAAAAFTt324=")</f>
        <v>#VALUE!</v>
      </c>
      <c r="DH24" t="e">
        <f>AND(Ischemia_singlenet_25percent_ou!B2000,"AAAAAFTt328=")</f>
        <v>#VALUE!</v>
      </c>
      <c r="DI24">
        <f>IF(Ischemia_singlenet_25percent_ou!2001:2001,"AAAAAFTt33A=",0)</f>
        <v>0</v>
      </c>
      <c r="DJ24" t="e">
        <f>AND(Ischemia_singlenet_25percent_ou!A2001,"AAAAAFTt33E=")</f>
        <v>#VALUE!</v>
      </c>
      <c r="DK24" t="e">
        <f>AND(Ischemia_singlenet_25percent_ou!B2001,"AAAAAFTt33I=")</f>
        <v>#VALUE!</v>
      </c>
      <c r="DL24">
        <f>IF(Ischemia_singlenet_25percent_ou!2002:2002,"AAAAAFTt33M=",0)</f>
        <v>0</v>
      </c>
      <c r="DM24" t="e">
        <f>AND(Ischemia_singlenet_25percent_ou!A2002,"AAAAAFTt33Q=")</f>
        <v>#VALUE!</v>
      </c>
      <c r="DN24" t="e">
        <f>AND(Ischemia_singlenet_25percent_ou!B2002,"AAAAAFTt33U=")</f>
        <v>#VALUE!</v>
      </c>
      <c r="DO24">
        <f>IF(Ischemia_singlenet_25percent_ou!2003:2003,"AAAAAFTt33Y=",0)</f>
        <v>0</v>
      </c>
      <c r="DP24" t="e">
        <f>AND(Ischemia_singlenet_25percent_ou!A2003,"AAAAAFTt33c=")</f>
        <v>#VALUE!</v>
      </c>
      <c r="DQ24" t="e">
        <f>AND(Ischemia_singlenet_25percent_ou!B2003,"AAAAAFTt33g=")</f>
        <v>#VALUE!</v>
      </c>
      <c r="DR24">
        <f>IF(Ischemia_singlenet_25percent_ou!2004:2004,"AAAAAFTt33k=",0)</f>
        <v>0</v>
      </c>
      <c r="DS24" t="e">
        <f>AND(Ischemia_singlenet_25percent_ou!A2004,"AAAAAFTt33o=")</f>
        <v>#VALUE!</v>
      </c>
      <c r="DT24" t="e">
        <f>AND(Ischemia_singlenet_25percent_ou!B2004,"AAAAAFTt33s=")</f>
        <v>#VALUE!</v>
      </c>
      <c r="DU24">
        <f>IF(Ischemia_singlenet_25percent_ou!2005:2005,"AAAAAFTt33w=",0)</f>
        <v>0</v>
      </c>
      <c r="DV24" t="e">
        <f>AND(Ischemia_singlenet_25percent_ou!A2005,"AAAAAFTt330=")</f>
        <v>#VALUE!</v>
      </c>
      <c r="DW24" t="e">
        <f>AND(Ischemia_singlenet_25percent_ou!B2005,"AAAAAFTt334=")</f>
        <v>#VALUE!</v>
      </c>
      <c r="DX24">
        <f>IF(Ischemia_singlenet_25percent_ou!2006:2006,"AAAAAFTt338=",0)</f>
        <v>0</v>
      </c>
      <c r="DY24" t="e">
        <f>AND(Ischemia_singlenet_25percent_ou!A2006,"AAAAAFTt34A=")</f>
        <v>#VALUE!</v>
      </c>
      <c r="DZ24" t="e">
        <f>AND(Ischemia_singlenet_25percent_ou!B2006,"AAAAAFTt34E=")</f>
        <v>#VALUE!</v>
      </c>
      <c r="EA24">
        <f>IF(Ischemia_singlenet_25percent_ou!2007:2007,"AAAAAFTt34I=",0)</f>
        <v>0</v>
      </c>
      <c r="EB24" t="e">
        <f>AND(Ischemia_singlenet_25percent_ou!A2007,"AAAAAFTt34M=")</f>
        <v>#VALUE!</v>
      </c>
      <c r="EC24" t="e">
        <f>AND(Ischemia_singlenet_25percent_ou!B2007,"AAAAAFTt34Q=")</f>
        <v>#VALUE!</v>
      </c>
      <c r="ED24">
        <f>IF(Ischemia_singlenet_25percent_ou!2008:2008,"AAAAAFTt34U=",0)</f>
        <v>0</v>
      </c>
      <c r="EE24" t="e">
        <f>AND(Ischemia_singlenet_25percent_ou!A2008,"AAAAAFTt34Y=")</f>
        <v>#VALUE!</v>
      </c>
      <c r="EF24" t="e">
        <f>AND(Ischemia_singlenet_25percent_ou!B2008,"AAAAAFTt34c=")</f>
        <v>#VALUE!</v>
      </c>
      <c r="EG24">
        <f>IF(Ischemia_singlenet_25percent_ou!2009:2009,"AAAAAFTt34g=",0)</f>
        <v>0</v>
      </c>
      <c r="EH24" t="e">
        <f>AND(Ischemia_singlenet_25percent_ou!A2009,"AAAAAFTt34k=")</f>
        <v>#VALUE!</v>
      </c>
      <c r="EI24" t="e">
        <f>AND(Ischemia_singlenet_25percent_ou!B2009,"AAAAAFTt34o=")</f>
        <v>#VALUE!</v>
      </c>
      <c r="EJ24">
        <f>IF(Ischemia_singlenet_25percent_ou!2010:2010,"AAAAAFTt34s=",0)</f>
        <v>0</v>
      </c>
      <c r="EK24" t="e">
        <f>AND(Ischemia_singlenet_25percent_ou!A2010,"AAAAAFTt34w=")</f>
        <v>#VALUE!</v>
      </c>
      <c r="EL24" t="e">
        <f>AND(Ischemia_singlenet_25percent_ou!B2010,"AAAAAFTt340=")</f>
        <v>#VALUE!</v>
      </c>
      <c r="EM24">
        <f>IF(Ischemia_singlenet_25percent_ou!2011:2011,"AAAAAFTt344=",0)</f>
        <v>0</v>
      </c>
      <c r="EN24" t="e">
        <f>AND(Ischemia_singlenet_25percent_ou!A2011,"AAAAAFTt348=")</f>
        <v>#VALUE!</v>
      </c>
      <c r="EO24" t="e">
        <f>AND(Ischemia_singlenet_25percent_ou!B2011,"AAAAAFTt35A=")</f>
        <v>#VALUE!</v>
      </c>
      <c r="EP24">
        <f>IF(Ischemia_singlenet_25percent_ou!2012:2012,"AAAAAFTt35E=",0)</f>
        <v>0</v>
      </c>
      <c r="EQ24" t="e">
        <f>AND(Ischemia_singlenet_25percent_ou!A2012,"AAAAAFTt35I=")</f>
        <v>#VALUE!</v>
      </c>
      <c r="ER24" t="e">
        <f>AND(Ischemia_singlenet_25percent_ou!B2012,"AAAAAFTt35M=")</f>
        <v>#VALUE!</v>
      </c>
      <c r="ES24">
        <f>IF(Ischemia_singlenet_25percent_ou!2013:2013,"AAAAAFTt35Q=",0)</f>
        <v>0</v>
      </c>
      <c r="ET24" t="e">
        <f>AND(Ischemia_singlenet_25percent_ou!A2013,"AAAAAFTt35U=")</f>
        <v>#VALUE!</v>
      </c>
      <c r="EU24" t="e">
        <f>AND(Ischemia_singlenet_25percent_ou!B2013,"AAAAAFTt35Y=")</f>
        <v>#VALUE!</v>
      </c>
      <c r="EV24">
        <f>IF(Ischemia_singlenet_25percent_ou!2014:2014,"AAAAAFTt35c=",0)</f>
        <v>0</v>
      </c>
      <c r="EW24" t="e">
        <f>AND(Ischemia_singlenet_25percent_ou!A2014,"AAAAAFTt35g=")</f>
        <v>#VALUE!</v>
      </c>
      <c r="EX24" t="e">
        <f>AND(Ischemia_singlenet_25percent_ou!B2014,"AAAAAFTt35k=")</f>
        <v>#VALUE!</v>
      </c>
      <c r="EY24">
        <f>IF(Ischemia_singlenet_25percent_ou!2015:2015,"AAAAAFTt35o=",0)</f>
        <v>0</v>
      </c>
      <c r="EZ24" t="e">
        <f>AND(Ischemia_singlenet_25percent_ou!A2015,"AAAAAFTt35s=")</f>
        <v>#VALUE!</v>
      </c>
      <c r="FA24" t="e">
        <f>AND(Ischemia_singlenet_25percent_ou!B2015,"AAAAAFTt35w=")</f>
        <v>#VALUE!</v>
      </c>
      <c r="FB24">
        <f>IF(Ischemia_singlenet_25percent_ou!2016:2016,"AAAAAFTt350=",0)</f>
        <v>0</v>
      </c>
      <c r="FC24" t="e">
        <f>AND(Ischemia_singlenet_25percent_ou!A2016,"AAAAAFTt354=")</f>
        <v>#VALUE!</v>
      </c>
      <c r="FD24" t="e">
        <f>AND(Ischemia_singlenet_25percent_ou!B2016,"AAAAAFTt358=")</f>
        <v>#VALUE!</v>
      </c>
      <c r="FE24">
        <f>IF(Ischemia_singlenet_25percent_ou!2017:2017,"AAAAAFTt36A=",0)</f>
        <v>0</v>
      </c>
      <c r="FF24" t="e">
        <f>AND(Ischemia_singlenet_25percent_ou!A2017,"AAAAAFTt36E=")</f>
        <v>#VALUE!</v>
      </c>
      <c r="FG24" t="e">
        <f>AND(Ischemia_singlenet_25percent_ou!B2017,"AAAAAFTt36I=")</f>
        <v>#VALUE!</v>
      </c>
      <c r="FH24">
        <f>IF(Ischemia_singlenet_25percent_ou!2018:2018,"AAAAAFTt36M=",0)</f>
        <v>0</v>
      </c>
      <c r="FI24" t="e">
        <f>AND(Ischemia_singlenet_25percent_ou!A2018,"AAAAAFTt36Q=")</f>
        <v>#VALUE!</v>
      </c>
      <c r="FJ24" t="e">
        <f>AND(Ischemia_singlenet_25percent_ou!B2018,"AAAAAFTt36U=")</f>
        <v>#VALUE!</v>
      </c>
      <c r="FK24">
        <f>IF(Ischemia_singlenet_25percent_ou!2019:2019,"AAAAAFTt36Y=",0)</f>
        <v>0</v>
      </c>
      <c r="FL24" t="e">
        <f>AND(Ischemia_singlenet_25percent_ou!A2019,"AAAAAFTt36c=")</f>
        <v>#VALUE!</v>
      </c>
      <c r="FM24" t="e">
        <f>AND(Ischemia_singlenet_25percent_ou!B2019,"AAAAAFTt36g=")</f>
        <v>#VALUE!</v>
      </c>
      <c r="FN24">
        <f>IF(Ischemia_singlenet_25percent_ou!2020:2020,"AAAAAFTt36k=",0)</f>
        <v>0</v>
      </c>
      <c r="FO24" t="e">
        <f>AND(Ischemia_singlenet_25percent_ou!A2020,"AAAAAFTt36o=")</f>
        <v>#VALUE!</v>
      </c>
      <c r="FP24" t="e">
        <f>AND(Ischemia_singlenet_25percent_ou!B2020,"AAAAAFTt36s=")</f>
        <v>#VALUE!</v>
      </c>
      <c r="FQ24">
        <f>IF(Ischemia_singlenet_25percent_ou!2021:2021,"AAAAAFTt36w=",0)</f>
        <v>0</v>
      </c>
      <c r="FR24" t="e">
        <f>AND(Ischemia_singlenet_25percent_ou!A2021,"AAAAAFTt360=")</f>
        <v>#VALUE!</v>
      </c>
      <c r="FS24" t="e">
        <f>AND(Ischemia_singlenet_25percent_ou!B2021,"AAAAAFTt364=")</f>
        <v>#VALUE!</v>
      </c>
      <c r="FT24">
        <f>IF(Ischemia_singlenet_25percent_ou!2022:2022,"AAAAAFTt368=",0)</f>
        <v>0</v>
      </c>
      <c r="FU24" t="e">
        <f>AND(Ischemia_singlenet_25percent_ou!A2022,"AAAAAFTt37A=")</f>
        <v>#VALUE!</v>
      </c>
      <c r="FV24" t="e">
        <f>AND(Ischemia_singlenet_25percent_ou!B2022,"AAAAAFTt37E=")</f>
        <v>#VALUE!</v>
      </c>
      <c r="FW24">
        <f>IF(Ischemia_singlenet_25percent_ou!2023:2023,"AAAAAFTt37I=",0)</f>
        <v>0</v>
      </c>
      <c r="FX24" t="e">
        <f>AND(Ischemia_singlenet_25percent_ou!A2023,"AAAAAFTt37M=")</f>
        <v>#VALUE!</v>
      </c>
      <c r="FY24" t="e">
        <f>AND(Ischemia_singlenet_25percent_ou!B2023,"AAAAAFTt37Q=")</f>
        <v>#VALUE!</v>
      </c>
      <c r="FZ24">
        <f>IF(Ischemia_singlenet_25percent_ou!2024:2024,"AAAAAFTt37U=",0)</f>
        <v>0</v>
      </c>
      <c r="GA24" t="e">
        <f>AND(Ischemia_singlenet_25percent_ou!A2024,"AAAAAFTt37Y=")</f>
        <v>#VALUE!</v>
      </c>
      <c r="GB24" t="e">
        <f>AND(Ischemia_singlenet_25percent_ou!B2024,"AAAAAFTt37c=")</f>
        <v>#VALUE!</v>
      </c>
      <c r="GC24">
        <f>IF(Ischemia_singlenet_25percent_ou!2025:2025,"AAAAAFTt37g=",0)</f>
        <v>0</v>
      </c>
      <c r="GD24" t="e">
        <f>AND(Ischemia_singlenet_25percent_ou!A2025,"AAAAAFTt37k=")</f>
        <v>#VALUE!</v>
      </c>
      <c r="GE24" t="e">
        <f>AND(Ischemia_singlenet_25percent_ou!B2025,"AAAAAFTt37o=")</f>
        <v>#VALUE!</v>
      </c>
      <c r="GF24">
        <f>IF(Ischemia_singlenet_25percent_ou!2026:2026,"AAAAAFTt37s=",0)</f>
        <v>0</v>
      </c>
      <c r="GG24" t="e">
        <f>AND(Ischemia_singlenet_25percent_ou!A2026,"AAAAAFTt37w=")</f>
        <v>#VALUE!</v>
      </c>
      <c r="GH24" t="e">
        <f>AND(Ischemia_singlenet_25percent_ou!B2026,"AAAAAFTt370=")</f>
        <v>#VALUE!</v>
      </c>
      <c r="GI24">
        <f>IF(Ischemia_singlenet_25percent_ou!2027:2027,"AAAAAFTt374=",0)</f>
        <v>0</v>
      </c>
      <c r="GJ24" t="e">
        <f>AND(Ischemia_singlenet_25percent_ou!A2027,"AAAAAFTt378=")</f>
        <v>#VALUE!</v>
      </c>
      <c r="GK24" t="e">
        <f>AND(Ischemia_singlenet_25percent_ou!B2027,"AAAAAFTt38A=")</f>
        <v>#VALUE!</v>
      </c>
      <c r="GL24">
        <f>IF(Ischemia_singlenet_25percent_ou!2028:2028,"AAAAAFTt38E=",0)</f>
        <v>0</v>
      </c>
      <c r="GM24" t="e">
        <f>AND(Ischemia_singlenet_25percent_ou!A2028,"AAAAAFTt38I=")</f>
        <v>#VALUE!</v>
      </c>
      <c r="GN24" t="e">
        <f>AND(Ischemia_singlenet_25percent_ou!B2028,"AAAAAFTt38M=")</f>
        <v>#VALUE!</v>
      </c>
      <c r="GO24">
        <f>IF(Ischemia_singlenet_25percent_ou!2029:2029,"AAAAAFTt38Q=",0)</f>
        <v>0</v>
      </c>
      <c r="GP24" t="e">
        <f>AND(Ischemia_singlenet_25percent_ou!A2029,"AAAAAFTt38U=")</f>
        <v>#VALUE!</v>
      </c>
      <c r="GQ24" t="e">
        <f>AND(Ischemia_singlenet_25percent_ou!B2029,"AAAAAFTt38Y=")</f>
        <v>#VALUE!</v>
      </c>
      <c r="GR24">
        <f>IF(Ischemia_singlenet_25percent_ou!2030:2030,"AAAAAFTt38c=",0)</f>
        <v>0</v>
      </c>
      <c r="GS24" t="e">
        <f>AND(Ischemia_singlenet_25percent_ou!A2030,"AAAAAFTt38g=")</f>
        <v>#VALUE!</v>
      </c>
      <c r="GT24" t="e">
        <f>AND(Ischemia_singlenet_25percent_ou!B2030,"AAAAAFTt38k=")</f>
        <v>#VALUE!</v>
      </c>
      <c r="GU24">
        <f>IF(Ischemia_singlenet_25percent_ou!2031:2031,"AAAAAFTt38o=",0)</f>
        <v>0</v>
      </c>
      <c r="GV24" t="e">
        <f>AND(Ischemia_singlenet_25percent_ou!A2031,"AAAAAFTt38s=")</f>
        <v>#VALUE!</v>
      </c>
      <c r="GW24" t="e">
        <f>AND(Ischemia_singlenet_25percent_ou!B2031,"AAAAAFTt38w=")</f>
        <v>#VALUE!</v>
      </c>
      <c r="GX24">
        <f>IF(Ischemia_singlenet_25percent_ou!2032:2032,"AAAAAFTt380=",0)</f>
        <v>0</v>
      </c>
      <c r="GY24" t="e">
        <f>AND(Ischemia_singlenet_25percent_ou!A2032,"AAAAAFTt384=")</f>
        <v>#VALUE!</v>
      </c>
      <c r="GZ24" t="e">
        <f>AND(Ischemia_singlenet_25percent_ou!B2032,"AAAAAFTt388=")</f>
        <v>#VALUE!</v>
      </c>
      <c r="HA24">
        <f>IF(Ischemia_singlenet_25percent_ou!2033:2033,"AAAAAFTt39A=",0)</f>
        <v>0</v>
      </c>
      <c r="HB24" t="e">
        <f>AND(Ischemia_singlenet_25percent_ou!A2033,"AAAAAFTt39E=")</f>
        <v>#VALUE!</v>
      </c>
      <c r="HC24" t="e">
        <f>AND(Ischemia_singlenet_25percent_ou!B2033,"AAAAAFTt39I=")</f>
        <v>#VALUE!</v>
      </c>
      <c r="HD24">
        <f>IF(Ischemia_singlenet_25percent_ou!2034:2034,"AAAAAFTt39M=",0)</f>
        <v>0</v>
      </c>
      <c r="HE24" t="e">
        <f>AND(Ischemia_singlenet_25percent_ou!A2034,"AAAAAFTt39Q=")</f>
        <v>#VALUE!</v>
      </c>
      <c r="HF24" t="e">
        <f>AND(Ischemia_singlenet_25percent_ou!B2034,"AAAAAFTt39U=")</f>
        <v>#VALUE!</v>
      </c>
      <c r="HG24">
        <f>IF(Ischemia_singlenet_25percent_ou!2035:2035,"AAAAAFTt39Y=",0)</f>
        <v>0</v>
      </c>
      <c r="HH24" t="e">
        <f>AND(Ischemia_singlenet_25percent_ou!A2035,"AAAAAFTt39c=")</f>
        <v>#VALUE!</v>
      </c>
      <c r="HI24" t="e">
        <f>AND(Ischemia_singlenet_25percent_ou!B2035,"AAAAAFTt39g=")</f>
        <v>#VALUE!</v>
      </c>
      <c r="HJ24">
        <f>IF(Ischemia_singlenet_25percent_ou!2036:2036,"AAAAAFTt39k=",0)</f>
        <v>0</v>
      </c>
      <c r="HK24" t="e">
        <f>AND(Ischemia_singlenet_25percent_ou!A2036,"AAAAAFTt39o=")</f>
        <v>#VALUE!</v>
      </c>
      <c r="HL24" t="e">
        <f>AND(Ischemia_singlenet_25percent_ou!B2036,"AAAAAFTt39s=")</f>
        <v>#VALUE!</v>
      </c>
      <c r="HM24">
        <f>IF(Ischemia_singlenet_25percent_ou!2037:2037,"AAAAAFTt39w=",0)</f>
        <v>0</v>
      </c>
      <c r="HN24" t="e">
        <f>AND(Ischemia_singlenet_25percent_ou!A2037,"AAAAAFTt390=")</f>
        <v>#VALUE!</v>
      </c>
      <c r="HO24" t="e">
        <f>AND(Ischemia_singlenet_25percent_ou!B2037,"AAAAAFTt394=")</f>
        <v>#VALUE!</v>
      </c>
      <c r="HP24">
        <f>IF(Ischemia_singlenet_25percent_ou!2038:2038,"AAAAAFTt398=",0)</f>
        <v>0</v>
      </c>
      <c r="HQ24" t="e">
        <f>AND(Ischemia_singlenet_25percent_ou!A2038,"AAAAAFTt3+A=")</f>
        <v>#VALUE!</v>
      </c>
      <c r="HR24" t="e">
        <f>AND(Ischemia_singlenet_25percent_ou!B2038,"AAAAAFTt3+E=")</f>
        <v>#VALUE!</v>
      </c>
      <c r="HS24">
        <f>IF(Ischemia_singlenet_25percent_ou!2039:2039,"AAAAAFTt3+I=",0)</f>
        <v>0</v>
      </c>
      <c r="HT24" t="e">
        <f>AND(Ischemia_singlenet_25percent_ou!A2039,"AAAAAFTt3+M=")</f>
        <v>#VALUE!</v>
      </c>
      <c r="HU24" t="e">
        <f>AND(Ischemia_singlenet_25percent_ou!B2039,"AAAAAFTt3+Q=")</f>
        <v>#VALUE!</v>
      </c>
      <c r="HV24">
        <f>IF(Ischemia_singlenet_25percent_ou!2040:2040,"AAAAAFTt3+U=",0)</f>
        <v>0</v>
      </c>
      <c r="HW24" t="e">
        <f>AND(Ischemia_singlenet_25percent_ou!A2040,"AAAAAFTt3+Y=")</f>
        <v>#VALUE!</v>
      </c>
      <c r="HX24" t="e">
        <f>AND(Ischemia_singlenet_25percent_ou!B2040,"AAAAAFTt3+c=")</f>
        <v>#VALUE!</v>
      </c>
      <c r="HY24">
        <f>IF(Ischemia_singlenet_25percent_ou!2041:2041,"AAAAAFTt3+g=",0)</f>
        <v>0</v>
      </c>
      <c r="HZ24" t="e">
        <f>AND(Ischemia_singlenet_25percent_ou!A2041,"AAAAAFTt3+k=")</f>
        <v>#VALUE!</v>
      </c>
      <c r="IA24" t="e">
        <f>AND(Ischemia_singlenet_25percent_ou!B2041,"AAAAAFTt3+o=")</f>
        <v>#VALUE!</v>
      </c>
      <c r="IB24">
        <f>IF(Ischemia_singlenet_25percent_ou!2042:2042,"AAAAAFTt3+s=",0)</f>
        <v>0</v>
      </c>
      <c r="IC24" t="e">
        <f>AND(Ischemia_singlenet_25percent_ou!A2042,"AAAAAFTt3+w=")</f>
        <v>#VALUE!</v>
      </c>
      <c r="ID24" t="e">
        <f>AND(Ischemia_singlenet_25percent_ou!B2042,"AAAAAFTt3+0=")</f>
        <v>#VALUE!</v>
      </c>
      <c r="IE24">
        <f>IF(Ischemia_singlenet_25percent_ou!2043:2043,"AAAAAFTt3+4=",0)</f>
        <v>0</v>
      </c>
      <c r="IF24" t="e">
        <f>AND(Ischemia_singlenet_25percent_ou!A2043,"AAAAAFTt3+8=")</f>
        <v>#VALUE!</v>
      </c>
      <c r="IG24" t="e">
        <f>AND(Ischemia_singlenet_25percent_ou!B2043,"AAAAAFTt3/A=")</f>
        <v>#VALUE!</v>
      </c>
      <c r="IH24">
        <f>IF(Ischemia_singlenet_25percent_ou!2044:2044,"AAAAAFTt3/E=",0)</f>
        <v>0</v>
      </c>
      <c r="II24" t="e">
        <f>AND(Ischemia_singlenet_25percent_ou!A2044,"AAAAAFTt3/I=")</f>
        <v>#VALUE!</v>
      </c>
      <c r="IJ24" t="e">
        <f>AND(Ischemia_singlenet_25percent_ou!B2044,"AAAAAFTt3/M=")</f>
        <v>#VALUE!</v>
      </c>
      <c r="IK24">
        <f>IF(Ischemia_singlenet_25percent_ou!2045:2045,"AAAAAFTt3/Q=",0)</f>
        <v>0</v>
      </c>
      <c r="IL24" t="e">
        <f>AND(Ischemia_singlenet_25percent_ou!A2045,"AAAAAFTt3/U=")</f>
        <v>#VALUE!</v>
      </c>
      <c r="IM24" t="e">
        <f>AND(Ischemia_singlenet_25percent_ou!B2045,"AAAAAFTt3/Y=")</f>
        <v>#VALUE!</v>
      </c>
      <c r="IN24">
        <f>IF(Ischemia_singlenet_25percent_ou!2046:2046,"AAAAAFTt3/c=",0)</f>
        <v>0</v>
      </c>
      <c r="IO24" t="e">
        <f>AND(Ischemia_singlenet_25percent_ou!A2046,"AAAAAFTt3/g=")</f>
        <v>#VALUE!</v>
      </c>
      <c r="IP24" t="e">
        <f>AND(Ischemia_singlenet_25percent_ou!B2046,"AAAAAFTt3/k=")</f>
        <v>#VALUE!</v>
      </c>
      <c r="IQ24">
        <f>IF(Ischemia_singlenet_25percent_ou!2047:2047,"AAAAAFTt3/o=",0)</f>
        <v>0</v>
      </c>
      <c r="IR24" t="e">
        <f>AND(Ischemia_singlenet_25percent_ou!A2047,"AAAAAFTt3/s=")</f>
        <v>#VALUE!</v>
      </c>
      <c r="IS24" t="e">
        <f>AND(Ischemia_singlenet_25percent_ou!B2047,"AAAAAFTt3/w=")</f>
        <v>#VALUE!</v>
      </c>
      <c r="IT24">
        <f>IF(Ischemia_singlenet_25percent_ou!2048:2048,"AAAAAFTt3/0=",0)</f>
        <v>0</v>
      </c>
      <c r="IU24" t="e">
        <f>AND(Ischemia_singlenet_25percent_ou!A2048,"AAAAAFTt3/4=")</f>
        <v>#VALUE!</v>
      </c>
      <c r="IV24" t="e">
        <f>AND(Ischemia_singlenet_25percent_ou!B2048,"AAAAAFTt3/8=")</f>
        <v>#VALUE!</v>
      </c>
    </row>
    <row r="25" spans="1:256">
      <c r="A25" t="e">
        <f>IF(Ischemia_singlenet_25percent_ou!2049:2049,"AAAAAHvsbwA=",0)</f>
        <v>#VALUE!</v>
      </c>
      <c r="B25" t="e">
        <f>AND(Ischemia_singlenet_25percent_ou!A2049,"AAAAAHvsbwE=")</f>
        <v>#VALUE!</v>
      </c>
      <c r="C25" t="e">
        <f>AND(Ischemia_singlenet_25percent_ou!B2049,"AAAAAHvsbwI=")</f>
        <v>#VALUE!</v>
      </c>
      <c r="D25">
        <f>IF(Ischemia_singlenet_25percent_ou!2050:2050,"AAAAAHvsbwM=",0)</f>
        <v>0</v>
      </c>
      <c r="E25" t="e">
        <f>AND(Ischemia_singlenet_25percent_ou!A2050,"AAAAAHvsbwQ=")</f>
        <v>#VALUE!</v>
      </c>
      <c r="F25" t="e">
        <f>AND(Ischemia_singlenet_25percent_ou!B2050,"AAAAAHvsbwU=")</f>
        <v>#VALUE!</v>
      </c>
      <c r="G25">
        <f>IF(Ischemia_singlenet_25percent_ou!2051:2051,"AAAAAHvsbwY=",0)</f>
        <v>0</v>
      </c>
      <c r="H25" t="e">
        <f>AND(Ischemia_singlenet_25percent_ou!A2051,"AAAAAHvsbwc=")</f>
        <v>#VALUE!</v>
      </c>
      <c r="I25" t="e">
        <f>AND(Ischemia_singlenet_25percent_ou!B2051,"AAAAAHvsbwg=")</f>
        <v>#VALUE!</v>
      </c>
      <c r="J25">
        <f>IF(Ischemia_singlenet_25percent_ou!2052:2052,"AAAAAHvsbwk=",0)</f>
        <v>0</v>
      </c>
      <c r="K25" t="e">
        <f>AND(Ischemia_singlenet_25percent_ou!A2052,"AAAAAHvsbwo=")</f>
        <v>#VALUE!</v>
      </c>
      <c r="L25" t="e">
        <f>AND(Ischemia_singlenet_25percent_ou!B2052,"AAAAAHvsbws=")</f>
        <v>#VALUE!</v>
      </c>
      <c r="M25">
        <f>IF(Ischemia_singlenet_25percent_ou!2053:2053,"AAAAAHvsbww=",0)</f>
        <v>0</v>
      </c>
      <c r="N25" t="e">
        <f>AND(Ischemia_singlenet_25percent_ou!A2053,"AAAAAHvsbw0=")</f>
        <v>#VALUE!</v>
      </c>
      <c r="O25" t="e">
        <f>AND(Ischemia_singlenet_25percent_ou!B2053,"AAAAAHvsbw4=")</f>
        <v>#VALUE!</v>
      </c>
      <c r="P25">
        <f>IF(Ischemia_singlenet_25percent_ou!2054:2054,"AAAAAHvsbw8=",0)</f>
        <v>0</v>
      </c>
      <c r="Q25" t="e">
        <f>AND(Ischemia_singlenet_25percent_ou!A2054,"AAAAAHvsbxA=")</f>
        <v>#VALUE!</v>
      </c>
      <c r="R25" t="e">
        <f>AND(Ischemia_singlenet_25percent_ou!B2054,"AAAAAHvsbxE=")</f>
        <v>#VALUE!</v>
      </c>
      <c r="S25">
        <f>IF(Ischemia_singlenet_25percent_ou!2055:2055,"AAAAAHvsbxI=",0)</f>
        <v>0</v>
      </c>
      <c r="T25" t="e">
        <f>AND(Ischemia_singlenet_25percent_ou!A2055,"AAAAAHvsbxM=")</f>
        <v>#VALUE!</v>
      </c>
      <c r="U25" t="e">
        <f>AND(Ischemia_singlenet_25percent_ou!B2055,"AAAAAHvsbxQ=")</f>
        <v>#VALUE!</v>
      </c>
      <c r="V25">
        <f>IF(Ischemia_singlenet_25percent_ou!2056:2056,"AAAAAHvsbxU=",0)</f>
        <v>0</v>
      </c>
      <c r="W25" t="e">
        <f>AND(Ischemia_singlenet_25percent_ou!A2056,"AAAAAHvsbxY=")</f>
        <v>#VALUE!</v>
      </c>
      <c r="X25" t="e">
        <f>AND(Ischemia_singlenet_25percent_ou!B2056,"AAAAAHvsbxc=")</f>
        <v>#VALUE!</v>
      </c>
      <c r="Y25">
        <f>IF(Ischemia_singlenet_25percent_ou!2057:2057,"AAAAAHvsbxg=",0)</f>
        <v>0</v>
      </c>
      <c r="Z25" t="e">
        <f>AND(Ischemia_singlenet_25percent_ou!A2057,"AAAAAHvsbxk=")</f>
        <v>#VALUE!</v>
      </c>
      <c r="AA25" t="e">
        <f>AND(Ischemia_singlenet_25percent_ou!B2057,"AAAAAHvsbxo=")</f>
        <v>#VALUE!</v>
      </c>
      <c r="AB25">
        <f>IF(Ischemia_singlenet_25percent_ou!2058:2058,"AAAAAHvsbxs=",0)</f>
        <v>0</v>
      </c>
      <c r="AC25" t="e">
        <f>AND(Ischemia_singlenet_25percent_ou!A2058,"AAAAAHvsbxw=")</f>
        <v>#VALUE!</v>
      </c>
      <c r="AD25" t="e">
        <f>AND(Ischemia_singlenet_25percent_ou!B2058,"AAAAAHvsbx0=")</f>
        <v>#VALUE!</v>
      </c>
      <c r="AE25">
        <f>IF(Ischemia_singlenet_25percent_ou!2059:2059,"AAAAAHvsbx4=",0)</f>
        <v>0</v>
      </c>
      <c r="AF25" t="e">
        <f>AND(Ischemia_singlenet_25percent_ou!A2059,"AAAAAHvsbx8=")</f>
        <v>#VALUE!</v>
      </c>
      <c r="AG25" t="e">
        <f>AND(Ischemia_singlenet_25percent_ou!B2059,"AAAAAHvsbyA=")</f>
        <v>#VALUE!</v>
      </c>
      <c r="AH25">
        <f>IF(Ischemia_singlenet_25percent_ou!2060:2060,"AAAAAHvsbyE=",0)</f>
        <v>0</v>
      </c>
      <c r="AI25" t="e">
        <f>AND(Ischemia_singlenet_25percent_ou!A2060,"AAAAAHvsbyI=")</f>
        <v>#VALUE!</v>
      </c>
      <c r="AJ25" t="e">
        <f>AND(Ischemia_singlenet_25percent_ou!B2060,"AAAAAHvsbyM=")</f>
        <v>#VALUE!</v>
      </c>
      <c r="AK25">
        <f>IF(Ischemia_singlenet_25percent_ou!2061:2061,"AAAAAHvsbyQ=",0)</f>
        <v>0</v>
      </c>
      <c r="AL25" t="e">
        <f>AND(Ischemia_singlenet_25percent_ou!A2061,"AAAAAHvsbyU=")</f>
        <v>#VALUE!</v>
      </c>
      <c r="AM25" t="e">
        <f>AND(Ischemia_singlenet_25percent_ou!B2061,"AAAAAHvsbyY=")</f>
        <v>#VALUE!</v>
      </c>
      <c r="AN25">
        <f>IF(Ischemia_singlenet_25percent_ou!2062:2062,"AAAAAHvsbyc=",0)</f>
        <v>0</v>
      </c>
      <c r="AO25" t="e">
        <f>AND(Ischemia_singlenet_25percent_ou!A2062,"AAAAAHvsbyg=")</f>
        <v>#VALUE!</v>
      </c>
      <c r="AP25" t="e">
        <f>AND(Ischemia_singlenet_25percent_ou!B2062,"AAAAAHvsbyk=")</f>
        <v>#VALUE!</v>
      </c>
      <c r="AQ25">
        <f>IF(Ischemia_singlenet_25percent_ou!2063:2063,"AAAAAHvsbyo=",0)</f>
        <v>0</v>
      </c>
      <c r="AR25" t="e">
        <f>AND(Ischemia_singlenet_25percent_ou!A2063,"AAAAAHvsbys=")</f>
        <v>#VALUE!</v>
      </c>
      <c r="AS25" t="e">
        <f>AND(Ischemia_singlenet_25percent_ou!B2063,"AAAAAHvsbyw=")</f>
        <v>#VALUE!</v>
      </c>
      <c r="AT25">
        <f>IF(Ischemia_singlenet_25percent_ou!2064:2064,"AAAAAHvsby0=",0)</f>
        <v>0</v>
      </c>
      <c r="AU25" t="e">
        <f>AND(Ischemia_singlenet_25percent_ou!A2064,"AAAAAHvsby4=")</f>
        <v>#VALUE!</v>
      </c>
      <c r="AV25" t="e">
        <f>AND(Ischemia_singlenet_25percent_ou!B2064,"AAAAAHvsby8=")</f>
        <v>#VALUE!</v>
      </c>
      <c r="AW25">
        <f>IF(Ischemia_singlenet_25percent_ou!2065:2065,"AAAAAHvsbzA=",0)</f>
        <v>0</v>
      </c>
      <c r="AX25" t="e">
        <f>AND(Ischemia_singlenet_25percent_ou!A2065,"AAAAAHvsbzE=")</f>
        <v>#VALUE!</v>
      </c>
      <c r="AY25" t="e">
        <f>AND(Ischemia_singlenet_25percent_ou!B2065,"AAAAAHvsbzI=")</f>
        <v>#VALUE!</v>
      </c>
      <c r="AZ25">
        <f>IF(Ischemia_singlenet_25percent_ou!2066:2066,"AAAAAHvsbzM=",0)</f>
        <v>0</v>
      </c>
      <c r="BA25" t="e">
        <f>AND(Ischemia_singlenet_25percent_ou!A2066,"AAAAAHvsbzQ=")</f>
        <v>#VALUE!</v>
      </c>
      <c r="BB25" t="e">
        <f>AND(Ischemia_singlenet_25percent_ou!B2066,"AAAAAHvsbzU=")</f>
        <v>#VALUE!</v>
      </c>
      <c r="BC25">
        <f>IF(Ischemia_singlenet_25percent_ou!2067:2067,"AAAAAHvsbzY=",0)</f>
        <v>0</v>
      </c>
      <c r="BD25" t="e">
        <f>AND(Ischemia_singlenet_25percent_ou!A2067,"AAAAAHvsbzc=")</f>
        <v>#VALUE!</v>
      </c>
      <c r="BE25" t="e">
        <f>AND(Ischemia_singlenet_25percent_ou!B2067,"AAAAAHvsbzg=")</f>
        <v>#VALUE!</v>
      </c>
      <c r="BF25">
        <f>IF(Ischemia_singlenet_25percent_ou!2068:2068,"AAAAAHvsbzk=",0)</f>
        <v>0</v>
      </c>
      <c r="BG25" t="e">
        <f>AND(Ischemia_singlenet_25percent_ou!A2068,"AAAAAHvsbzo=")</f>
        <v>#VALUE!</v>
      </c>
      <c r="BH25" t="e">
        <f>AND(Ischemia_singlenet_25percent_ou!B2068,"AAAAAHvsbzs=")</f>
        <v>#VALUE!</v>
      </c>
      <c r="BI25">
        <f>IF(Ischemia_singlenet_25percent_ou!2069:2069,"AAAAAHvsbzw=",0)</f>
        <v>0</v>
      </c>
      <c r="BJ25" t="e">
        <f>AND(Ischemia_singlenet_25percent_ou!A2069,"AAAAAHvsbz0=")</f>
        <v>#VALUE!</v>
      </c>
      <c r="BK25" t="e">
        <f>AND(Ischemia_singlenet_25percent_ou!B2069,"AAAAAHvsbz4=")</f>
        <v>#VALUE!</v>
      </c>
      <c r="BL25">
        <f>IF(Ischemia_singlenet_25percent_ou!2070:2070,"AAAAAHvsbz8=",0)</f>
        <v>0</v>
      </c>
      <c r="BM25" t="e">
        <f>AND(Ischemia_singlenet_25percent_ou!A2070,"AAAAAHvsb0A=")</f>
        <v>#VALUE!</v>
      </c>
      <c r="BN25" t="e">
        <f>AND(Ischemia_singlenet_25percent_ou!B2070,"AAAAAHvsb0E=")</f>
        <v>#VALUE!</v>
      </c>
      <c r="BO25">
        <f>IF(Ischemia_singlenet_25percent_ou!2071:2071,"AAAAAHvsb0I=",0)</f>
        <v>0</v>
      </c>
      <c r="BP25" t="e">
        <f>AND(Ischemia_singlenet_25percent_ou!A2071,"AAAAAHvsb0M=")</f>
        <v>#VALUE!</v>
      </c>
      <c r="BQ25" t="e">
        <f>AND(Ischemia_singlenet_25percent_ou!B2071,"AAAAAHvsb0Q=")</f>
        <v>#VALUE!</v>
      </c>
      <c r="BR25">
        <f>IF(Ischemia_singlenet_25percent_ou!2072:2072,"AAAAAHvsb0U=",0)</f>
        <v>0</v>
      </c>
      <c r="BS25" t="e">
        <f>AND(Ischemia_singlenet_25percent_ou!A2072,"AAAAAHvsb0Y=")</f>
        <v>#VALUE!</v>
      </c>
      <c r="BT25" t="e">
        <f>AND(Ischemia_singlenet_25percent_ou!B2072,"AAAAAHvsb0c=")</f>
        <v>#VALUE!</v>
      </c>
      <c r="BU25">
        <f>IF(Ischemia_singlenet_25percent_ou!2073:2073,"AAAAAHvsb0g=",0)</f>
        <v>0</v>
      </c>
      <c r="BV25" t="e">
        <f>AND(Ischemia_singlenet_25percent_ou!A2073,"AAAAAHvsb0k=")</f>
        <v>#VALUE!</v>
      </c>
      <c r="BW25" t="e">
        <f>AND(Ischemia_singlenet_25percent_ou!B2073,"AAAAAHvsb0o=")</f>
        <v>#VALUE!</v>
      </c>
      <c r="BX25">
        <f>IF(Ischemia_singlenet_25percent_ou!2074:2074,"AAAAAHvsb0s=",0)</f>
        <v>0</v>
      </c>
      <c r="BY25" t="e">
        <f>AND(Ischemia_singlenet_25percent_ou!A2074,"AAAAAHvsb0w=")</f>
        <v>#VALUE!</v>
      </c>
      <c r="BZ25" t="e">
        <f>AND(Ischemia_singlenet_25percent_ou!B2074,"AAAAAHvsb00=")</f>
        <v>#VALUE!</v>
      </c>
      <c r="CA25">
        <f>IF(Ischemia_singlenet_25percent_ou!2075:2075,"AAAAAHvsb04=",0)</f>
        <v>0</v>
      </c>
      <c r="CB25" t="e">
        <f>AND(Ischemia_singlenet_25percent_ou!A2075,"AAAAAHvsb08=")</f>
        <v>#VALUE!</v>
      </c>
      <c r="CC25" t="e">
        <f>AND(Ischemia_singlenet_25percent_ou!B2075,"AAAAAHvsb1A=")</f>
        <v>#VALUE!</v>
      </c>
      <c r="CD25">
        <f>IF(Ischemia_singlenet_25percent_ou!2076:2076,"AAAAAHvsb1E=",0)</f>
        <v>0</v>
      </c>
      <c r="CE25" t="e">
        <f>AND(Ischemia_singlenet_25percent_ou!A2076,"AAAAAHvsb1I=")</f>
        <v>#VALUE!</v>
      </c>
      <c r="CF25" t="e">
        <f>AND(Ischemia_singlenet_25percent_ou!B2076,"AAAAAHvsb1M=")</f>
        <v>#VALUE!</v>
      </c>
      <c r="CG25">
        <f>IF(Ischemia_singlenet_25percent_ou!2077:2077,"AAAAAHvsb1Q=",0)</f>
        <v>0</v>
      </c>
      <c r="CH25" t="e">
        <f>AND(Ischemia_singlenet_25percent_ou!A2077,"AAAAAHvsb1U=")</f>
        <v>#VALUE!</v>
      </c>
      <c r="CI25" t="e">
        <f>AND(Ischemia_singlenet_25percent_ou!B2077,"AAAAAHvsb1Y=")</f>
        <v>#VALUE!</v>
      </c>
      <c r="CJ25">
        <f>IF(Ischemia_singlenet_25percent_ou!2078:2078,"AAAAAHvsb1c=",0)</f>
        <v>0</v>
      </c>
      <c r="CK25" t="e">
        <f>AND(Ischemia_singlenet_25percent_ou!A2078,"AAAAAHvsb1g=")</f>
        <v>#VALUE!</v>
      </c>
      <c r="CL25" t="e">
        <f>AND(Ischemia_singlenet_25percent_ou!B2078,"AAAAAHvsb1k=")</f>
        <v>#VALUE!</v>
      </c>
      <c r="CM25">
        <f>IF(Ischemia_singlenet_25percent_ou!2079:2079,"AAAAAHvsb1o=",0)</f>
        <v>0</v>
      </c>
      <c r="CN25" t="e">
        <f>AND(Ischemia_singlenet_25percent_ou!A2079,"AAAAAHvsb1s=")</f>
        <v>#VALUE!</v>
      </c>
      <c r="CO25" t="e">
        <f>AND(Ischemia_singlenet_25percent_ou!B2079,"AAAAAHvsb1w=")</f>
        <v>#VALUE!</v>
      </c>
      <c r="CP25">
        <f>IF(Ischemia_singlenet_25percent_ou!2080:2080,"AAAAAHvsb10=",0)</f>
        <v>0</v>
      </c>
      <c r="CQ25" t="e">
        <f>AND(Ischemia_singlenet_25percent_ou!A2080,"AAAAAHvsb14=")</f>
        <v>#VALUE!</v>
      </c>
      <c r="CR25" t="e">
        <f>AND(Ischemia_singlenet_25percent_ou!B2080,"AAAAAHvsb18=")</f>
        <v>#VALUE!</v>
      </c>
      <c r="CS25">
        <f>IF(Ischemia_singlenet_25percent_ou!2081:2081,"AAAAAHvsb2A=",0)</f>
        <v>0</v>
      </c>
      <c r="CT25" t="e">
        <f>AND(Ischemia_singlenet_25percent_ou!A2081,"AAAAAHvsb2E=")</f>
        <v>#VALUE!</v>
      </c>
      <c r="CU25" t="e">
        <f>AND(Ischemia_singlenet_25percent_ou!B2081,"AAAAAHvsb2I=")</f>
        <v>#VALUE!</v>
      </c>
      <c r="CV25">
        <f>IF(Ischemia_singlenet_25percent_ou!2082:2082,"AAAAAHvsb2M=",0)</f>
        <v>0</v>
      </c>
      <c r="CW25" t="e">
        <f>AND(Ischemia_singlenet_25percent_ou!A2082,"AAAAAHvsb2Q=")</f>
        <v>#VALUE!</v>
      </c>
      <c r="CX25" t="e">
        <f>AND(Ischemia_singlenet_25percent_ou!B2082,"AAAAAHvsb2U=")</f>
        <v>#VALUE!</v>
      </c>
      <c r="CY25">
        <f>IF(Ischemia_singlenet_25percent_ou!2083:2083,"AAAAAHvsb2Y=",0)</f>
        <v>0</v>
      </c>
      <c r="CZ25" t="e">
        <f>AND(Ischemia_singlenet_25percent_ou!A2083,"AAAAAHvsb2c=")</f>
        <v>#VALUE!</v>
      </c>
      <c r="DA25" t="e">
        <f>AND(Ischemia_singlenet_25percent_ou!B2083,"AAAAAHvsb2g=")</f>
        <v>#VALUE!</v>
      </c>
      <c r="DB25">
        <f>IF(Ischemia_singlenet_25percent_ou!2084:2084,"AAAAAHvsb2k=",0)</f>
        <v>0</v>
      </c>
      <c r="DC25" t="e">
        <f>AND(Ischemia_singlenet_25percent_ou!A2084,"AAAAAHvsb2o=")</f>
        <v>#VALUE!</v>
      </c>
      <c r="DD25" t="e">
        <f>AND(Ischemia_singlenet_25percent_ou!B2084,"AAAAAHvsb2s=")</f>
        <v>#VALUE!</v>
      </c>
      <c r="DE25">
        <f>IF(Ischemia_singlenet_25percent_ou!2085:2085,"AAAAAHvsb2w=",0)</f>
        <v>0</v>
      </c>
      <c r="DF25" t="e">
        <f>AND(Ischemia_singlenet_25percent_ou!A2085,"AAAAAHvsb20=")</f>
        <v>#VALUE!</v>
      </c>
      <c r="DG25" t="e">
        <f>AND(Ischemia_singlenet_25percent_ou!B2085,"AAAAAHvsb24=")</f>
        <v>#VALUE!</v>
      </c>
      <c r="DH25">
        <f>IF(Ischemia_singlenet_25percent_ou!2086:2086,"AAAAAHvsb28=",0)</f>
        <v>0</v>
      </c>
      <c r="DI25" t="e">
        <f>AND(Ischemia_singlenet_25percent_ou!A2086,"AAAAAHvsb3A=")</f>
        <v>#VALUE!</v>
      </c>
      <c r="DJ25" t="e">
        <f>AND(Ischemia_singlenet_25percent_ou!B2086,"AAAAAHvsb3E=")</f>
        <v>#VALUE!</v>
      </c>
      <c r="DK25">
        <f>IF(Ischemia_singlenet_25percent_ou!2087:2087,"AAAAAHvsb3I=",0)</f>
        <v>0</v>
      </c>
      <c r="DL25" t="e">
        <f>AND(Ischemia_singlenet_25percent_ou!A2087,"AAAAAHvsb3M=")</f>
        <v>#VALUE!</v>
      </c>
      <c r="DM25" t="e">
        <f>AND(Ischemia_singlenet_25percent_ou!B2087,"AAAAAHvsb3Q=")</f>
        <v>#VALUE!</v>
      </c>
      <c r="DN25">
        <f>IF(Ischemia_singlenet_25percent_ou!2088:2088,"AAAAAHvsb3U=",0)</f>
        <v>0</v>
      </c>
      <c r="DO25" t="e">
        <f>AND(Ischemia_singlenet_25percent_ou!A2088,"AAAAAHvsb3Y=")</f>
        <v>#VALUE!</v>
      </c>
      <c r="DP25" t="e">
        <f>AND(Ischemia_singlenet_25percent_ou!B2088,"AAAAAHvsb3c=")</f>
        <v>#VALUE!</v>
      </c>
      <c r="DQ25">
        <f>IF(Ischemia_singlenet_25percent_ou!2089:2089,"AAAAAHvsb3g=",0)</f>
        <v>0</v>
      </c>
      <c r="DR25" t="e">
        <f>AND(Ischemia_singlenet_25percent_ou!A2089,"AAAAAHvsb3k=")</f>
        <v>#VALUE!</v>
      </c>
      <c r="DS25" t="e">
        <f>AND(Ischemia_singlenet_25percent_ou!B2089,"AAAAAHvsb3o=")</f>
        <v>#VALUE!</v>
      </c>
      <c r="DT25">
        <f>IF(Ischemia_singlenet_25percent_ou!2090:2090,"AAAAAHvsb3s=",0)</f>
        <v>0</v>
      </c>
      <c r="DU25" t="e">
        <f>AND(Ischemia_singlenet_25percent_ou!A2090,"AAAAAHvsb3w=")</f>
        <v>#VALUE!</v>
      </c>
      <c r="DV25" t="e">
        <f>AND(Ischemia_singlenet_25percent_ou!B2090,"AAAAAHvsb30=")</f>
        <v>#VALUE!</v>
      </c>
      <c r="DW25">
        <f>IF(Ischemia_singlenet_25percent_ou!2091:2091,"AAAAAHvsb34=",0)</f>
        <v>0</v>
      </c>
      <c r="DX25" t="e">
        <f>AND(Ischemia_singlenet_25percent_ou!A2091,"AAAAAHvsb38=")</f>
        <v>#VALUE!</v>
      </c>
      <c r="DY25" t="e">
        <f>AND(Ischemia_singlenet_25percent_ou!B2091,"AAAAAHvsb4A=")</f>
        <v>#VALUE!</v>
      </c>
      <c r="DZ25">
        <f>IF(Ischemia_singlenet_25percent_ou!2092:2092,"AAAAAHvsb4E=",0)</f>
        <v>0</v>
      </c>
      <c r="EA25" t="e">
        <f>AND(Ischemia_singlenet_25percent_ou!A2092,"AAAAAHvsb4I=")</f>
        <v>#VALUE!</v>
      </c>
      <c r="EB25" t="e">
        <f>AND(Ischemia_singlenet_25percent_ou!B2092,"AAAAAHvsb4M=")</f>
        <v>#VALUE!</v>
      </c>
      <c r="EC25">
        <f>IF(Ischemia_singlenet_25percent_ou!2093:2093,"AAAAAHvsb4Q=",0)</f>
        <v>0</v>
      </c>
      <c r="ED25" t="e">
        <f>AND(Ischemia_singlenet_25percent_ou!A2093,"AAAAAHvsb4U=")</f>
        <v>#VALUE!</v>
      </c>
      <c r="EE25" t="e">
        <f>AND(Ischemia_singlenet_25percent_ou!B2093,"AAAAAHvsb4Y=")</f>
        <v>#VALUE!</v>
      </c>
      <c r="EF25">
        <f>IF(Ischemia_singlenet_25percent_ou!2094:2094,"AAAAAHvsb4c=",0)</f>
        <v>0</v>
      </c>
      <c r="EG25" t="e">
        <f>AND(Ischemia_singlenet_25percent_ou!A2094,"AAAAAHvsb4g=")</f>
        <v>#VALUE!</v>
      </c>
      <c r="EH25" t="e">
        <f>AND(Ischemia_singlenet_25percent_ou!B2094,"AAAAAHvsb4k=")</f>
        <v>#VALUE!</v>
      </c>
      <c r="EI25">
        <f>IF(Ischemia_singlenet_25percent_ou!2095:2095,"AAAAAHvsb4o=",0)</f>
        <v>0</v>
      </c>
      <c r="EJ25" t="e">
        <f>AND(Ischemia_singlenet_25percent_ou!A2095,"AAAAAHvsb4s=")</f>
        <v>#VALUE!</v>
      </c>
      <c r="EK25" t="e">
        <f>AND(Ischemia_singlenet_25percent_ou!B2095,"AAAAAHvsb4w=")</f>
        <v>#VALUE!</v>
      </c>
      <c r="EL25">
        <f>IF(Ischemia_singlenet_25percent_ou!2096:2096,"AAAAAHvsb40=",0)</f>
        <v>0</v>
      </c>
      <c r="EM25" t="e">
        <f>AND(Ischemia_singlenet_25percent_ou!A2096,"AAAAAHvsb44=")</f>
        <v>#VALUE!</v>
      </c>
      <c r="EN25" t="e">
        <f>AND(Ischemia_singlenet_25percent_ou!B2096,"AAAAAHvsb48=")</f>
        <v>#VALUE!</v>
      </c>
      <c r="EO25">
        <f>IF(Ischemia_singlenet_25percent_ou!2097:2097,"AAAAAHvsb5A=",0)</f>
        <v>0</v>
      </c>
      <c r="EP25" t="e">
        <f>AND(Ischemia_singlenet_25percent_ou!A2097,"AAAAAHvsb5E=")</f>
        <v>#VALUE!</v>
      </c>
      <c r="EQ25" t="e">
        <f>AND(Ischemia_singlenet_25percent_ou!B2097,"AAAAAHvsb5I=")</f>
        <v>#VALUE!</v>
      </c>
      <c r="ER25">
        <f>IF(Ischemia_singlenet_25percent_ou!2098:2098,"AAAAAHvsb5M=",0)</f>
        <v>0</v>
      </c>
      <c r="ES25" t="e">
        <f>AND(Ischemia_singlenet_25percent_ou!A2098,"AAAAAHvsb5Q=")</f>
        <v>#VALUE!</v>
      </c>
      <c r="ET25" t="e">
        <f>AND(Ischemia_singlenet_25percent_ou!B2098,"AAAAAHvsb5U=")</f>
        <v>#VALUE!</v>
      </c>
      <c r="EU25">
        <f>IF(Ischemia_singlenet_25percent_ou!2099:2099,"AAAAAHvsb5Y=",0)</f>
        <v>0</v>
      </c>
      <c r="EV25" t="e">
        <f>AND(Ischemia_singlenet_25percent_ou!A2099,"AAAAAHvsb5c=")</f>
        <v>#VALUE!</v>
      </c>
      <c r="EW25" t="e">
        <f>AND(Ischemia_singlenet_25percent_ou!B2099,"AAAAAHvsb5g=")</f>
        <v>#VALUE!</v>
      </c>
      <c r="EX25">
        <f>IF(Ischemia_singlenet_25percent_ou!2100:2100,"AAAAAHvsb5k=",0)</f>
        <v>0</v>
      </c>
      <c r="EY25" t="e">
        <f>AND(Ischemia_singlenet_25percent_ou!A2100,"AAAAAHvsb5o=")</f>
        <v>#VALUE!</v>
      </c>
      <c r="EZ25" t="e">
        <f>AND(Ischemia_singlenet_25percent_ou!B2100,"AAAAAHvsb5s=")</f>
        <v>#VALUE!</v>
      </c>
      <c r="FA25">
        <f>IF(Ischemia_singlenet_25percent_ou!2101:2101,"AAAAAHvsb5w=",0)</f>
        <v>0</v>
      </c>
      <c r="FB25" t="e">
        <f>AND(Ischemia_singlenet_25percent_ou!A2101,"AAAAAHvsb50=")</f>
        <v>#VALUE!</v>
      </c>
      <c r="FC25" t="e">
        <f>AND(Ischemia_singlenet_25percent_ou!B2101,"AAAAAHvsb54=")</f>
        <v>#VALUE!</v>
      </c>
      <c r="FD25">
        <f>IF(Ischemia_singlenet_25percent_ou!2102:2102,"AAAAAHvsb58=",0)</f>
        <v>0</v>
      </c>
      <c r="FE25" t="e">
        <f>AND(Ischemia_singlenet_25percent_ou!A2102,"AAAAAHvsb6A=")</f>
        <v>#VALUE!</v>
      </c>
      <c r="FF25" t="e">
        <f>AND(Ischemia_singlenet_25percent_ou!B2102,"AAAAAHvsb6E=")</f>
        <v>#VALUE!</v>
      </c>
      <c r="FG25">
        <f>IF(Ischemia_singlenet_25percent_ou!2103:2103,"AAAAAHvsb6I=",0)</f>
        <v>0</v>
      </c>
      <c r="FH25" t="e">
        <f>AND(Ischemia_singlenet_25percent_ou!A2103,"AAAAAHvsb6M=")</f>
        <v>#VALUE!</v>
      </c>
      <c r="FI25" t="e">
        <f>AND(Ischemia_singlenet_25percent_ou!B2103,"AAAAAHvsb6Q=")</f>
        <v>#VALUE!</v>
      </c>
      <c r="FJ25">
        <f>IF(Ischemia_singlenet_25percent_ou!2104:2104,"AAAAAHvsb6U=",0)</f>
        <v>0</v>
      </c>
      <c r="FK25" t="e">
        <f>AND(Ischemia_singlenet_25percent_ou!A2104,"AAAAAHvsb6Y=")</f>
        <v>#VALUE!</v>
      </c>
      <c r="FL25" t="e">
        <f>AND(Ischemia_singlenet_25percent_ou!B2104,"AAAAAHvsb6c=")</f>
        <v>#VALUE!</v>
      </c>
      <c r="FM25">
        <f>IF(Ischemia_singlenet_25percent_ou!2105:2105,"AAAAAHvsb6g=",0)</f>
        <v>0</v>
      </c>
      <c r="FN25" t="e">
        <f>AND(Ischemia_singlenet_25percent_ou!A2105,"AAAAAHvsb6k=")</f>
        <v>#VALUE!</v>
      </c>
      <c r="FO25" t="e">
        <f>AND(Ischemia_singlenet_25percent_ou!B2105,"AAAAAHvsb6o=")</f>
        <v>#VALUE!</v>
      </c>
      <c r="FP25">
        <f>IF(Ischemia_singlenet_25percent_ou!2106:2106,"AAAAAHvsb6s=",0)</f>
        <v>0</v>
      </c>
      <c r="FQ25" t="e">
        <f>AND(Ischemia_singlenet_25percent_ou!A2106,"AAAAAHvsb6w=")</f>
        <v>#VALUE!</v>
      </c>
      <c r="FR25" t="e">
        <f>AND(Ischemia_singlenet_25percent_ou!B2106,"AAAAAHvsb60=")</f>
        <v>#VALUE!</v>
      </c>
      <c r="FS25">
        <f>IF(Ischemia_singlenet_25percent_ou!2107:2107,"AAAAAHvsb64=",0)</f>
        <v>0</v>
      </c>
      <c r="FT25" t="e">
        <f>AND(Ischemia_singlenet_25percent_ou!A2107,"AAAAAHvsb68=")</f>
        <v>#VALUE!</v>
      </c>
      <c r="FU25" t="e">
        <f>AND(Ischemia_singlenet_25percent_ou!B2107,"AAAAAHvsb7A=")</f>
        <v>#VALUE!</v>
      </c>
      <c r="FV25">
        <f>IF(Ischemia_singlenet_25percent_ou!2108:2108,"AAAAAHvsb7E=",0)</f>
        <v>0</v>
      </c>
      <c r="FW25" t="e">
        <f>AND(Ischemia_singlenet_25percent_ou!A2108,"AAAAAHvsb7I=")</f>
        <v>#VALUE!</v>
      </c>
      <c r="FX25" t="e">
        <f>AND(Ischemia_singlenet_25percent_ou!B2108,"AAAAAHvsb7M=")</f>
        <v>#VALUE!</v>
      </c>
      <c r="FY25">
        <f>IF(Ischemia_singlenet_25percent_ou!2109:2109,"AAAAAHvsb7Q=",0)</f>
        <v>0</v>
      </c>
      <c r="FZ25" t="e">
        <f>AND(Ischemia_singlenet_25percent_ou!A2109,"AAAAAHvsb7U=")</f>
        <v>#VALUE!</v>
      </c>
      <c r="GA25" t="e">
        <f>AND(Ischemia_singlenet_25percent_ou!B2109,"AAAAAHvsb7Y=")</f>
        <v>#VALUE!</v>
      </c>
      <c r="GB25">
        <f>IF(Ischemia_singlenet_25percent_ou!2110:2110,"AAAAAHvsb7c=",0)</f>
        <v>0</v>
      </c>
      <c r="GC25" t="e">
        <f>AND(Ischemia_singlenet_25percent_ou!A2110,"AAAAAHvsb7g=")</f>
        <v>#VALUE!</v>
      </c>
      <c r="GD25" t="e">
        <f>AND(Ischemia_singlenet_25percent_ou!B2110,"AAAAAHvsb7k=")</f>
        <v>#VALUE!</v>
      </c>
      <c r="GE25">
        <f>IF(Ischemia_singlenet_25percent_ou!2111:2111,"AAAAAHvsb7o=",0)</f>
        <v>0</v>
      </c>
      <c r="GF25" t="e">
        <f>AND(Ischemia_singlenet_25percent_ou!A2111,"AAAAAHvsb7s=")</f>
        <v>#VALUE!</v>
      </c>
      <c r="GG25" t="e">
        <f>AND(Ischemia_singlenet_25percent_ou!B2111,"AAAAAHvsb7w=")</f>
        <v>#VALUE!</v>
      </c>
      <c r="GH25">
        <f>IF(Ischemia_singlenet_25percent_ou!2112:2112,"AAAAAHvsb70=",0)</f>
        <v>0</v>
      </c>
      <c r="GI25" t="e">
        <f>AND(Ischemia_singlenet_25percent_ou!A2112,"AAAAAHvsb74=")</f>
        <v>#VALUE!</v>
      </c>
      <c r="GJ25" t="e">
        <f>AND(Ischemia_singlenet_25percent_ou!B2112,"AAAAAHvsb78=")</f>
        <v>#VALUE!</v>
      </c>
      <c r="GK25">
        <f>IF(Ischemia_singlenet_25percent_ou!2113:2113,"AAAAAHvsb8A=",0)</f>
        <v>0</v>
      </c>
      <c r="GL25" t="e">
        <f>AND(Ischemia_singlenet_25percent_ou!A2113,"AAAAAHvsb8E=")</f>
        <v>#VALUE!</v>
      </c>
      <c r="GM25" t="e">
        <f>AND(Ischemia_singlenet_25percent_ou!B2113,"AAAAAHvsb8I=")</f>
        <v>#VALUE!</v>
      </c>
      <c r="GN25">
        <f>IF(Ischemia_singlenet_25percent_ou!2114:2114,"AAAAAHvsb8M=",0)</f>
        <v>0</v>
      </c>
      <c r="GO25" t="e">
        <f>AND(Ischemia_singlenet_25percent_ou!A2114,"AAAAAHvsb8Q=")</f>
        <v>#VALUE!</v>
      </c>
      <c r="GP25" t="e">
        <f>AND(Ischemia_singlenet_25percent_ou!B2114,"AAAAAHvsb8U=")</f>
        <v>#VALUE!</v>
      </c>
      <c r="GQ25">
        <f>IF(Ischemia_singlenet_25percent_ou!2115:2115,"AAAAAHvsb8Y=",0)</f>
        <v>0</v>
      </c>
      <c r="GR25" t="e">
        <f>AND(Ischemia_singlenet_25percent_ou!A2115,"AAAAAHvsb8c=")</f>
        <v>#VALUE!</v>
      </c>
      <c r="GS25" t="e">
        <f>AND(Ischemia_singlenet_25percent_ou!B2115,"AAAAAHvsb8g=")</f>
        <v>#VALUE!</v>
      </c>
      <c r="GT25">
        <f>IF(Ischemia_singlenet_25percent_ou!2116:2116,"AAAAAHvsb8k=",0)</f>
        <v>0</v>
      </c>
      <c r="GU25" t="e">
        <f>AND(Ischemia_singlenet_25percent_ou!A2116,"AAAAAHvsb8o=")</f>
        <v>#VALUE!</v>
      </c>
      <c r="GV25" t="e">
        <f>AND(Ischemia_singlenet_25percent_ou!B2116,"AAAAAHvsb8s=")</f>
        <v>#VALUE!</v>
      </c>
      <c r="GW25">
        <f>IF(Ischemia_singlenet_25percent_ou!2117:2117,"AAAAAHvsb8w=",0)</f>
        <v>0</v>
      </c>
      <c r="GX25" t="e">
        <f>AND(Ischemia_singlenet_25percent_ou!A2117,"AAAAAHvsb80=")</f>
        <v>#VALUE!</v>
      </c>
      <c r="GY25" t="e">
        <f>AND(Ischemia_singlenet_25percent_ou!B2117,"AAAAAHvsb84=")</f>
        <v>#VALUE!</v>
      </c>
      <c r="GZ25">
        <f>IF(Ischemia_singlenet_25percent_ou!2118:2118,"AAAAAHvsb88=",0)</f>
        <v>0</v>
      </c>
      <c r="HA25" t="e">
        <f>AND(Ischemia_singlenet_25percent_ou!A2118,"AAAAAHvsb9A=")</f>
        <v>#VALUE!</v>
      </c>
      <c r="HB25" t="e">
        <f>AND(Ischemia_singlenet_25percent_ou!B2118,"AAAAAHvsb9E=")</f>
        <v>#VALUE!</v>
      </c>
      <c r="HC25">
        <f>IF(Ischemia_singlenet_25percent_ou!2119:2119,"AAAAAHvsb9I=",0)</f>
        <v>0</v>
      </c>
      <c r="HD25" t="e">
        <f>AND(Ischemia_singlenet_25percent_ou!A2119,"AAAAAHvsb9M=")</f>
        <v>#VALUE!</v>
      </c>
      <c r="HE25" t="e">
        <f>AND(Ischemia_singlenet_25percent_ou!B2119,"AAAAAHvsb9Q=")</f>
        <v>#VALUE!</v>
      </c>
      <c r="HF25">
        <f>IF(Ischemia_singlenet_25percent_ou!2120:2120,"AAAAAHvsb9U=",0)</f>
        <v>0</v>
      </c>
      <c r="HG25" t="e">
        <f>AND(Ischemia_singlenet_25percent_ou!A2120,"AAAAAHvsb9Y=")</f>
        <v>#VALUE!</v>
      </c>
      <c r="HH25" t="e">
        <f>AND(Ischemia_singlenet_25percent_ou!B2120,"AAAAAHvsb9c=")</f>
        <v>#VALUE!</v>
      </c>
      <c r="HI25">
        <f>IF(Ischemia_singlenet_25percent_ou!2121:2121,"AAAAAHvsb9g=",0)</f>
        <v>0</v>
      </c>
      <c r="HJ25" t="e">
        <f>AND(Ischemia_singlenet_25percent_ou!A2121,"AAAAAHvsb9k=")</f>
        <v>#VALUE!</v>
      </c>
      <c r="HK25" t="e">
        <f>AND(Ischemia_singlenet_25percent_ou!B2121,"AAAAAHvsb9o=")</f>
        <v>#VALUE!</v>
      </c>
      <c r="HL25">
        <f>IF(Ischemia_singlenet_25percent_ou!2122:2122,"AAAAAHvsb9s=",0)</f>
        <v>0</v>
      </c>
      <c r="HM25" t="e">
        <f>AND(Ischemia_singlenet_25percent_ou!A2122,"AAAAAHvsb9w=")</f>
        <v>#VALUE!</v>
      </c>
      <c r="HN25" t="e">
        <f>AND(Ischemia_singlenet_25percent_ou!B2122,"AAAAAHvsb90=")</f>
        <v>#VALUE!</v>
      </c>
      <c r="HO25">
        <f>IF(Ischemia_singlenet_25percent_ou!2123:2123,"AAAAAHvsb94=",0)</f>
        <v>0</v>
      </c>
      <c r="HP25" t="e">
        <f>AND(Ischemia_singlenet_25percent_ou!A2123,"AAAAAHvsb98=")</f>
        <v>#VALUE!</v>
      </c>
      <c r="HQ25" t="e">
        <f>AND(Ischemia_singlenet_25percent_ou!B2123,"AAAAAHvsb+A=")</f>
        <v>#VALUE!</v>
      </c>
      <c r="HR25">
        <f>IF(Ischemia_singlenet_25percent_ou!2124:2124,"AAAAAHvsb+E=",0)</f>
        <v>0</v>
      </c>
      <c r="HS25" t="e">
        <f>AND(Ischemia_singlenet_25percent_ou!A2124,"AAAAAHvsb+I=")</f>
        <v>#VALUE!</v>
      </c>
      <c r="HT25" t="e">
        <f>AND(Ischemia_singlenet_25percent_ou!B2124,"AAAAAHvsb+M=")</f>
        <v>#VALUE!</v>
      </c>
      <c r="HU25">
        <f>IF(Ischemia_singlenet_25percent_ou!2125:2125,"AAAAAHvsb+Q=",0)</f>
        <v>0</v>
      </c>
      <c r="HV25" t="e">
        <f>AND(Ischemia_singlenet_25percent_ou!A2125,"AAAAAHvsb+U=")</f>
        <v>#VALUE!</v>
      </c>
      <c r="HW25" t="e">
        <f>AND(Ischemia_singlenet_25percent_ou!B2125,"AAAAAHvsb+Y=")</f>
        <v>#VALUE!</v>
      </c>
      <c r="HX25">
        <f>IF(Ischemia_singlenet_25percent_ou!2126:2126,"AAAAAHvsb+c=",0)</f>
        <v>0</v>
      </c>
      <c r="HY25" t="e">
        <f>AND(Ischemia_singlenet_25percent_ou!A2126,"AAAAAHvsb+g=")</f>
        <v>#VALUE!</v>
      </c>
      <c r="HZ25" t="e">
        <f>AND(Ischemia_singlenet_25percent_ou!B2126,"AAAAAHvsb+k=")</f>
        <v>#VALUE!</v>
      </c>
      <c r="IA25">
        <f>IF(Ischemia_singlenet_25percent_ou!2127:2127,"AAAAAHvsb+o=",0)</f>
        <v>0</v>
      </c>
      <c r="IB25" t="e">
        <f>AND(Ischemia_singlenet_25percent_ou!A2127,"AAAAAHvsb+s=")</f>
        <v>#VALUE!</v>
      </c>
      <c r="IC25" t="e">
        <f>AND(Ischemia_singlenet_25percent_ou!B2127,"AAAAAHvsb+w=")</f>
        <v>#VALUE!</v>
      </c>
      <c r="ID25">
        <f>IF(Ischemia_singlenet_25percent_ou!2128:2128,"AAAAAHvsb+0=",0)</f>
        <v>0</v>
      </c>
      <c r="IE25" t="e">
        <f>AND(Ischemia_singlenet_25percent_ou!A2128,"AAAAAHvsb+4=")</f>
        <v>#VALUE!</v>
      </c>
      <c r="IF25" t="e">
        <f>AND(Ischemia_singlenet_25percent_ou!B2128,"AAAAAHvsb+8=")</f>
        <v>#VALUE!</v>
      </c>
      <c r="IG25">
        <f>IF(Ischemia_singlenet_25percent_ou!2129:2129,"AAAAAHvsb/A=",0)</f>
        <v>0</v>
      </c>
      <c r="IH25" t="e">
        <f>AND(Ischemia_singlenet_25percent_ou!A2129,"AAAAAHvsb/E=")</f>
        <v>#VALUE!</v>
      </c>
      <c r="II25" t="e">
        <f>AND(Ischemia_singlenet_25percent_ou!B2129,"AAAAAHvsb/I=")</f>
        <v>#VALUE!</v>
      </c>
      <c r="IJ25">
        <f>IF(Ischemia_singlenet_25percent_ou!2130:2130,"AAAAAHvsb/M=",0)</f>
        <v>0</v>
      </c>
      <c r="IK25" t="e">
        <f>AND(Ischemia_singlenet_25percent_ou!A2130,"AAAAAHvsb/Q=")</f>
        <v>#VALUE!</v>
      </c>
      <c r="IL25" t="e">
        <f>AND(Ischemia_singlenet_25percent_ou!B2130,"AAAAAHvsb/U=")</f>
        <v>#VALUE!</v>
      </c>
      <c r="IM25">
        <f>IF(Ischemia_singlenet_25percent_ou!2131:2131,"AAAAAHvsb/Y=",0)</f>
        <v>0</v>
      </c>
      <c r="IN25" t="e">
        <f>AND(Ischemia_singlenet_25percent_ou!A2131,"AAAAAHvsb/c=")</f>
        <v>#VALUE!</v>
      </c>
      <c r="IO25" t="e">
        <f>AND(Ischemia_singlenet_25percent_ou!B2131,"AAAAAHvsb/g=")</f>
        <v>#VALUE!</v>
      </c>
      <c r="IP25">
        <f>IF(Ischemia_singlenet_25percent_ou!2132:2132,"AAAAAHvsb/k=",0)</f>
        <v>0</v>
      </c>
      <c r="IQ25" t="e">
        <f>AND(Ischemia_singlenet_25percent_ou!A2132,"AAAAAHvsb/o=")</f>
        <v>#VALUE!</v>
      </c>
      <c r="IR25" t="e">
        <f>AND(Ischemia_singlenet_25percent_ou!B2132,"AAAAAHvsb/s=")</f>
        <v>#VALUE!</v>
      </c>
      <c r="IS25">
        <f>IF(Ischemia_singlenet_25percent_ou!2133:2133,"AAAAAHvsb/w=",0)</f>
        <v>0</v>
      </c>
      <c r="IT25" t="e">
        <f>AND(Ischemia_singlenet_25percent_ou!A2133,"AAAAAHvsb/0=")</f>
        <v>#VALUE!</v>
      </c>
      <c r="IU25" t="e">
        <f>AND(Ischemia_singlenet_25percent_ou!B2133,"AAAAAHvsb/4=")</f>
        <v>#VALUE!</v>
      </c>
      <c r="IV25">
        <f>IF(Ischemia_singlenet_25percent_ou!2134:2134,"AAAAAHvsb/8=",0)</f>
        <v>0</v>
      </c>
    </row>
    <row r="26" spans="1:256">
      <c r="A26" t="e">
        <f>AND(Ischemia_singlenet_25percent_ou!A2134,"AAAAAHbx/wA=")</f>
        <v>#VALUE!</v>
      </c>
      <c r="B26" t="e">
        <f>AND(Ischemia_singlenet_25percent_ou!B2134,"AAAAAHbx/wE=")</f>
        <v>#VALUE!</v>
      </c>
      <c r="C26">
        <f>IF(Ischemia_singlenet_25percent_ou!2135:2135,"AAAAAHbx/wI=",0)</f>
        <v>0</v>
      </c>
      <c r="D26" t="e">
        <f>AND(Ischemia_singlenet_25percent_ou!A2135,"AAAAAHbx/wM=")</f>
        <v>#VALUE!</v>
      </c>
      <c r="E26" t="e">
        <f>AND(Ischemia_singlenet_25percent_ou!B2135,"AAAAAHbx/wQ=")</f>
        <v>#VALUE!</v>
      </c>
      <c r="F26">
        <f>IF(Ischemia_singlenet_25percent_ou!2136:2136,"AAAAAHbx/wU=",0)</f>
        <v>0</v>
      </c>
      <c r="G26" t="e">
        <f>AND(Ischemia_singlenet_25percent_ou!A2136,"AAAAAHbx/wY=")</f>
        <v>#VALUE!</v>
      </c>
      <c r="H26" t="e">
        <f>AND(Ischemia_singlenet_25percent_ou!B2136,"AAAAAHbx/wc=")</f>
        <v>#VALUE!</v>
      </c>
      <c r="I26">
        <f>IF(Ischemia_singlenet_25percent_ou!2137:2137,"AAAAAHbx/wg=",0)</f>
        <v>0</v>
      </c>
      <c r="J26" t="e">
        <f>AND(Ischemia_singlenet_25percent_ou!A2137,"AAAAAHbx/wk=")</f>
        <v>#VALUE!</v>
      </c>
      <c r="K26" t="e">
        <f>AND(Ischemia_singlenet_25percent_ou!B2137,"AAAAAHbx/wo=")</f>
        <v>#VALUE!</v>
      </c>
      <c r="L26">
        <f>IF(Ischemia_singlenet_25percent_ou!2138:2138,"AAAAAHbx/ws=",0)</f>
        <v>0</v>
      </c>
      <c r="M26" t="e">
        <f>AND(Ischemia_singlenet_25percent_ou!A2138,"AAAAAHbx/ww=")</f>
        <v>#VALUE!</v>
      </c>
      <c r="N26" t="e">
        <f>AND(Ischemia_singlenet_25percent_ou!B2138,"AAAAAHbx/w0=")</f>
        <v>#VALUE!</v>
      </c>
      <c r="O26">
        <f>IF(Ischemia_singlenet_25percent_ou!2139:2139,"AAAAAHbx/w4=",0)</f>
        <v>0</v>
      </c>
      <c r="P26" t="e">
        <f>AND(Ischemia_singlenet_25percent_ou!A2139,"AAAAAHbx/w8=")</f>
        <v>#VALUE!</v>
      </c>
      <c r="Q26" t="e">
        <f>AND(Ischemia_singlenet_25percent_ou!B2139,"AAAAAHbx/xA=")</f>
        <v>#VALUE!</v>
      </c>
      <c r="R26">
        <f>IF(Ischemia_singlenet_25percent_ou!2140:2140,"AAAAAHbx/xE=",0)</f>
        <v>0</v>
      </c>
      <c r="S26" t="e">
        <f>AND(Ischemia_singlenet_25percent_ou!A2140,"AAAAAHbx/xI=")</f>
        <v>#VALUE!</v>
      </c>
      <c r="T26" t="e">
        <f>AND(Ischemia_singlenet_25percent_ou!B2140,"AAAAAHbx/xM=")</f>
        <v>#VALUE!</v>
      </c>
      <c r="U26">
        <f>IF(Ischemia_singlenet_25percent_ou!2141:2141,"AAAAAHbx/xQ=",0)</f>
        <v>0</v>
      </c>
      <c r="V26" t="e">
        <f>AND(Ischemia_singlenet_25percent_ou!A2141,"AAAAAHbx/xU=")</f>
        <v>#VALUE!</v>
      </c>
      <c r="W26" t="e">
        <f>AND(Ischemia_singlenet_25percent_ou!B2141,"AAAAAHbx/xY=")</f>
        <v>#VALUE!</v>
      </c>
      <c r="X26">
        <f>IF(Ischemia_singlenet_25percent_ou!2142:2142,"AAAAAHbx/xc=",0)</f>
        <v>0</v>
      </c>
      <c r="Y26" t="e">
        <f>AND(Ischemia_singlenet_25percent_ou!A2142,"AAAAAHbx/xg=")</f>
        <v>#VALUE!</v>
      </c>
      <c r="Z26" t="e">
        <f>AND(Ischemia_singlenet_25percent_ou!B2142,"AAAAAHbx/xk=")</f>
        <v>#VALUE!</v>
      </c>
      <c r="AA26">
        <f>IF(Ischemia_singlenet_25percent_ou!2143:2143,"AAAAAHbx/xo=",0)</f>
        <v>0</v>
      </c>
      <c r="AB26" t="e">
        <f>AND(Ischemia_singlenet_25percent_ou!A2143,"AAAAAHbx/xs=")</f>
        <v>#VALUE!</v>
      </c>
      <c r="AC26" t="e">
        <f>AND(Ischemia_singlenet_25percent_ou!B2143,"AAAAAHbx/xw=")</f>
        <v>#VALUE!</v>
      </c>
      <c r="AD26">
        <f>IF(Ischemia_singlenet_25percent_ou!2144:2144,"AAAAAHbx/x0=",0)</f>
        <v>0</v>
      </c>
      <c r="AE26" t="e">
        <f>AND(Ischemia_singlenet_25percent_ou!A2144,"AAAAAHbx/x4=")</f>
        <v>#VALUE!</v>
      </c>
      <c r="AF26" t="e">
        <f>AND(Ischemia_singlenet_25percent_ou!B2144,"AAAAAHbx/x8=")</f>
        <v>#VALUE!</v>
      </c>
      <c r="AG26">
        <f>IF(Ischemia_singlenet_25percent_ou!2145:2145,"AAAAAHbx/yA=",0)</f>
        <v>0</v>
      </c>
      <c r="AH26" t="e">
        <f>AND(Ischemia_singlenet_25percent_ou!A2145,"AAAAAHbx/yE=")</f>
        <v>#VALUE!</v>
      </c>
      <c r="AI26" t="e">
        <f>AND(Ischemia_singlenet_25percent_ou!B2145,"AAAAAHbx/yI=")</f>
        <v>#VALUE!</v>
      </c>
      <c r="AJ26">
        <f>IF(Ischemia_singlenet_25percent_ou!2146:2146,"AAAAAHbx/yM=",0)</f>
        <v>0</v>
      </c>
      <c r="AK26" t="e">
        <f>AND(Ischemia_singlenet_25percent_ou!A2146,"AAAAAHbx/yQ=")</f>
        <v>#VALUE!</v>
      </c>
      <c r="AL26" t="e">
        <f>AND(Ischemia_singlenet_25percent_ou!B2146,"AAAAAHbx/yU=")</f>
        <v>#VALUE!</v>
      </c>
      <c r="AM26">
        <f>IF(Ischemia_singlenet_25percent_ou!2147:2147,"AAAAAHbx/yY=",0)</f>
        <v>0</v>
      </c>
      <c r="AN26" t="e">
        <f>AND(Ischemia_singlenet_25percent_ou!A2147,"AAAAAHbx/yc=")</f>
        <v>#VALUE!</v>
      </c>
      <c r="AO26" t="e">
        <f>AND(Ischemia_singlenet_25percent_ou!B2147,"AAAAAHbx/yg=")</f>
        <v>#VALUE!</v>
      </c>
      <c r="AP26">
        <f>IF(Ischemia_singlenet_25percent_ou!2148:2148,"AAAAAHbx/yk=",0)</f>
        <v>0</v>
      </c>
      <c r="AQ26" t="e">
        <f>AND(Ischemia_singlenet_25percent_ou!A2148,"AAAAAHbx/yo=")</f>
        <v>#VALUE!</v>
      </c>
      <c r="AR26" t="e">
        <f>AND(Ischemia_singlenet_25percent_ou!B2148,"AAAAAHbx/ys=")</f>
        <v>#VALUE!</v>
      </c>
      <c r="AS26">
        <f>IF(Ischemia_singlenet_25percent_ou!2149:2149,"AAAAAHbx/yw=",0)</f>
        <v>0</v>
      </c>
      <c r="AT26" t="e">
        <f>AND(Ischemia_singlenet_25percent_ou!A2149,"AAAAAHbx/y0=")</f>
        <v>#VALUE!</v>
      </c>
      <c r="AU26" t="e">
        <f>AND(Ischemia_singlenet_25percent_ou!B2149,"AAAAAHbx/y4=")</f>
        <v>#VALUE!</v>
      </c>
      <c r="AV26">
        <f>IF(Ischemia_singlenet_25percent_ou!2150:2150,"AAAAAHbx/y8=",0)</f>
        <v>0</v>
      </c>
      <c r="AW26" t="e">
        <f>AND(Ischemia_singlenet_25percent_ou!A2150,"AAAAAHbx/zA=")</f>
        <v>#VALUE!</v>
      </c>
      <c r="AX26" t="e">
        <f>AND(Ischemia_singlenet_25percent_ou!B2150,"AAAAAHbx/zE=")</f>
        <v>#VALUE!</v>
      </c>
      <c r="AY26">
        <f>IF(Ischemia_singlenet_25percent_ou!2151:2151,"AAAAAHbx/zI=",0)</f>
        <v>0</v>
      </c>
      <c r="AZ26" t="e">
        <f>AND(Ischemia_singlenet_25percent_ou!A2151,"AAAAAHbx/zM=")</f>
        <v>#VALUE!</v>
      </c>
      <c r="BA26" t="e">
        <f>AND(Ischemia_singlenet_25percent_ou!B2151,"AAAAAHbx/zQ=")</f>
        <v>#VALUE!</v>
      </c>
      <c r="BB26">
        <f>IF(Ischemia_singlenet_25percent_ou!2152:2152,"AAAAAHbx/zU=",0)</f>
        <v>0</v>
      </c>
      <c r="BC26" t="e">
        <f>AND(Ischemia_singlenet_25percent_ou!A2152,"AAAAAHbx/zY=")</f>
        <v>#VALUE!</v>
      </c>
      <c r="BD26" t="e">
        <f>AND(Ischemia_singlenet_25percent_ou!B2152,"AAAAAHbx/zc=")</f>
        <v>#VALUE!</v>
      </c>
      <c r="BE26">
        <f>IF(Ischemia_singlenet_25percent_ou!2153:2153,"AAAAAHbx/zg=",0)</f>
        <v>0</v>
      </c>
      <c r="BF26" t="e">
        <f>AND(Ischemia_singlenet_25percent_ou!A2153,"AAAAAHbx/zk=")</f>
        <v>#VALUE!</v>
      </c>
      <c r="BG26" t="e">
        <f>AND(Ischemia_singlenet_25percent_ou!B2153,"AAAAAHbx/zo=")</f>
        <v>#VALUE!</v>
      </c>
      <c r="BH26">
        <f>IF(Ischemia_singlenet_25percent_ou!2154:2154,"AAAAAHbx/zs=",0)</f>
        <v>0</v>
      </c>
      <c r="BI26" t="e">
        <f>AND(Ischemia_singlenet_25percent_ou!A2154,"AAAAAHbx/zw=")</f>
        <v>#VALUE!</v>
      </c>
      <c r="BJ26" t="e">
        <f>AND(Ischemia_singlenet_25percent_ou!B2154,"AAAAAHbx/z0=")</f>
        <v>#VALUE!</v>
      </c>
      <c r="BK26">
        <f>IF(Ischemia_singlenet_25percent_ou!2155:2155,"AAAAAHbx/z4=",0)</f>
        <v>0</v>
      </c>
      <c r="BL26" t="e">
        <f>AND(Ischemia_singlenet_25percent_ou!A2155,"AAAAAHbx/z8=")</f>
        <v>#VALUE!</v>
      </c>
      <c r="BM26" t="e">
        <f>AND(Ischemia_singlenet_25percent_ou!B2155,"AAAAAHbx/0A=")</f>
        <v>#VALUE!</v>
      </c>
      <c r="BN26">
        <f>IF(Ischemia_singlenet_25percent_ou!2156:2156,"AAAAAHbx/0E=",0)</f>
        <v>0</v>
      </c>
      <c r="BO26" t="e">
        <f>AND(Ischemia_singlenet_25percent_ou!A2156,"AAAAAHbx/0I=")</f>
        <v>#VALUE!</v>
      </c>
      <c r="BP26" t="e">
        <f>AND(Ischemia_singlenet_25percent_ou!B2156,"AAAAAHbx/0M=")</f>
        <v>#VALUE!</v>
      </c>
      <c r="BQ26">
        <f>IF(Ischemia_singlenet_25percent_ou!2157:2157,"AAAAAHbx/0Q=",0)</f>
        <v>0</v>
      </c>
      <c r="BR26" t="e">
        <f>AND(Ischemia_singlenet_25percent_ou!A2157,"AAAAAHbx/0U=")</f>
        <v>#VALUE!</v>
      </c>
      <c r="BS26" t="e">
        <f>AND(Ischemia_singlenet_25percent_ou!B2157,"AAAAAHbx/0Y=")</f>
        <v>#VALUE!</v>
      </c>
      <c r="BT26">
        <f>IF(Ischemia_singlenet_25percent_ou!2158:2158,"AAAAAHbx/0c=",0)</f>
        <v>0</v>
      </c>
      <c r="BU26" t="e">
        <f>AND(Ischemia_singlenet_25percent_ou!A2158,"AAAAAHbx/0g=")</f>
        <v>#VALUE!</v>
      </c>
      <c r="BV26" t="e">
        <f>AND(Ischemia_singlenet_25percent_ou!B2158,"AAAAAHbx/0k=")</f>
        <v>#VALUE!</v>
      </c>
      <c r="BW26">
        <f>IF(Ischemia_singlenet_25percent_ou!2159:2159,"AAAAAHbx/0o=",0)</f>
        <v>0</v>
      </c>
      <c r="BX26" t="e">
        <f>AND(Ischemia_singlenet_25percent_ou!A2159,"AAAAAHbx/0s=")</f>
        <v>#VALUE!</v>
      </c>
      <c r="BY26" t="e">
        <f>AND(Ischemia_singlenet_25percent_ou!B2159,"AAAAAHbx/0w=")</f>
        <v>#VALUE!</v>
      </c>
      <c r="BZ26">
        <f>IF(Ischemia_singlenet_25percent_ou!2160:2160,"AAAAAHbx/00=",0)</f>
        <v>0</v>
      </c>
      <c r="CA26" t="e">
        <f>AND(Ischemia_singlenet_25percent_ou!A2160,"AAAAAHbx/04=")</f>
        <v>#VALUE!</v>
      </c>
      <c r="CB26" t="e">
        <f>AND(Ischemia_singlenet_25percent_ou!B2160,"AAAAAHbx/08=")</f>
        <v>#VALUE!</v>
      </c>
      <c r="CC26">
        <f>IF(Ischemia_singlenet_25percent_ou!2161:2161,"AAAAAHbx/1A=",0)</f>
        <v>0</v>
      </c>
      <c r="CD26" t="e">
        <f>AND(Ischemia_singlenet_25percent_ou!A2161,"AAAAAHbx/1E=")</f>
        <v>#VALUE!</v>
      </c>
      <c r="CE26" t="e">
        <f>AND(Ischemia_singlenet_25percent_ou!B2161,"AAAAAHbx/1I=")</f>
        <v>#VALUE!</v>
      </c>
      <c r="CF26">
        <f>IF(Ischemia_singlenet_25percent_ou!2162:2162,"AAAAAHbx/1M=",0)</f>
        <v>0</v>
      </c>
      <c r="CG26" t="e">
        <f>AND(Ischemia_singlenet_25percent_ou!A2162,"AAAAAHbx/1Q=")</f>
        <v>#VALUE!</v>
      </c>
      <c r="CH26" t="e">
        <f>AND(Ischemia_singlenet_25percent_ou!B2162,"AAAAAHbx/1U=")</f>
        <v>#VALUE!</v>
      </c>
      <c r="CI26">
        <f>IF(Ischemia_singlenet_25percent_ou!2163:2163,"AAAAAHbx/1Y=",0)</f>
        <v>0</v>
      </c>
      <c r="CJ26" t="e">
        <f>AND(Ischemia_singlenet_25percent_ou!A2163,"AAAAAHbx/1c=")</f>
        <v>#VALUE!</v>
      </c>
      <c r="CK26" t="e">
        <f>AND(Ischemia_singlenet_25percent_ou!B2163,"AAAAAHbx/1g=")</f>
        <v>#VALUE!</v>
      </c>
      <c r="CL26">
        <f>IF(Ischemia_singlenet_25percent_ou!2164:2164,"AAAAAHbx/1k=",0)</f>
        <v>0</v>
      </c>
      <c r="CM26" t="e">
        <f>AND(Ischemia_singlenet_25percent_ou!A2164,"AAAAAHbx/1o=")</f>
        <v>#VALUE!</v>
      </c>
      <c r="CN26" t="e">
        <f>AND(Ischemia_singlenet_25percent_ou!B2164,"AAAAAHbx/1s=")</f>
        <v>#VALUE!</v>
      </c>
      <c r="CO26">
        <f>IF(Ischemia_singlenet_25percent_ou!2165:2165,"AAAAAHbx/1w=",0)</f>
        <v>0</v>
      </c>
      <c r="CP26" t="e">
        <f>AND(Ischemia_singlenet_25percent_ou!A2165,"AAAAAHbx/10=")</f>
        <v>#VALUE!</v>
      </c>
      <c r="CQ26" t="e">
        <f>AND(Ischemia_singlenet_25percent_ou!B2165,"AAAAAHbx/14=")</f>
        <v>#VALUE!</v>
      </c>
      <c r="CR26">
        <f>IF(Ischemia_singlenet_25percent_ou!2166:2166,"AAAAAHbx/18=",0)</f>
        <v>0</v>
      </c>
      <c r="CS26" t="e">
        <f>AND(Ischemia_singlenet_25percent_ou!A2166,"AAAAAHbx/2A=")</f>
        <v>#VALUE!</v>
      </c>
      <c r="CT26" t="e">
        <f>AND(Ischemia_singlenet_25percent_ou!B2166,"AAAAAHbx/2E=")</f>
        <v>#VALUE!</v>
      </c>
      <c r="CU26">
        <f>IF(Ischemia_singlenet_25percent_ou!2167:2167,"AAAAAHbx/2I=",0)</f>
        <v>0</v>
      </c>
      <c r="CV26" t="e">
        <f>AND(Ischemia_singlenet_25percent_ou!A2167,"AAAAAHbx/2M=")</f>
        <v>#VALUE!</v>
      </c>
      <c r="CW26" t="e">
        <f>AND(Ischemia_singlenet_25percent_ou!B2167,"AAAAAHbx/2Q=")</f>
        <v>#VALUE!</v>
      </c>
      <c r="CX26">
        <f>IF(Ischemia_singlenet_25percent_ou!2168:2168,"AAAAAHbx/2U=",0)</f>
        <v>0</v>
      </c>
      <c r="CY26" t="e">
        <f>AND(Ischemia_singlenet_25percent_ou!A2168,"AAAAAHbx/2Y=")</f>
        <v>#VALUE!</v>
      </c>
      <c r="CZ26" t="e">
        <f>AND(Ischemia_singlenet_25percent_ou!B2168,"AAAAAHbx/2c=")</f>
        <v>#VALUE!</v>
      </c>
      <c r="DA26">
        <f>IF(Ischemia_singlenet_25percent_ou!2169:2169,"AAAAAHbx/2g=",0)</f>
        <v>0</v>
      </c>
      <c r="DB26" t="e">
        <f>AND(Ischemia_singlenet_25percent_ou!A2169,"AAAAAHbx/2k=")</f>
        <v>#VALUE!</v>
      </c>
      <c r="DC26" t="e">
        <f>AND(Ischemia_singlenet_25percent_ou!B2169,"AAAAAHbx/2o=")</f>
        <v>#VALUE!</v>
      </c>
      <c r="DD26">
        <f>IF(Ischemia_singlenet_25percent_ou!2170:2170,"AAAAAHbx/2s=",0)</f>
        <v>0</v>
      </c>
      <c r="DE26" t="e">
        <f>AND(Ischemia_singlenet_25percent_ou!A2170,"AAAAAHbx/2w=")</f>
        <v>#VALUE!</v>
      </c>
      <c r="DF26" t="e">
        <f>AND(Ischemia_singlenet_25percent_ou!B2170,"AAAAAHbx/20=")</f>
        <v>#VALUE!</v>
      </c>
      <c r="DG26">
        <f>IF(Ischemia_singlenet_25percent_ou!2171:2171,"AAAAAHbx/24=",0)</f>
        <v>0</v>
      </c>
      <c r="DH26" t="e">
        <f>AND(Ischemia_singlenet_25percent_ou!A2171,"AAAAAHbx/28=")</f>
        <v>#VALUE!</v>
      </c>
      <c r="DI26" t="e">
        <f>AND(Ischemia_singlenet_25percent_ou!B2171,"AAAAAHbx/3A=")</f>
        <v>#VALUE!</v>
      </c>
      <c r="DJ26">
        <f>IF(Ischemia_singlenet_25percent_ou!2172:2172,"AAAAAHbx/3E=",0)</f>
        <v>0</v>
      </c>
      <c r="DK26" t="e">
        <f>AND(Ischemia_singlenet_25percent_ou!A2172,"AAAAAHbx/3I=")</f>
        <v>#VALUE!</v>
      </c>
      <c r="DL26" t="e">
        <f>AND(Ischemia_singlenet_25percent_ou!B2172,"AAAAAHbx/3M=")</f>
        <v>#VALUE!</v>
      </c>
      <c r="DM26">
        <f>IF(Ischemia_singlenet_25percent_ou!2173:2173,"AAAAAHbx/3Q=",0)</f>
        <v>0</v>
      </c>
      <c r="DN26" t="e">
        <f>AND(Ischemia_singlenet_25percent_ou!A2173,"AAAAAHbx/3U=")</f>
        <v>#VALUE!</v>
      </c>
      <c r="DO26" t="e">
        <f>AND(Ischemia_singlenet_25percent_ou!B2173,"AAAAAHbx/3Y=")</f>
        <v>#VALUE!</v>
      </c>
      <c r="DP26">
        <f>IF(Ischemia_singlenet_25percent_ou!2174:2174,"AAAAAHbx/3c=",0)</f>
        <v>0</v>
      </c>
      <c r="DQ26" t="e">
        <f>AND(Ischemia_singlenet_25percent_ou!A2174,"AAAAAHbx/3g=")</f>
        <v>#VALUE!</v>
      </c>
      <c r="DR26" t="e">
        <f>AND(Ischemia_singlenet_25percent_ou!B2174,"AAAAAHbx/3k=")</f>
        <v>#VALUE!</v>
      </c>
      <c r="DS26">
        <f>IF(Ischemia_singlenet_25percent_ou!2175:2175,"AAAAAHbx/3o=",0)</f>
        <v>0</v>
      </c>
      <c r="DT26" t="e">
        <f>AND(Ischemia_singlenet_25percent_ou!A2175,"AAAAAHbx/3s=")</f>
        <v>#VALUE!</v>
      </c>
      <c r="DU26" t="e">
        <f>AND(Ischemia_singlenet_25percent_ou!B2175,"AAAAAHbx/3w=")</f>
        <v>#VALUE!</v>
      </c>
      <c r="DV26">
        <f>IF(Ischemia_singlenet_25percent_ou!2176:2176,"AAAAAHbx/30=",0)</f>
        <v>0</v>
      </c>
      <c r="DW26" t="e">
        <f>AND(Ischemia_singlenet_25percent_ou!A2176,"AAAAAHbx/34=")</f>
        <v>#VALUE!</v>
      </c>
      <c r="DX26" t="e">
        <f>AND(Ischemia_singlenet_25percent_ou!B2176,"AAAAAHbx/38=")</f>
        <v>#VALUE!</v>
      </c>
      <c r="DY26">
        <f>IF(Ischemia_singlenet_25percent_ou!2177:2177,"AAAAAHbx/4A=",0)</f>
        <v>0</v>
      </c>
      <c r="DZ26" t="e">
        <f>AND(Ischemia_singlenet_25percent_ou!A2177,"AAAAAHbx/4E=")</f>
        <v>#VALUE!</v>
      </c>
      <c r="EA26" t="e">
        <f>AND(Ischemia_singlenet_25percent_ou!B2177,"AAAAAHbx/4I=")</f>
        <v>#VALUE!</v>
      </c>
      <c r="EB26">
        <f>IF(Ischemia_singlenet_25percent_ou!2178:2178,"AAAAAHbx/4M=",0)</f>
        <v>0</v>
      </c>
      <c r="EC26" t="e">
        <f>AND(Ischemia_singlenet_25percent_ou!A2178,"AAAAAHbx/4Q=")</f>
        <v>#VALUE!</v>
      </c>
      <c r="ED26" t="e">
        <f>AND(Ischemia_singlenet_25percent_ou!B2178,"AAAAAHbx/4U=")</f>
        <v>#VALUE!</v>
      </c>
      <c r="EE26">
        <f>IF(Ischemia_singlenet_25percent_ou!2179:2179,"AAAAAHbx/4Y=",0)</f>
        <v>0</v>
      </c>
      <c r="EF26" t="e">
        <f>AND(Ischemia_singlenet_25percent_ou!A2179,"AAAAAHbx/4c=")</f>
        <v>#VALUE!</v>
      </c>
      <c r="EG26" t="e">
        <f>AND(Ischemia_singlenet_25percent_ou!B2179,"AAAAAHbx/4g=")</f>
        <v>#VALUE!</v>
      </c>
      <c r="EH26">
        <f>IF(Ischemia_singlenet_25percent_ou!2180:2180,"AAAAAHbx/4k=",0)</f>
        <v>0</v>
      </c>
      <c r="EI26" t="e">
        <f>AND(Ischemia_singlenet_25percent_ou!A2180,"AAAAAHbx/4o=")</f>
        <v>#VALUE!</v>
      </c>
      <c r="EJ26" t="e">
        <f>AND(Ischemia_singlenet_25percent_ou!B2180,"AAAAAHbx/4s=")</f>
        <v>#VALUE!</v>
      </c>
      <c r="EK26">
        <f>IF(Ischemia_singlenet_25percent_ou!2181:2181,"AAAAAHbx/4w=",0)</f>
        <v>0</v>
      </c>
      <c r="EL26" t="e">
        <f>AND(Ischemia_singlenet_25percent_ou!A2181,"AAAAAHbx/40=")</f>
        <v>#VALUE!</v>
      </c>
      <c r="EM26" t="e">
        <f>AND(Ischemia_singlenet_25percent_ou!B2181,"AAAAAHbx/44=")</f>
        <v>#VALUE!</v>
      </c>
      <c r="EN26">
        <f>IF(Ischemia_singlenet_25percent_ou!2182:2182,"AAAAAHbx/48=",0)</f>
        <v>0</v>
      </c>
      <c r="EO26" t="e">
        <f>AND(Ischemia_singlenet_25percent_ou!A2182,"AAAAAHbx/5A=")</f>
        <v>#VALUE!</v>
      </c>
      <c r="EP26" t="e">
        <f>AND(Ischemia_singlenet_25percent_ou!B2182,"AAAAAHbx/5E=")</f>
        <v>#VALUE!</v>
      </c>
      <c r="EQ26">
        <f>IF(Ischemia_singlenet_25percent_ou!2183:2183,"AAAAAHbx/5I=",0)</f>
        <v>0</v>
      </c>
      <c r="ER26" t="e">
        <f>AND(Ischemia_singlenet_25percent_ou!A2183,"AAAAAHbx/5M=")</f>
        <v>#VALUE!</v>
      </c>
      <c r="ES26" t="e">
        <f>AND(Ischemia_singlenet_25percent_ou!B2183,"AAAAAHbx/5Q=")</f>
        <v>#VALUE!</v>
      </c>
      <c r="ET26">
        <f>IF(Ischemia_singlenet_25percent_ou!2184:2184,"AAAAAHbx/5U=",0)</f>
        <v>0</v>
      </c>
      <c r="EU26" t="e">
        <f>AND(Ischemia_singlenet_25percent_ou!A2184,"AAAAAHbx/5Y=")</f>
        <v>#VALUE!</v>
      </c>
      <c r="EV26" t="e">
        <f>AND(Ischemia_singlenet_25percent_ou!B2184,"AAAAAHbx/5c=")</f>
        <v>#VALUE!</v>
      </c>
      <c r="EW26">
        <f>IF(Ischemia_singlenet_25percent_ou!2185:2185,"AAAAAHbx/5g=",0)</f>
        <v>0</v>
      </c>
      <c r="EX26" t="e">
        <f>AND(Ischemia_singlenet_25percent_ou!A2185,"AAAAAHbx/5k=")</f>
        <v>#VALUE!</v>
      </c>
      <c r="EY26" t="e">
        <f>AND(Ischemia_singlenet_25percent_ou!B2185,"AAAAAHbx/5o=")</f>
        <v>#VALUE!</v>
      </c>
      <c r="EZ26">
        <f>IF(Ischemia_singlenet_25percent_ou!2186:2186,"AAAAAHbx/5s=",0)</f>
        <v>0</v>
      </c>
      <c r="FA26" t="e">
        <f>AND(Ischemia_singlenet_25percent_ou!A2186,"AAAAAHbx/5w=")</f>
        <v>#VALUE!</v>
      </c>
      <c r="FB26" t="e">
        <f>AND(Ischemia_singlenet_25percent_ou!B2186,"AAAAAHbx/50=")</f>
        <v>#VALUE!</v>
      </c>
      <c r="FC26">
        <f>IF(Ischemia_singlenet_25percent_ou!2187:2187,"AAAAAHbx/54=",0)</f>
        <v>0</v>
      </c>
      <c r="FD26" t="e">
        <f>AND(Ischemia_singlenet_25percent_ou!A2187,"AAAAAHbx/58=")</f>
        <v>#VALUE!</v>
      </c>
      <c r="FE26" t="e">
        <f>AND(Ischemia_singlenet_25percent_ou!B2187,"AAAAAHbx/6A=")</f>
        <v>#VALUE!</v>
      </c>
      <c r="FF26">
        <f>IF(Ischemia_singlenet_25percent_ou!2188:2188,"AAAAAHbx/6E=",0)</f>
        <v>0</v>
      </c>
      <c r="FG26" t="e">
        <f>AND(Ischemia_singlenet_25percent_ou!A2188,"AAAAAHbx/6I=")</f>
        <v>#VALUE!</v>
      </c>
      <c r="FH26" t="e">
        <f>AND(Ischemia_singlenet_25percent_ou!B2188,"AAAAAHbx/6M=")</f>
        <v>#VALUE!</v>
      </c>
      <c r="FI26">
        <f>IF(Ischemia_singlenet_25percent_ou!2189:2189,"AAAAAHbx/6Q=",0)</f>
        <v>0</v>
      </c>
      <c r="FJ26" t="e">
        <f>AND(Ischemia_singlenet_25percent_ou!A2189,"AAAAAHbx/6U=")</f>
        <v>#VALUE!</v>
      </c>
      <c r="FK26" t="e">
        <f>AND(Ischemia_singlenet_25percent_ou!B2189,"AAAAAHbx/6Y=")</f>
        <v>#VALUE!</v>
      </c>
      <c r="FL26">
        <f>IF(Ischemia_singlenet_25percent_ou!2190:2190,"AAAAAHbx/6c=",0)</f>
        <v>0</v>
      </c>
      <c r="FM26" t="e">
        <f>AND(Ischemia_singlenet_25percent_ou!A2190,"AAAAAHbx/6g=")</f>
        <v>#VALUE!</v>
      </c>
      <c r="FN26" t="e">
        <f>AND(Ischemia_singlenet_25percent_ou!B2190,"AAAAAHbx/6k=")</f>
        <v>#VALUE!</v>
      </c>
      <c r="FO26">
        <f>IF(Ischemia_singlenet_25percent_ou!2191:2191,"AAAAAHbx/6o=",0)</f>
        <v>0</v>
      </c>
      <c r="FP26" t="e">
        <f>AND(Ischemia_singlenet_25percent_ou!A2191,"AAAAAHbx/6s=")</f>
        <v>#VALUE!</v>
      </c>
      <c r="FQ26" t="e">
        <f>AND(Ischemia_singlenet_25percent_ou!B2191,"AAAAAHbx/6w=")</f>
        <v>#VALUE!</v>
      </c>
      <c r="FR26">
        <f>IF(Ischemia_singlenet_25percent_ou!2192:2192,"AAAAAHbx/60=",0)</f>
        <v>0</v>
      </c>
      <c r="FS26" t="e">
        <f>AND(Ischemia_singlenet_25percent_ou!A2192,"AAAAAHbx/64=")</f>
        <v>#VALUE!</v>
      </c>
      <c r="FT26" t="e">
        <f>AND(Ischemia_singlenet_25percent_ou!B2192,"AAAAAHbx/68=")</f>
        <v>#VALUE!</v>
      </c>
      <c r="FU26">
        <f>IF(Ischemia_singlenet_25percent_ou!2193:2193,"AAAAAHbx/7A=",0)</f>
        <v>0</v>
      </c>
      <c r="FV26" t="e">
        <f>AND(Ischemia_singlenet_25percent_ou!A2193,"AAAAAHbx/7E=")</f>
        <v>#VALUE!</v>
      </c>
      <c r="FW26" t="e">
        <f>AND(Ischemia_singlenet_25percent_ou!B2193,"AAAAAHbx/7I=")</f>
        <v>#VALUE!</v>
      </c>
      <c r="FX26">
        <f>IF(Ischemia_singlenet_25percent_ou!2194:2194,"AAAAAHbx/7M=",0)</f>
        <v>0</v>
      </c>
      <c r="FY26" t="e">
        <f>AND(Ischemia_singlenet_25percent_ou!A2194,"AAAAAHbx/7Q=")</f>
        <v>#VALUE!</v>
      </c>
      <c r="FZ26" t="e">
        <f>AND(Ischemia_singlenet_25percent_ou!B2194,"AAAAAHbx/7U=")</f>
        <v>#VALUE!</v>
      </c>
      <c r="GA26">
        <f>IF(Ischemia_singlenet_25percent_ou!2195:2195,"AAAAAHbx/7Y=",0)</f>
        <v>0</v>
      </c>
      <c r="GB26" t="e">
        <f>AND(Ischemia_singlenet_25percent_ou!A2195,"AAAAAHbx/7c=")</f>
        <v>#VALUE!</v>
      </c>
      <c r="GC26" t="e">
        <f>AND(Ischemia_singlenet_25percent_ou!B2195,"AAAAAHbx/7g=")</f>
        <v>#VALUE!</v>
      </c>
      <c r="GD26">
        <f>IF(Ischemia_singlenet_25percent_ou!2196:2196,"AAAAAHbx/7k=",0)</f>
        <v>0</v>
      </c>
      <c r="GE26" t="e">
        <f>AND(Ischemia_singlenet_25percent_ou!A2196,"AAAAAHbx/7o=")</f>
        <v>#VALUE!</v>
      </c>
      <c r="GF26" t="e">
        <f>AND(Ischemia_singlenet_25percent_ou!B2196,"AAAAAHbx/7s=")</f>
        <v>#VALUE!</v>
      </c>
      <c r="GG26">
        <f>IF(Ischemia_singlenet_25percent_ou!2197:2197,"AAAAAHbx/7w=",0)</f>
        <v>0</v>
      </c>
      <c r="GH26" t="e">
        <f>AND(Ischemia_singlenet_25percent_ou!A2197,"AAAAAHbx/70=")</f>
        <v>#VALUE!</v>
      </c>
      <c r="GI26" t="e">
        <f>AND(Ischemia_singlenet_25percent_ou!B2197,"AAAAAHbx/74=")</f>
        <v>#VALUE!</v>
      </c>
      <c r="GJ26">
        <f>IF(Ischemia_singlenet_25percent_ou!2198:2198,"AAAAAHbx/78=",0)</f>
        <v>0</v>
      </c>
      <c r="GK26" t="e">
        <f>AND(Ischemia_singlenet_25percent_ou!A2198,"AAAAAHbx/8A=")</f>
        <v>#VALUE!</v>
      </c>
      <c r="GL26" t="e">
        <f>AND(Ischemia_singlenet_25percent_ou!B2198,"AAAAAHbx/8E=")</f>
        <v>#VALUE!</v>
      </c>
      <c r="GM26">
        <f>IF(Ischemia_singlenet_25percent_ou!2199:2199,"AAAAAHbx/8I=",0)</f>
        <v>0</v>
      </c>
      <c r="GN26" t="e">
        <f>AND(Ischemia_singlenet_25percent_ou!A2199,"AAAAAHbx/8M=")</f>
        <v>#VALUE!</v>
      </c>
      <c r="GO26" t="e">
        <f>AND(Ischemia_singlenet_25percent_ou!B2199,"AAAAAHbx/8Q=")</f>
        <v>#VALUE!</v>
      </c>
      <c r="GP26">
        <f>IF(Ischemia_singlenet_25percent_ou!2200:2200,"AAAAAHbx/8U=",0)</f>
        <v>0</v>
      </c>
      <c r="GQ26" t="e">
        <f>AND(Ischemia_singlenet_25percent_ou!A2200,"AAAAAHbx/8Y=")</f>
        <v>#VALUE!</v>
      </c>
      <c r="GR26" t="e">
        <f>AND(Ischemia_singlenet_25percent_ou!B2200,"AAAAAHbx/8c=")</f>
        <v>#VALUE!</v>
      </c>
      <c r="GS26">
        <f>IF(Ischemia_singlenet_25percent_ou!2201:2201,"AAAAAHbx/8g=",0)</f>
        <v>0</v>
      </c>
      <c r="GT26" t="e">
        <f>AND(Ischemia_singlenet_25percent_ou!A2201,"AAAAAHbx/8k=")</f>
        <v>#VALUE!</v>
      </c>
      <c r="GU26" t="e">
        <f>AND(Ischemia_singlenet_25percent_ou!B2201,"AAAAAHbx/8o=")</f>
        <v>#VALUE!</v>
      </c>
      <c r="GV26">
        <f>IF(Ischemia_singlenet_25percent_ou!2202:2202,"AAAAAHbx/8s=",0)</f>
        <v>0</v>
      </c>
      <c r="GW26" t="e">
        <f>AND(Ischemia_singlenet_25percent_ou!A2202,"AAAAAHbx/8w=")</f>
        <v>#VALUE!</v>
      </c>
      <c r="GX26" t="e">
        <f>AND(Ischemia_singlenet_25percent_ou!B2202,"AAAAAHbx/80=")</f>
        <v>#VALUE!</v>
      </c>
      <c r="GY26">
        <f>IF(Ischemia_singlenet_25percent_ou!2203:2203,"AAAAAHbx/84=",0)</f>
        <v>0</v>
      </c>
      <c r="GZ26" t="e">
        <f>AND(Ischemia_singlenet_25percent_ou!A2203,"AAAAAHbx/88=")</f>
        <v>#VALUE!</v>
      </c>
      <c r="HA26" t="e">
        <f>AND(Ischemia_singlenet_25percent_ou!B2203,"AAAAAHbx/9A=")</f>
        <v>#VALUE!</v>
      </c>
      <c r="HB26">
        <f>IF(Ischemia_singlenet_25percent_ou!2204:2204,"AAAAAHbx/9E=",0)</f>
        <v>0</v>
      </c>
      <c r="HC26" t="e">
        <f>AND(Ischemia_singlenet_25percent_ou!A2204,"AAAAAHbx/9I=")</f>
        <v>#VALUE!</v>
      </c>
      <c r="HD26" t="e">
        <f>AND(Ischemia_singlenet_25percent_ou!B2204,"AAAAAHbx/9M=")</f>
        <v>#VALUE!</v>
      </c>
      <c r="HE26">
        <f>IF(Ischemia_singlenet_25percent_ou!2205:2205,"AAAAAHbx/9Q=",0)</f>
        <v>0</v>
      </c>
      <c r="HF26" t="e">
        <f>AND(Ischemia_singlenet_25percent_ou!A2205,"AAAAAHbx/9U=")</f>
        <v>#VALUE!</v>
      </c>
      <c r="HG26" t="e">
        <f>AND(Ischemia_singlenet_25percent_ou!B2205,"AAAAAHbx/9Y=")</f>
        <v>#VALUE!</v>
      </c>
      <c r="HH26">
        <f>IF(Ischemia_singlenet_25percent_ou!2206:2206,"AAAAAHbx/9c=",0)</f>
        <v>0</v>
      </c>
      <c r="HI26" t="e">
        <f>AND(Ischemia_singlenet_25percent_ou!A2206,"AAAAAHbx/9g=")</f>
        <v>#VALUE!</v>
      </c>
      <c r="HJ26" t="e">
        <f>AND(Ischemia_singlenet_25percent_ou!B2206,"AAAAAHbx/9k=")</f>
        <v>#VALUE!</v>
      </c>
      <c r="HK26">
        <f>IF(Ischemia_singlenet_25percent_ou!2207:2207,"AAAAAHbx/9o=",0)</f>
        <v>0</v>
      </c>
      <c r="HL26" t="e">
        <f>AND(Ischemia_singlenet_25percent_ou!A2207,"AAAAAHbx/9s=")</f>
        <v>#VALUE!</v>
      </c>
      <c r="HM26" t="e">
        <f>AND(Ischemia_singlenet_25percent_ou!B2207,"AAAAAHbx/9w=")</f>
        <v>#VALUE!</v>
      </c>
      <c r="HN26">
        <f>IF(Ischemia_singlenet_25percent_ou!2208:2208,"AAAAAHbx/90=",0)</f>
        <v>0</v>
      </c>
      <c r="HO26" t="e">
        <f>AND(Ischemia_singlenet_25percent_ou!A2208,"AAAAAHbx/94=")</f>
        <v>#VALUE!</v>
      </c>
      <c r="HP26" t="e">
        <f>AND(Ischemia_singlenet_25percent_ou!B2208,"AAAAAHbx/98=")</f>
        <v>#VALUE!</v>
      </c>
      <c r="HQ26">
        <f>IF(Ischemia_singlenet_25percent_ou!2209:2209,"AAAAAHbx/+A=",0)</f>
        <v>0</v>
      </c>
      <c r="HR26" t="e">
        <f>AND(Ischemia_singlenet_25percent_ou!A2209,"AAAAAHbx/+E=")</f>
        <v>#VALUE!</v>
      </c>
      <c r="HS26" t="e">
        <f>AND(Ischemia_singlenet_25percent_ou!B2209,"AAAAAHbx/+I=")</f>
        <v>#VALUE!</v>
      </c>
      <c r="HT26">
        <f>IF(Ischemia_singlenet_25percent_ou!2210:2210,"AAAAAHbx/+M=",0)</f>
        <v>0</v>
      </c>
      <c r="HU26" t="e">
        <f>AND(Ischemia_singlenet_25percent_ou!A2210,"AAAAAHbx/+Q=")</f>
        <v>#VALUE!</v>
      </c>
      <c r="HV26" t="e">
        <f>AND(Ischemia_singlenet_25percent_ou!B2210,"AAAAAHbx/+U=")</f>
        <v>#VALUE!</v>
      </c>
      <c r="HW26">
        <f>IF(Ischemia_singlenet_25percent_ou!2211:2211,"AAAAAHbx/+Y=",0)</f>
        <v>0</v>
      </c>
      <c r="HX26" t="e">
        <f>AND(Ischemia_singlenet_25percent_ou!A2211,"AAAAAHbx/+c=")</f>
        <v>#VALUE!</v>
      </c>
      <c r="HY26" t="e">
        <f>AND(Ischemia_singlenet_25percent_ou!B2211,"AAAAAHbx/+g=")</f>
        <v>#VALUE!</v>
      </c>
      <c r="HZ26">
        <f>IF(Ischemia_singlenet_25percent_ou!2212:2212,"AAAAAHbx/+k=",0)</f>
        <v>0</v>
      </c>
      <c r="IA26" t="e">
        <f>AND(Ischemia_singlenet_25percent_ou!A2212,"AAAAAHbx/+o=")</f>
        <v>#VALUE!</v>
      </c>
      <c r="IB26" t="e">
        <f>AND(Ischemia_singlenet_25percent_ou!B2212,"AAAAAHbx/+s=")</f>
        <v>#VALUE!</v>
      </c>
      <c r="IC26">
        <f>IF(Ischemia_singlenet_25percent_ou!2213:2213,"AAAAAHbx/+w=",0)</f>
        <v>0</v>
      </c>
      <c r="ID26" t="e">
        <f>AND(Ischemia_singlenet_25percent_ou!A2213,"AAAAAHbx/+0=")</f>
        <v>#VALUE!</v>
      </c>
      <c r="IE26" t="e">
        <f>AND(Ischemia_singlenet_25percent_ou!B2213,"AAAAAHbx/+4=")</f>
        <v>#VALUE!</v>
      </c>
      <c r="IF26">
        <f>IF(Ischemia_singlenet_25percent_ou!2214:2214,"AAAAAHbx/+8=",0)</f>
        <v>0</v>
      </c>
      <c r="IG26" t="e">
        <f>AND(Ischemia_singlenet_25percent_ou!A2214,"AAAAAHbx//A=")</f>
        <v>#VALUE!</v>
      </c>
      <c r="IH26" t="e">
        <f>AND(Ischemia_singlenet_25percent_ou!B2214,"AAAAAHbx//E=")</f>
        <v>#VALUE!</v>
      </c>
      <c r="II26">
        <f>IF(Ischemia_singlenet_25percent_ou!2215:2215,"AAAAAHbx//I=",0)</f>
        <v>0</v>
      </c>
      <c r="IJ26" t="e">
        <f>AND(Ischemia_singlenet_25percent_ou!A2215,"AAAAAHbx//M=")</f>
        <v>#VALUE!</v>
      </c>
      <c r="IK26" t="e">
        <f>AND(Ischemia_singlenet_25percent_ou!B2215,"AAAAAHbx//Q=")</f>
        <v>#VALUE!</v>
      </c>
      <c r="IL26">
        <f>IF(Ischemia_singlenet_25percent_ou!2216:2216,"AAAAAHbx//U=",0)</f>
        <v>0</v>
      </c>
      <c r="IM26" t="e">
        <f>AND(Ischemia_singlenet_25percent_ou!A2216,"AAAAAHbx//Y=")</f>
        <v>#VALUE!</v>
      </c>
      <c r="IN26" t="e">
        <f>AND(Ischemia_singlenet_25percent_ou!B2216,"AAAAAHbx//c=")</f>
        <v>#VALUE!</v>
      </c>
      <c r="IO26">
        <f>IF(Ischemia_singlenet_25percent_ou!2217:2217,"AAAAAHbx//g=",0)</f>
        <v>0</v>
      </c>
      <c r="IP26" t="e">
        <f>AND(Ischemia_singlenet_25percent_ou!A2217,"AAAAAHbx//k=")</f>
        <v>#VALUE!</v>
      </c>
      <c r="IQ26" t="e">
        <f>AND(Ischemia_singlenet_25percent_ou!B2217,"AAAAAHbx//o=")</f>
        <v>#VALUE!</v>
      </c>
      <c r="IR26">
        <f>IF(Ischemia_singlenet_25percent_ou!2218:2218,"AAAAAHbx//s=",0)</f>
        <v>0</v>
      </c>
      <c r="IS26" t="e">
        <f>AND(Ischemia_singlenet_25percent_ou!A2218,"AAAAAHbx//w=")</f>
        <v>#VALUE!</v>
      </c>
      <c r="IT26" t="e">
        <f>AND(Ischemia_singlenet_25percent_ou!B2218,"AAAAAHbx//0=")</f>
        <v>#VALUE!</v>
      </c>
      <c r="IU26">
        <f>IF(Ischemia_singlenet_25percent_ou!2219:2219,"AAAAAHbx//4=",0)</f>
        <v>0</v>
      </c>
      <c r="IV26" t="e">
        <f>AND(Ischemia_singlenet_25percent_ou!A2219,"AAAAAHbx//8=")</f>
        <v>#VALUE!</v>
      </c>
    </row>
    <row r="27" spans="1:256">
      <c r="A27" t="e">
        <f>AND(Ischemia_singlenet_25percent_ou!B2219,"AAAAABl9tgA=")</f>
        <v>#VALUE!</v>
      </c>
      <c r="B27" t="e">
        <f>IF(Ischemia_singlenet_25percent_ou!2220:2220,"AAAAABl9tgE=",0)</f>
        <v>#VALUE!</v>
      </c>
      <c r="C27" t="e">
        <f>AND(Ischemia_singlenet_25percent_ou!A2220,"AAAAABl9tgI=")</f>
        <v>#VALUE!</v>
      </c>
      <c r="D27" t="e">
        <f>AND(Ischemia_singlenet_25percent_ou!B2220,"AAAAABl9tgM=")</f>
        <v>#VALUE!</v>
      </c>
      <c r="E27">
        <f>IF(Ischemia_singlenet_25percent_ou!2221:2221,"AAAAABl9tgQ=",0)</f>
        <v>0</v>
      </c>
      <c r="F27" t="e">
        <f>AND(Ischemia_singlenet_25percent_ou!A2221,"AAAAABl9tgU=")</f>
        <v>#VALUE!</v>
      </c>
      <c r="G27" t="e">
        <f>AND(Ischemia_singlenet_25percent_ou!B2221,"AAAAABl9tgY=")</f>
        <v>#VALUE!</v>
      </c>
      <c r="H27">
        <f>IF(Ischemia_singlenet_25percent_ou!2222:2222,"AAAAABl9tgc=",0)</f>
        <v>0</v>
      </c>
      <c r="I27" t="e">
        <f>AND(Ischemia_singlenet_25percent_ou!A2222,"AAAAABl9tgg=")</f>
        <v>#VALUE!</v>
      </c>
      <c r="J27" t="e">
        <f>AND(Ischemia_singlenet_25percent_ou!B2222,"AAAAABl9tgk=")</f>
        <v>#VALUE!</v>
      </c>
      <c r="K27">
        <f>IF(Ischemia_singlenet_25percent_ou!2223:2223,"AAAAABl9tgo=",0)</f>
        <v>0</v>
      </c>
      <c r="L27" t="e">
        <f>AND(Ischemia_singlenet_25percent_ou!A2223,"AAAAABl9tgs=")</f>
        <v>#VALUE!</v>
      </c>
      <c r="M27" t="e">
        <f>AND(Ischemia_singlenet_25percent_ou!B2223,"AAAAABl9tgw=")</f>
        <v>#VALUE!</v>
      </c>
      <c r="N27">
        <f>IF(Ischemia_singlenet_25percent_ou!2224:2224,"AAAAABl9tg0=",0)</f>
        <v>0</v>
      </c>
      <c r="O27" t="e">
        <f>AND(Ischemia_singlenet_25percent_ou!A2224,"AAAAABl9tg4=")</f>
        <v>#VALUE!</v>
      </c>
      <c r="P27" t="e">
        <f>AND(Ischemia_singlenet_25percent_ou!B2224,"AAAAABl9tg8=")</f>
        <v>#VALUE!</v>
      </c>
      <c r="Q27">
        <f>IF(Ischemia_singlenet_25percent_ou!2225:2225,"AAAAABl9thA=",0)</f>
        <v>0</v>
      </c>
      <c r="R27" t="e">
        <f>AND(Ischemia_singlenet_25percent_ou!A2225,"AAAAABl9thE=")</f>
        <v>#VALUE!</v>
      </c>
      <c r="S27" t="e">
        <f>AND(Ischemia_singlenet_25percent_ou!B2225,"AAAAABl9thI=")</f>
        <v>#VALUE!</v>
      </c>
      <c r="T27">
        <f>IF(Ischemia_singlenet_25percent_ou!2226:2226,"AAAAABl9thM=",0)</f>
        <v>0</v>
      </c>
      <c r="U27" t="e">
        <f>AND(Ischemia_singlenet_25percent_ou!A2226,"AAAAABl9thQ=")</f>
        <v>#VALUE!</v>
      </c>
      <c r="V27" t="e">
        <f>AND(Ischemia_singlenet_25percent_ou!B2226,"AAAAABl9thU=")</f>
        <v>#VALUE!</v>
      </c>
      <c r="W27">
        <f>IF(Ischemia_singlenet_25percent_ou!2227:2227,"AAAAABl9thY=",0)</f>
        <v>0</v>
      </c>
      <c r="X27" t="e">
        <f>AND(Ischemia_singlenet_25percent_ou!A2227,"AAAAABl9thc=")</f>
        <v>#VALUE!</v>
      </c>
      <c r="Y27" t="e">
        <f>AND(Ischemia_singlenet_25percent_ou!B2227,"AAAAABl9thg=")</f>
        <v>#VALUE!</v>
      </c>
      <c r="Z27">
        <f>IF(Ischemia_singlenet_25percent_ou!2228:2228,"AAAAABl9thk=",0)</f>
        <v>0</v>
      </c>
      <c r="AA27" t="e">
        <f>AND(Ischemia_singlenet_25percent_ou!A2228,"AAAAABl9tho=")</f>
        <v>#VALUE!</v>
      </c>
      <c r="AB27" t="e">
        <f>AND(Ischemia_singlenet_25percent_ou!B2228,"AAAAABl9ths=")</f>
        <v>#VALUE!</v>
      </c>
      <c r="AC27">
        <f>IF(Ischemia_singlenet_25percent_ou!2229:2229,"AAAAABl9thw=",0)</f>
        <v>0</v>
      </c>
      <c r="AD27" t="e">
        <f>AND(Ischemia_singlenet_25percent_ou!A2229,"AAAAABl9th0=")</f>
        <v>#VALUE!</v>
      </c>
      <c r="AE27" t="e">
        <f>AND(Ischemia_singlenet_25percent_ou!B2229,"AAAAABl9th4=")</f>
        <v>#VALUE!</v>
      </c>
      <c r="AF27">
        <f>IF(Ischemia_singlenet_25percent_ou!2230:2230,"AAAAABl9th8=",0)</f>
        <v>0</v>
      </c>
      <c r="AG27" t="e">
        <f>AND(Ischemia_singlenet_25percent_ou!A2230,"AAAAABl9tiA=")</f>
        <v>#VALUE!</v>
      </c>
      <c r="AH27" t="e">
        <f>AND(Ischemia_singlenet_25percent_ou!B2230,"AAAAABl9tiE=")</f>
        <v>#VALUE!</v>
      </c>
      <c r="AI27">
        <f>IF(Ischemia_singlenet_25percent_ou!2231:2231,"AAAAABl9tiI=",0)</f>
        <v>0</v>
      </c>
      <c r="AJ27" t="e">
        <f>AND(Ischemia_singlenet_25percent_ou!A2231,"AAAAABl9tiM=")</f>
        <v>#VALUE!</v>
      </c>
      <c r="AK27" t="e">
        <f>AND(Ischemia_singlenet_25percent_ou!B2231,"AAAAABl9tiQ=")</f>
        <v>#VALUE!</v>
      </c>
      <c r="AL27">
        <f>IF(Ischemia_singlenet_25percent_ou!2232:2232,"AAAAABl9tiU=",0)</f>
        <v>0</v>
      </c>
      <c r="AM27" t="e">
        <f>AND(Ischemia_singlenet_25percent_ou!A2232,"AAAAABl9tiY=")</f>
        <v>#VALUE!</v>
      </c>
      <c r="AN27" t="e">
        <f>AND(Ischemia_singlenet_25percent_ou!B2232,"AAAAABl9tic=")</f>
        <v>#VALUE!</v>
      </c>
      <c r="AO27">
        <f>IF(Ischemia_singlenet_25percent_ou!2233:2233,"AAAAABl9tig=",0)</f>
        <v>0</v>
      </c>
      <c r="AP27" t="e">
        <f>AND(Ischemia_singlenet_25percent_ou!A2233,"AAAAABl9tik=")</f>
        <v>#VALUE!</v>
      </c>
      <c r="AQ27" t="e">
        <f>AND(Ischemia_singlenet_25percent_ou!B2233,"AAAAABl9tio=")</f>
        <v>#VALUE!</v>
      </c>
      <c r="AR27">
        <f>IF(Ischemia_singlenet_25percent_ou!2234:2234,"AAAAABl9tis=",0)</f>
        <v>0</v>
      </c>
      <c r="AS27" t="e">
        <f>AND(Ischemia_singlenet_25percent_ou!A2234,"AAAAABl9tiw=")</f>
        <v>#VALUE!</v>
      </c>
      <c r="AT27" t="e">
        <f>AND(Ischemia_singlenet_25percent_ou!B2234,"AAAAABl9ti0=")</f>
        <v>#VALUE!</v>
      </c>
      <c r="AU27">
        <f>IF(Ischemia_singlenet_25percent_ou!2235:2235,"AAAAABl9ti4=",0)</f>
        <v>0</v>
      </c>
      <c r="AV27" t="e">
        <f>AND(Ischemia_singlenet_25percent_ou!A2235,"AAAAABl9ti8=")</f>
        <v>#VALUE!</v>
      </c>
      <c r="AW27" t="e">
        <f>AND(Ischemia_singlenet_25percent_ou!B2235,"AAAAABl9tjA=")</f>
        <v>#VALUE!</v>
      </c>
      <c r="AX27">
        <f>IF(Ischemia_singlenet_25percent_ou!2236:2236,"AAAAABl9tjE=",0)</f>
        <v>0</v>
      </c>
      <c r="AY27" t="e">
        <f>AND(Ischemia_singlenet_25percent_ou!A2236,"AAAAABl9tjI=")</f>
        <v>#VALUE!</v>
      </c>
      <c r="AZ27" t="e">
        <f>AND(Ischemia_singlenet_25percent_ou!B2236,"AAAAABl9tjM=")</f>
        <v>#VALUE!</v>
      </c>
      <c r="BA27">
        <f>IF(Ischemia_singlenet_25percent_ou!2237:2237,"AAAAABl9tjQ=",0)</f>
        <v>0</v>
      </c>
      <c r="BB27" t="e">
        <f>AND(Ischemia_singlenet_25percent_ou!A2237,"AAAAABl9tjU=")</f>
        <v>#VALUE!</v>
      </c>
      <c r="BC27" t="e">
        <f>AND(Ischemia_singlenet_25percent_ou!B2237,"AAAAABl9tjY=")</f>
        <v>#VALUE!</v>
      </c>
      <c r="BD27">
        <f>IF(Ischemia_singlenet_25percent_ou!2238:2238,"AAAAABl9tjc=",0)</f>
        <v>0</v>
      </c>
      <c r="BE27" t="e">
        <f>AND(Ischemia_singlenet_25percent_ou!A2238,"AAAAABl9tjg=")</f>
        <v>#VALUE!</v>
      </c>
      <c r="BF27" t="e">
        <f>AND(Ischemia_singlenet_25percent_ou!B2238,"AAAAABl9tjk=")</f>
        <v>#VALUE!</v>
      </c>
      <c r="BG27">
        <f>IF(Ischemia_singlenet_25percent_ou!2239:2239,"AAAAABl9tjo=",0)</f>
        <v>0</v>
      </c>
      <c r="BH27" t="e">
        <f>AND(Ischemia_singlenet_25percent_ou!A2239,"AAAAABl9tjs=")</f>
        <v>#VALUE!</v>
      </c>
      <c r="BI27" t="e">
        <f>AND(Ischemia_singlenet_25percent_ou!B2239,"AAAAABl9tjw=")</f>
        <v>#VALUE!</v>
      </c>
      <c r="BJ27">
        <f>IF(Ischemia_singlenet_25percent_ou!2240:2240,"AAAAABl9tj0=",0)</f>
        <v>0</v>
      </c>
      <c r="BK27" t="e">
        <f>AND(Ischemia_singlenet_25percent_ou!A2240,"AAAAABl9tj4=")</f>
        <v>#VALUE!</v>
      </c>
      <c r="BL27" t="e">
        <f>AND(Ischemia_singlenet_25percent_ou!B2240,"AAAAABl9tj8=")</f>
        <v>#VALUE!</v>
      </c>
      <c r="BM27">
        <f>IF(Ischemia_singlenet_25percent_ou!2241:2241,"AAAAABl9tkA=",0)</f>
        <v>0</v>
      </c>
      <c r="BN27" t="e">
        <f>AND(Ischemia_singlenet_25percent_ou!A2241,"AAAAABl9tkE=")</f>
        <v>#VALUE!</v>
      </c>
      <c r="BO27" t="e">
        <f>AND(Ischemia_singlenet_25percent_ou!B2241,"AAAAABl9tkI=")</f>
        <v>#VALUE!</v>
      </c>
      <c r="BP27">
        <f>IF(Ischemia_singlenet_25percent_ou!2242:2242,"AAAAABl9tkM=",0)</f>
        <v>0</v>
      </c>
      <c r="BQ27" t="e">
        <f>AND(Ischemia_singlenet_25percent_ou!A2242,"AAAAABl9tkQ=")</f>
        <v>#VALUE!</v>
      </c>
      <c r="BR27" t="e">
        <f>AND(Ischemia_singlenet_25percent_ou!B2242,"AAAAABl9tkU=")</f>
        <v>#VALUE!</v>
      </c>
      <c r="BS27">
        <f>IF(Ischemia_singlenet_25percent_ou!2243:2243,"AAAAABl9tkY=",0)</f>
        <v>0</v>
      </c>
      <c r="BT27" t="e">
        <f>AND(Ischemia_singlenet_25percent_ou!A2243,"AAAAABl9tkc=")</f>
        <v>#VALUE!</v>
      </c>
      <c r="BU27" t="e">
        <f>AND(Ischemia_singlenet_25percent_ou!B2243,"AAAAABl9tkg=")</f>
        <v>#VALUE!</v>
      </c>
      <c r="BV27">
        <f>IF(Ischemia_singlenet_25percent_ou!2244:2244,"AAAAABl9tkk=",0)</f>
        <v>0</v>
      </c>
      <c r="BW27" t="e">
        <f>AND(Ischemia_singlenet_25percent_ou!A2244,"AAAAABl9tko=")</f>
        <v>#VALUE!</v>
      </c>
      <c r="BX27" t="e">
        <f>AND(Ischemia_singlenet_25percent_ou!B2244,"AAAAABl9tks=")</f>
        <v>#VALUE!</v>
      </c>
      <c r="BY27">
        <f>IF(Ischemia_singlenet_25percent_ou!2245:2245,"AAAAABl9tkw=",0)</f>
        <v>0</v>
      </c>
      <c r="BZ27" t="e">
        <f>AND(Ischemia_singlenet_25percent_ou!A2245,"AAAAABl9tk0=")</f>
        <v>#VALUE!</v>
      </c>
      <c r="CA27" t="e">
        <f>AND(Ischemia_singlenet_25percent_ou!B2245,"AAAAABl9tk4=")</f>
        <v>#VALUE!</v>
      </c>
      <c r="CB27">
        <f>IF(Ischemia_singlenet_25percent_ou!2246:2246,"AAAAABl9tk8=",0)</f>
        <v>0</v>
      </c>
      <c r="CC27" t="e">
        <f>AND(Ischemia_singlenet_25percent_ou!A2246,"AAAAABl9tlA=")</f>
        <v>#VALUE!</v>
      </c>
      <c r="CD27" t="e">
        <f>AND(Ischemia_singlenet_25percent_ou!B2246,"AAAAABl9tlE=")</f>
        <v>#VALUE!</v>
      </c>
      <c r="CE27">
        <f>IF(Ischemia_singlenet_25percent_ou!2247:2247,"AAAAABl9tlI=",0)</f>
        <v>0</v>
      </c>
      <c r="CF27" t="e">
        <f>AND(Ischemia_singlenet_25percent_ou!A2247,"AAAAABl9tlM=")</f>
        <v>#VALUE!</v>
      </c>
      <c r="CG27" t="e">
        <f>AND(Ischemia_singlenet_25percent_ou!B2247,"AAAAABl9tlQ=")</f>
        <v>#VALUE!</v>
      </c>
      <c r="CH27">
        <f>IF(Ischemia_singlenet_25percent_ou!2248:2248,"AAAAABl9tlU=",0)</f>
        <v>0</v>
      </c>
      <c r="CI27" t="e">
        <f>AND(Ischemia_singlenet_25percent_ou!A2248,"AAAAABl9tlY=")</f>
        <v>#VALUE!</v>
      </c>
      <c r="CJ27" t="e">
        <f>AND(Ischemia_singlenet_25percent_ou!B2248,"AAAAABl9tlc=")</f>
        <v>#VALUE!</v>
      </c>
      <c r="CK27">
        <f>IF(Ischemia_singlenet_25percent_ou!2249:2249,"AAAAABl9tlg=",0)</f>
        <v>0</v>
      </c>
      <c r="CL27" t="e">
        <f>AND(Ischemia_singlenet_25percent_ou!A2249,"AAAAABl9tlk=")</f>
        <v>#VALUE!</v>
      </c>
      <c r="CM27" t="e">
        <f>AND(Ischemia_singlenet_25percent_ou!B2249,"AAAAABl9tlo=")</f>
        <v>#VALUE!</v>
      </c>
      <c r="CN27">
        <f>IF(Ischemia_singlenet_25percent_ou!2250:2250,"AAAAABl9tls=",0)</f>
        <v>0</v>
      </c>
      <c r="CO27" t="e">
        <f>AND(Ischemia_singlenet_25percent_ou!A2250,"AAAAABl9tlw=")</f>
        <v>#VALUE!</v>
      </c>
      <c r="CP27" t="e">
        <f>AND(Ischemia_singlenet_25percent_ou!B2250,"AAAAABl9tl0=")</f>
        <v>#VALUE!</v>
      </c>
      <c r="CQ27">
        <f>IF(Ischemia_singlenet_25percent_ou!2251:2251,"AAAAABl9tl4=",0)</f>
        <v>0</v>
      </c>
      <c r="CR27" t="e">
        <f>AND(Ischemia_singlenet_25percent_ou!A2251,"AAAAABl9tl8=")</f>
        <v>#VALUE!</v>
      </c>
      <c r="CS27" t="e">
        <f>AND(Ischemia_singlenet_25percent_ou!B2251,"AAAAABl9tmA=")</f>
        <v>#VALUE!</v>
      </c>
      <c r="CT27">
        <f>IF(Ischemia_singlenet_25percent_ou!2252:2252,"AAAAABl9tmE=",0)</f>
        <v>0</v>
      </c>
      <c r="CU27" t="e">
        <f>AND(Ischemia_singlenet_25percent_ou!A2252,"AAAAABl9tmI=")</f>
        <v>#VALUE!</v>
      </c>
      <c r="CV27" t="e">
        <f>AND(Ischemia_singlenet_25percent_ou!B2252,"AAAAABl9tmM=")</f>
        <v>#VALUE!</v>
      </c>
      <c r="CW27">
        <f>IF(Ischemia_singlenet_25percent_ou!2253:2253,"AAAAABl9tmQ=",0)</f>
        <v>0</v>
      </c>
      <c r="CX27" t="e">
        <f>AND(Ischemia_singlenet_25percent_ou!A2253,"AAAAABl9tmU=")</f>
        <v>#VALUE!</v>
      </c>
      <c r="CY27" t="e">
        <f>AND(Ischemia_singlenet_25percent_ou!B2253,"AAAAABl9tmY=")</f>
        <v>#VALUE!</v>
      </c>
      <c r="CZ27">
        <f>IF(Ischemia_singlenet_25percent_ou!2254:2254,"AAAAABl9tmc=",0)</f>
        <v>0</v>
      </c>
      <c r="DA27" t="e">
        <f>AND(Ischemia_singlenet_25percent_ou!A2254,"AAAAABl9tmg=")</f>
        <v>#VALUE!</v>
      </c>
      <c r="DB27" t="e">
        <f>AND(Ischemia_singlenet_25percent_ou!B2254,"AAAAABl9tmk=")</f>
        <v>#VALUE!</v>
      </c>
      <c r="DC27">
        <f>IF(Ischemia_singlenet_25percent_ou!2255:2255,"AAAAABl9tmo=",0)</f>
        <v>0</v>
      </c>
      <c r="DD27" t="e">
        <f>AND(Ischemia_singlenet_25percent_ou!A2255,"AAAAABl9tms=")</f>
        <v>#VALUE!</v>
      </c>
      <c r="DE27" t="e">
        <f>AND(Ischemia_singlenet_25percent_ou!B2255,"AAAAABl9tmw=")</f>
        <v>#VALUE!</v>
      </c>
      <c r="DF27">
        <f>IF(Ischemia_singlenet_25percent_ou!2256:2256,"AAAAABl9tm0=",0)</f>
        <v>0</v>
      </c>
      <c r="DG27" t="e">
        <f>AND(Ischemia_singlenet_25percent_ou!A2256,"AAAAABl9tm4=")</f>
        <v>#VALUE!</v>
      </c>
      <c r="DH27" t="e">
        <f>AND(Ischemia_singlenet_25percent_ou!B2256,"AAAAABl9tm8=")</f>
        <v>#VALUE!</v>
      </c>
      <c r="DI27">
        <f>IF(Ischemia_singlenet_25percent_ou!2257:2257,"AAAAABl9tnA=",0)</f>
        <v>0</v>
      </c>
      <c r="DJ27" t="e">
        <f>AND(Ischemia_singlenet_25percent_ou!A2257,"AAAAABl9tnE=")</f>
        <v>#VALUE!</v>
      </c>
      <c r="DK27" t="e">
        <f>AND(Ischemia_singlenet_25percent_ou!B2257,"AAAAABl9tnI=")</f>
        <v>#VALUE!</v>
      </c>
      <c r="DL27">
        <f>IF(Ischemia_singlenet_25percent_ou!2258:2258,"AAAAABl9tnM=",0)</f>
        <v>0</v>
      </c>
      <c r="DM27" t="e">
        <f>AND(Ischemia_singlenet_25percent_ou!A2258,"AAAAABl9tnQ=")</f>
        <v>#VALUE!</v>
      </c>
      <c r="DN27" t="e">
        <f>AND(Ischemia_singlenet_25percent_ou!B2258,"AAAAABl9tnU=")</f>
        <v>#VALUE!</v>
      </c>
      <c r="DO27">
        <f>IF(Ischemia_singlenet_25percent_ou!2259:2259,"AAAAABl9tnY=",0)</f>
        <v>0</v>
      </c>
      <c r="DP27" t="e">
        <f>AND(Ischemia_singlenet_25percent_ou!A2259,"AAAAABl9tnc=")</f>
        <v>#VALUE!</v>
      </c>
      <c r="DQ27" t="e">
        <f>AND(Ischemia_singlenet_25percent_ou!B2259,"AAAAABl9tng=")</f>
        <v>#VALUE!</v>
      </c>
      <c r="DR27">
        <f>IF(Ischemia_singlenet_25percent_ou!2260:2260,"AAAAABl9tnk=",0)</f>
        <v>0</v>
      </c>
      <c r="DS27" t="e">
        <f>AND(Ischemia_singlenet_25percent_ou!A2260,"AAAAABl9tno=")</f>
        <v>#VALUE!</v>
      </c>
      <c r="DT27" t="e">
        <f>AND(Ischemia_singlenet_25percent_ou!B2260,"AAAAABl9tns=")</f>
        <v>#VALUE!</v>
      </c>
      <c r="DU27">
        <f>IF(Ischemia_singlenet_25percent_ou!2261:2261,"AAAAABl9tnw=",0)</f>
        <v>0</v>
      </c>
      <c r="DV27" t="e">
        <f>AND(Ischemia_singlenet_25percent_ou!A2261,"AAAAABl9tn0=")</f>
        <v>#VALUE!</v>
      </c>
      <c r="DW27" t="e">
        <f>AND(Ischemia_singlenet_25percent_ou!B2261,"AAAAABl9tn4=")</f>
        <v>#VALUE!</v>
      </c>
      <c r="DX27">
        <f>IF(Ischemia_singlenet_25percent_ou!2262:2262,"AAAAABl9tn8=",0)</f>
        <v>0</v>
      </c>
      <c r="DY27" t="e">
        <f>AND(Ischemia_singlenet_25percent_ou!A2262,"AAAAABl9toA=")</f>
        <v>#VALUE!</v>
      </c>
      <c r="DZ27" t="e">
        <f>AND(Ischemia_singlenet_25percent_ou!B2262,"AAAAABl9toE=")</f>
        <v>#VALUE!</v>
      </c>
      <c r="EA27">
        <f>IF(Ischemia_singlenet_25percent_ou!2263:2263,"AAAAABl9toI=",0)</f>
        <v>0</v>
      </c>
      <c r="EB27" t="e">
        <f>AND(Ischemia_singlenet_25percent_ou!A2263,"AAAAABl9toM=")</f>
        <v>#VALUE!</v>
      </c>
      <c r="EC27" t="e">
        <f>AND(Ischemia_singlenet_25percent_ou!B2263,"AAAAABl9toQ=")</f>
        <v>#VALUE!</v>
      </c>
      <c r="ED27">
        <f>IF(Ischemia_singlenet_25percent_ou!2264:2264,"AAAAABl9toU=",0)</f>
        <v>0</v>
      </c>
      <c r="EE27" t="e">
        <f>AND(Ischemia_singlenet_25percent_ou!A2264,"AAAAABl9toY=")</f>
        <v>#VALUE!</v>
      </c>
      <c r="EF27" t="e">
        <f>AND(Ischemia_singlenet_25percent_ou!B2264,"AAAAABl9toc=")</f>
        <v>#VALUE!</v>
      </c>
      <c r="EG27">
        <f>IF(Ischemia_singlenet_25percent_ou!2265:2265,"AAAAABl9tog=",0)</f>
        <v>0</v>
      </c>
      <c r="EH27" t="e">
        <f>AND(Ischemia_singlenet_25percent_ou!A2265,"AAAAABl9tok=")</f>
        <v>#VALUE!</v>
      </c>
      <c r="EI27" t="e">
        <f>AND(Ischemia_singlenet_25percent_ou!B2265,"AAAAABl9too=")</f>
        <v>#VALUE!</v>
      </c>
      <c r="EJ27">
        <f>IF(Ischemia_singlenet_25percent_ou!2266:2266,"AAAAABl9tos=",0)</f>
        <v>0</v>
      </c>
      <c r="EK27" t="e">
        <f>AND(Ischemia_singlenet_25percent_ou!A2266,"AAAAABl9tow=")</f>
        <v>#VALUE!</v>
      </c>
      <c r="EL27" t="e">
        <f>AND(Ischemia_singlenet_25percent_ou!B2266,"AAAAABl9to0=")</f>
        <v>#VALUE!</v>
      </c>
      <c r="EM27">
        <f>IF(Ischemia_singlenet_25percent_ou!2267:2267,"AAAAABl9to4=",0)</f>
        <v>0</v>
      </c>
      <c r="EN27" t="e">
        <f>AND(Ischemia_singlenet_25percent_ou!A2267,"AAAAABl9to8=")</f>
        <v>#VALUE!</v>
      </c>
      <c r="EO27" t="e">
        <f>AND(Ischemia_singlenet_25percent_ou!B2267,"AAAAABl9tpA=")</f>
        <v>#VALUE!</v>
      </c>
      <c r="EP27">
        <f>IF(Ischemia_singlenet_25percent_ou!2268:2268,"AAAAABl9tpE=",0)</f>
        <v>0</v>
      </c>
      <c r="EQ27" t="e">
        <f>AND(Ischemia_singlenet_25percent_ou!A2268,"AAAAABl9tpI=")</f>
        <v>#VALUE!</v>
      </c>
      <c r="ER27" t="e">
        <f>AND(Ischemia_singlenet_25percent_ou!B2268,"AAAAABl9tpM=")</f>
        <v>#VALUE!</v>
      </c>
      <c r="ES27">
        <f>IF(Ischemia_singlenet_25percent_ou!2269:2269,"AAAAABl9tpQ=",0)</f>
        <v>0</v>
      </c>
      <c r="ET27" t="e">
        <f>AND(Ischemia_singlenet_25percent_ou!A2269,"AAAAABl9tpU=")</f>
        <v>#VALUE!</v>
      </c>
      <c r="EU27" t="e">
        <f>AND(Ischemia_singlenet_25percent_ou!B2269,"AAAAABl9tpY=")</f>
        <v>#VALUE!</v>
      </c>
      <c r="EV27">
        <f>IF(Ischemia_singlenet_25percent_ou!2270:2270,"AAAAABl9tpc=",0)</f>
        <v>0</v>
      </c>
      <c r="EW27" t="e">
        <f>AND(Ischemia_singlenet_25percent_ou!A2270,"AAAAABl9tpg=")</f>
        <v>#VALUE!</v>
      </c>
      <c r="EX27" t="e">
        <f>AND(Ischemia_singlenet_25percent_ou!B2270,"AAAAABl9tpk=")</f>
        <v>#VALUE!</v>
      </c>
      <c r="EY27">
        <f>IF(Ischemia_singlenet_25percent_ou!2271:2271,"AAAAABl9tpo=",0)</f>
        <v>0</v>
      </c>
      <c r="EZ27" t="e">
        <f>AND(Ischemia_singlenet_25percent_ou!A2271,"AAAAABl9tps=")</f>
        <v>#VALUE!</v>
      </c>
      <c r="FA27" t="e">
        <f>AND(Ischemia_singlenet_25percent_ou!B2271,"AAAAABl9tpw=")</f>
        <v>#VALUE!</v>
      </c>
      <c r="FB27">
        <f>IF(Ischemia_singlenet_25percent_ou!2272:2272,"AAAAABl9tp0=",0)</f>
        <v>0</v>
      </c>
      <c r="FC27" t="e">
        <f>AND(Ischemia_singlenet_25percent_ou!A2272,"AAAAABl9tp4=")</f>
        <v>#VALUE!</v>
      </c>
      <c r="FD27" t="e">
        <f>AND(Ischemia_singlenet_25percent_ou!B2272,"AAAAABl9tp8=")</f>
        <v>#VALUE!</v>
      </c>
      <c r="FE27">
        <f>IF(Ischemia_singlenet_25percent_ou!2273:2273,"AAAAABl9tqA=",0)</f>
        <v>0</v>
      </c>
      <c r="FF27" t="e">
        <f>AND(Ischemia_singlenet_25percent_ou!A2273,"AAAAABl9tqE=")</f>
        <v>#VALUE!</v>
      </c>
      <c r="FG27" t="e">
        <f>AND(Ischemia_singlenet_25percent_ou!B2273,"AAAAABl9tqI=")</f>
        <v>#VALUE!</v>
      </c>
      <c r="FH27">
        <f>IF(Ischemia_singlenet_25percent_ou!2274:2274,"AAAAABl9tqM=",0)</f>
        <v>0</v>
      </c>
      <c r="FI27" t="e">
        <f>AND(Ischemia_singlenet_25percent_ou!A2274,"AAAAABl9tqQ=")</f>
        <v>#VALUE!</v>
      </c>
      <c r="FJ27" t="e">
        <f>AND(Ischemia_singlenet_25percent_ou!B2274,"AAAAABl9tqU=")</f>
        <v>#VALUE!</v>
      </c>
      <c r="FK27" t="e">
        <f>IF(Ischemia_singlenet_25percent_ou!A:A,"AAAAABl9tqY=",0)</f>
        <v>#VALUE!</v>
      </c>
      <c r="FL27" t="e">
        <f>IF(Ischemia_singlenet_25percent_ou!B:B,"AAAAABl9tqc=",0)</f>
        <v>#VALUE!</v>
      </c>
      <c r="FM27" t="s">
        <v>2271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Ischemia_singlenet_25percent_ou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tjlin</dc:creator>
  <cp:lastModifiedBy>Tiffany Lin</cp:lastModifiedBy>
  <dcterms:created xsi:type="dcterms:W3CDTF">2012-05-21T16:36:58Z</dcterms:created>
  <dcterms:modified xsi:type="dcterms:W3CDTF">2012-05-21T16:36:59Z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17QscRtz6sBBlSOFJbC1S8RHoTchvhKcrlHHycJXWz4I</vt:lpwstr>
  </property>
  <property fmtid="{D5CDD505-2E9C-101B-9397-08002B2CF9AE}" pid="4" name="Google.Documents.RevisionId">
    <vt:lpwstr>14296258452825901527</vt:lpwstr>
  </property>
  <property fmtid="{D5CDD505-2E9C-101B-9397-08002B2CF9AE}" pid="5" name="Google.Documents.PluginVersion">
    <vt:lpwstr>2.0.2662.553</vt:lpwstr>
  </property>
  <property fmtid="{D5CDD505-2E9C-101B-9397-08002B2CF9AE}" pid="6" name="Google.Documents.MergeIncapabilityFlags">
    <vt:i4>0</vt:i4>
  </property>
</Properties>
</file>