
<file path=[Content_Types].xml><?xml version="1.0" encoding="utf-8"?>
<Types xmlns="http://schemas.openxmlformats.org/package/2006/content-types">
  <Default Extension="bin" ContentType="application/vnd.openxmlformats-officedocument.spreadsheetml.customProperty"/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drawings/drawing6.xml" ContentType="application/vnd.openxmlformats-officedocument.drawingml.chartshapes+xml"/>
  <Override PartName="/xl/charts/chart5.xml" ContentType="application/vnd.openxmlformats-officedocument.drawingml.chart+xml"/>
  <Override PartName="/xl/drawings/drawing7.xml" ContentType="application/vnd.openxmlformats-officedocument.drawingml.chartshapes+xml"/>
  <Override PartName="/xl/drawings/drawing8.xml" ContentType="application/vnd.openxmlformats-officedocument.drawingml.chartshap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ml.chartshap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240" yWindow="45" windowWidth="20115" windowHeight="6930" activeTab="5"/>
  </bookViews>
  <sheets>
    <sheet name="Sheet10" sheetId="11" r:id="rId1"/>
    <sheet name="Sheet11" sheetId="12" r:id="rId2"/>
    <sheet name="Sheet13" sheetId="14" r:id="rId3"/>
    <sheet name="Sheet1" sheetId="1" r:id="rId4"/>
    <sheet name="Sheet12" sheetId="13" r:id="rId5"/>
    <sheet name="Sheet2" sheetId="2" r:id="rId6"/>
    <sheet name="Sheet3" sheetId="3" r:id="rId7"/>
    <sheet name="DV-IDENTITY-0" sheetId="4" state="veryHidden" r:id="rId8"/>
  </sheets>
  <calcPr calcId="125725"/>
</workbook>
</file>

<file path=xl/calcChain.xml><?xml version="1.0" encoding="utf-8"?>
<calcChain xmlns="http://schemas.openxmlformats.org/spreadsheetml/2006/main">
  <c r="H3" i="2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2"/>
  <c r="A10" i="4"/>
  <c r="B10"/>
  <c r="C10"/>
  <c r="D10"/>
  <c r="E10"/>
  <c r="F10"/>
  <c r="G10"/>
  <c r="H10"/>
  <c r="I10"/>
  <c r="J10"/>
  <c r="K10"/>
  <c r="L10"/>
  <c r="M10"/>
  <c r="N10"/>
  <c r="O10"/>
  <c r="P10"/>
  <c r="Q10"/>
  <c r="R10"/>
  <c r="S10"/>
  <c r="T10"/>
  <c r="U10"/>
  <c r="V10"/>
  <c r="W10"/>
  <c r="X10"/>
  <c r="Y10"/>
  <c r="Z10"/>
  <c r="AA10"/>
  <c r="AB10"/>
  <c r="AC10"/>
  <c r="AD10"/>
  <c r="A9"/>
  <c r="B9"/>
  <c r="C9"/>
  <c r="D9"/>
  <c r="E9"/>
  <c r="F9"/>
  <c r="G9"/>
  <c r="H9"/>
  <c r="I9"/>
  <c r="J9"/>
  <c r="K9"/>
  <c r="L9"/>
  <c r="M9"/>
  <c r="N9"/>
  <c r="O9"/>
  <c r="P9"/>
  <c r="Q9"/>
  <c r="R9"/>
  <c r="S9"/>
  <c r="T9"/>
  <c r="U9"/>
  <c r="V9"/>
  <c r="W9"/>
  <c r="X9"/>
  <c r="Y9"/>
  <c r="Z9"/>
  <c r="AA9"/>
  <c r="AB9"/>
  <c r="AC9"/>
  <c r="AD9"/>
  <c r="AE9"/>
  <c r="AF9"/>
  <c r="AG9"/>
  <c r="AH9"/>
  <c r="AI9"/>
  <c r="AJ9"/>
  <c r="AK9"/>
  <c r="AL9"/>
  <c r="AM9"/>
  <c r="AN9"/>
  <c r="AO9"/>
  <c r="AP9"/>
  <c r="AQ9"/>
  <c r="AR9"/>
  <c r="AS9"/>
  <c r="AT9"/>
  <c r="AU9"/>
  <c r="AV9"/>
  <c r="AW9"/>
  <c r="AX9"/>
  <c r="AY9"/>
  <c r="AZ9"/>
  <c r="BA9"/>
  <c r="BB9"/>
  <c r="BC9"/>
  <c r="BD9"/>
  <c r="BE9"/>
  <c r="BF9"/>
  <c r="BG9"/>
  <c r="BH9"/>
  <c r="BI9"/>
  <c r="BJ9"/>
  <c r="BK9"/>
  <c r="BL9"/>
  <c r="BM9"/>
  <c r="BN9"/>
  <c r="BO9"/>
  <c r="BP9"/>
  <c r="BQ9"/>
  <c r="BR9"/>
  <c r="BS9"/>
  <c r="BT9"/>
  <c r="BU9"/>
  <c r="BV9"/>
  <c r="BW9"/>
  <c r="BX9"/>
  <c r="BY9"/>
  <c r="BZ9"/>
  <c r="CA9"/>
  <c r="CB9"/>
  <c r="CC9"/>
  <c r="CD9"/>
  <c r="CE9"/>
  <c r="CF9"/>
  <c r="CG9"/>
  <c r="CH9"/>
  <c r="CI9"/>
  <c r="CJ9"/>
  <c r="CK9"/>
  <c r="CL9"/>
  <c r="CM9"/>
  <c r="CN9"/>
  <c r="CO9"/>
  <c r="CP9"/>
  <c r="CQ9"/>
  <c r="CR9"/>
  <c r="CS9"/>
  <c r="CT9"/>
  <c r="CU9"/>
  <c r="CV9"/>
  <c r="CW9"/>
  <c r="CX9"/>
  <c r="CY9"/>
  <c r="CZ9"/>
  <c r="DA9"/>
  <c r="DB9"/>
  <c r="DC9"/>
  <c r="DD9"/>
  <c r="DE9"/>
  <c r="DF9"/>
  <c r="DG9"/>
  <c r="DH9"/>
  <c r="DI9"/>
  <c r="DJ9"/>
  <c r="DK9"/>
  <c r="DL9"/>
  <c r="DM9"/>
  <c r="DN9"/>
  <c r="DO9"/>
  <c r="DP9"/>
  <c r="DQ9"/>
  <c r="DR9"/>
  <c r="DS9"/>
  <c r="DT9"/>
  <c r="DU9"/>
  <c r="DV9"/>
  <c r="DW9"/>
  <c r="DX9"/>
  <c r="DY9"/>
  <c r="DZ9"/>
  <c r="EA9"/>
  <c r="EB9"/>
  <c r="EC9"/>
  <c r="ED9"/>
  <c r="EE9"/>
  <c r="EF9"/>
  <c r="EG9"/>
  <c r="EH9"/>
  <c r="EI9"/>
  <c r="EJ9"/>
  <c r="EK9"/>
  <c r="EL9"/>
  <c r="EM9"/>
  <c r="EN9"/>
  <c r="EO9"/>
  <c r="EP9"/>
  <c r="EQ9"/>
  <c r="ER9"/>
  <c r="ES9"/>
  <c r="ET9"/>
  <c r="EU9"/>
  <c r="EV9"/>
  <c r="EW9"/>
  <c r="EX9"/>
  <c r="EY9"/>
  <c r="EZ9"/>
  <c r="FA9"/>
  <c r="FB9"/>
  <c r="FC9"/>
  <c r="FD9"/>
  <c r="FE9"/>
  <c r="FF9"/>
  <c r="FG9"/>
  <c r="FH9"/>
  <c r="FI9"/>
  <c r="FJ9"/>
  <c r="FK9"/>
  <c r="FL9"/>
  <c r="FM9"/>
  <c r="FN9"/>
  <c r="FO9"/>
  <c r="FP9"/>
  <c r="FQ9"/>
  <c r="FR9"/>
  <c r="FS9"/>
  <c r="FT9"/>
  <c r="FU9"/>
  <c r="FV9"/>
  <c r="FW9"/>
  <c r="FX9"/>
  <c r="FY9"/>
  <c r="FZ9"/>
  <c r="GA9"/>
  <c r="GB9"/>
  <c r="GC9"/>
  <c r="GD9"/>
  <c r="GE9"/>
  <c r="GF9"/>
  <c r="GG9"/>
  <c r="GH9"/>
  <c r="GI9"/>
  <c r="GJ9"/>
  <c r="GK9"/>
  <c r="GL9"/>
  <c r="GM9"/>
  <c r="GN9"/>
  <c r="GO9"/>
  <c r="GP9"/>
  <c r="GQ9"/>
  <c r="GR9"/>
  <c r="GS9"/>
  <c r="GT9"/>
  <c r="GU9"/>
  <c r="GV9"/>
  <c r="GW9"/>
  <c r="GX9"/>
  <c r="GY9"/>
  <c r="GZ9"/>
  <c r="HA9"/>
  <c r="HB9"/>
  <c r="HC9"/>
  <c r="HD9"/>
  <c r="HE9"/>
  <c r="HF9"/>
  <c r="HG9"/>
  <c r="HH9"/>
  <c r="HI9"/>
  <c r="HJ9"/>
  <c r="HK9"/>
  <c r="HL9"/>
  <c r="HM9"/>
  <c r="HN9"/>
  <c r="HO9"/>
  <c r="HP9"/>
  <c r="HQ9"/>
  <c r="HR9"/>
  <c r="HS9"/>
  <c r="HT9"/>
  <c r="HU9"/>
  <c r="HV9"/>
  <c r="HW9"/>
  <c r="HX9"/>
  <c r="HY9"/>
  <c r="HZ9"/>
  <c r="IA9"/>
  <c r="IB9"/>
  <c r="IC9"/>
  <c r="ID9"/>
  <c r="IE9"/>
  <c r="IF9"/>
  <c r="IG9"/>
  <c r="IH9"/>
  <c r="II9"/>
  <c r="IJ9"/>
  <c r="IK9"/>
  <c r="IL9"/>
  <c r="IM9"/>
  <c r="IN9"/>
  <c r="IO9"/>
  <c r="IP9"/>
  <c r="IQ9"/>
  <c r="IR9"/>
  <c r="IS9"/>
  <c r="IT9"/>
  <c r="IU9"/>
  <c r="IV9"/>
  <c r="A8"/>
  <c r="B8"/>
  <c r="C8"/>
  <c r="D8"/>
  <c r="E8"/>
  <c r="F8"/>
  <c r="G8"/>
  <c r="H8"/>
  <c r="I8"/>
  <c r="J8"/>
  <c r="K8"/>
  <c r="L8"/>
  <c r="M8"/>
  <c r="N8"/>
  <c r="O8"/>
  <c r="P8"/>
  <c r="Q8"/>
  <c r="R8"/>
  <c r="S8"/>
  <c r="T8"/>
  <c r="U8"/>
  <c r="V8"/>
  <c r="W8"/>
  <c r="X8"/>
  <c r="Y8"/>
  <c r="Z8"/>
  <c r="AA8"/>
  <c r="AB8"/>
  <c r="AC8"/>
  <c r="AD8"/>
  <c r="AE8"/>
  <c r="AF8"/>
  <c r="AG8"/>
  <c r="AH8"/>
  <c r="AI8"/>
  <c r="AJ8"/>
  <c r="AK8"/>
  <c r="AL8"/>
  <c r="AM8"/>
  <c r="AN8"/>
  <c r="AO8"/>
  <c r="AP8"/>
  <c r="AQ8"/>
  <c r="AR8"/>
  <c r="AS8"/>
  <c r="AT8"/>
  <c r="AU8"/>
  <c r="AV8"/>
  <c r="AW8"/>
  <c r="AX8"/>
  <c r="AY8"/>
  <c r="AZ8"/>
  <c r="BA8"/>
  <c r="BB8"/>
  <c r="BC8"/>
  <c r="BD8"/>
  <c r="BE8"/>
  <c r="BF8"/>
  <c r="BG8"/>
  <c r="BH8"/>
  <c r="BI8"/>
  <c r="BJ8"/>
  <c r="BK8"/>
  <c r="BL8"/>
  <c r="BM8"/>
  <c r="BN8"/>
  <c r="BO8"/>
  <c r="BP8"/>
  <c r="BQ8"/>
  <c r="BR8"/>
  <c r="BS8"/>
  <c r="BT8"/>
  <c r="BU8"/>
  <c r="BV8"/>
  <c r="BW8"/>
  <c r="BX8"/>
  <c r="BY8"/>
  <c r="BZ8"/>
  <c r="CA8"/>
  <c r="CB8"/>
  <c r="CC8"/>
  <c r="CD8"/>
  <c r="CE8"/>
  <c r="CF8"/>
  <c r="CG8"/>
  <c r="CH8"/>
  <c r="CI8"/>
  <c r="CJ8"/>
  <c r="CK8"/>
  <c r="CL8"/>
  <c r="CM8"/>
  <c r="CN8"/>
  <c r="CO8"/>
  <c r="CP8"/>
  <c r="CQ8"/>
  <c r="CR8"/>
  <c r="CS8"/>
  <c r="CT8"/>
  <c r="CU8"/>
  <c r="CV8"/>
  <c r="CW8"/>
  <c r="CX8"/>
  <c r="CY8"/>
  <c r="CZ8"/>
  <c r="DA8"/>
  <c r="DB8"/>
  <c r="DC8"/>
  <c r="DD8"/>
  <c r="DE8"/>
  <c r="DF8"/>
  <c r="DG8"/>
  <c r="DH8"/>
  <c r="DI8"/>
  <c r="DJ8"/>
  <c r="DK8"/>
  <c r="DL8"/>
  <c r="DM8"/>
  <c r="DN8"/>
  <c r="DO8"/>
  <c r="DP8"/>
  <c r="DQ8"/>
  <c r="DR8"/>
  <c r="DS8"/>
  <c r="DT8"/>
  <c r="DU8"/>
  <c r="DV8"/>
  <c r="DW8"/>
  <c r="DX8"/>
  <c r="DY8"/>
  <c r="DZ8"/>
  <c r="EA8"/>
  <c r="EB8"/>
  <c r="EC8"/>
  <c r="ED8"/>
  <c r="EE8"/>
  <c r="EF8"/>
  <c r="EG8"/>
  <c r="EH8"/>
  <c r="EI8"/>
  <c r="EJ8"/>
  <c r="EK8"/>
  <c r="EL8"/>
  <c r="EM8"/>
  <c r="EN8"/>
  <c r="EO8"/>
  <c r="EP8"/>
  <c r="EQ8"/>
  <c r="ER8"/>
  <c r="ES8"/>
  <c r="ET8"/>
  <c r="EU8"/>
  <c r="EV8"/>
  <c r="EW8"/>
  <c r="EX8"/>
  <c r="EY8"/>
  <c r="EZ8"/>
  <c r="FA8"/>
  <c r="FB8"/>
  <c r="FC8"/>
  <c r="FD8"/>
  <c r="FE8"/>
  <c r="FF8"/>
  <c r="FG8"/>
  <c r="FH8"/>
  <c r="FI8"/>
  <c r="FJ8"/>
  <c r="FK8"/>
  <c r="FL8"/>
  <c r="FM8"/>
  <c r="FN8"/>
  <c r="FO8"/>
  <c r="FP8"/>
  <c r="FQ8"/>
  <c r="FR8"/>
  <c r="FS8"/>
  <c r="FT8"/>
  <c r="FU8"/>
  <c r="FV8"/>
  <c r="FW8"/>
  <c r="FX8"/>
  <c r="FY8"/>
  <c r="FZ8"/>
  <c r="GA8"/>
  <c r="GB8"/>
  <c r="GC8"/>
  <c r="GD8"/>
  <c r="GE8"/>
  <c r="GF8"/>
  <c r="GG8"/>
  <c r="GH8"/>
  <c r="GI8"/>
  <c r="GJ8"/>
  <c r="GK8"/>
  <c r="GL8"/>
  <c r="GM8"/>
  <c r="GN8"/>
  <c r="GO8"/>
  <c r="GP8"/>
  <c r="GQ8"/>
  <c r="GR8"/>
  <c r="GS8"/>
  <c r="GT8"/>
  <c r="GU8"/>
  <c r="GV8"/>
  <c r="GW8"/>
  <c r="GX8"/>
  <c r="GY8"/>
  <c r="GZ8"/>
  <c r="HA8"/>
  <c r="HB8"/>
  <c r="HC8"/>
  <c r="HD8"/>
  <c r="HE8"/>
  <c r="HF8"/>
  <c r="HG8"/>
  <c r="HH8"/>
  <c r="HI8"/>
  <c r="HJ8"/>
  <c r="HK8"/>
  <c r="HL8"/>
  <c r="HM8"/>
  <c r="HN8"/>
  <c r="HO8"/>
  <c r="HP8"/>
  <c r="HQ8"/>
  <c r="HR8"/>
  <c r="HS8"/>
  <c r="HT8"/>
  <c r="HU8"/>
  <c r="HV8"/>
  <c r="HW8"/>
  <c r="HX8"/>
  <c r="HY8"/>
  <c r="HZ8"/>
  <c r="IA8"/>
  <c r="IB8"/>
  <c r="IC8"/>
  <c r="ID8"/>
  <c r="IE8"/>
  <c r="IF8"/>
  <c r="IG8"/>
  <c r="IH8"/>
  <c r="II8"/>
  <c r="IJ8"/>
  <c r="IK8"/>
  <c r="IL8"/>
  <c r="IM8"/>
  <c r="IN8"/>
  <c r="IO8"/>
  <c r="IP8"/>
  <c r="IQ8"/>
  <c r="IR8"/>
  <c r="IS8"/>
  <c r="IT8"/>
  <c r="IU8"/>
  <c r="IV8"/>
  <c r="A7"/>
  <c r="B7"/>
  <c r="C7"/>
  <c r="D7"/>
  <c r="E7"/>
  <c r="F7"/>
  <c r="G7"/>
  <c r="H7"/>
  <c r="I7"/>
  <c r="J7"/>
  <c r="K7"/>
  <c r="L7"/>
  <c r="M7"/>
  <c r="N7"/>
  <c r="O7"/>
  <c r="P7"/>
  <c r="Q7"/>
  <c r="R7"/>
  <c r="S7"/>
  <c r="T7"/>
  <c r="U7"/>
  <c r="V7"/>
  <c r="W7"/>
  <c r="X7"/>
  <c r="Y7"/>
  <c r="Z7"/>
  <c r="AA7"/>
  <c r="AB7"/>
  <c r="AC7"/>
  <c r="AD7"/>
  <c r="AE7"/>
  <c r="AF7"/>
  <c r="AG7"/>
  <c r="AH7"/>
  <c r="AI7"/>
  <c r="AJ7"/>
  <c r="AK7"/>
  <c r="AL7"/>
  <c r="AM7"/>
  <c r="AN7"/>
  <c r="AO7"/>
  <c r="AP7"/>
  <c r="AQ7"/>
  <c r="AR7"/>
  <c r="AS7"/>
  <c r="AT7"/>
  <c r="AU7"/>
  <c r="AV7"/>
  <c r="AW7"/>
  <c r="AX7"/>
  <c r="AY7"/>
  <c r="AZ7"/>
  <c r="BA7"/>
  <c r="BB7"/>
  <c r="BC7"/>
  <c r="BD7"/>
  <c r="BE7"/>
  <c r="BF7"/>
  <c r="BG7"/>
  <c r="BH7"/>
  <c r="BI7"/>
  <c r="BJ7"/>
  <c r="BK7"/>
  <c r="BL7"/>
  <c r="BM7"/>
  <c r="BN7"/>
  <c r="BO7"/>
  <c r="BP7"/>
  <c r="BQ7"/>
  <c r="BR7"/>
  <c r="BS7"/>
  <c r="BT7"/>
  <c r="BU7"/>
  <c r="BV7"/>
  <c r="BW7"/>
  <c r="BX7"/>
  <c r="BY7"/>
  <c r="BZ7"/>
  <c r="CA7"/>
  <c r="CB7"/>
  <c r="CC7"/>
  <c r="CD7"/>
  <c r="CE7"/>
  <c r="CF7"/>
  <c r="CG7"/>
  <c r="CH7"/>
  <c r="CI7"/>
  <c r="CJ7"/>
  <c r="CK7"/>
  <c r="CL7"/>
  <c r="CM7"/>
  <c r="CN7"/>
  <c r="CO7"/>
  <c r="CP7"/>
  <c r="CQ7"/>
  <c r="CR7"/>
  <c r="CS7"/>
  <c r="CT7"/>
  <c r="CU7"/>
  <c r="CV7"/>
  <c r="CW7"/>
  <c r="CX7"/>
  <c r="CY7"/>
  <c r="CZ7"/>
  <c r="DA7"/>
  <c r="DB7"/>
  <c r="DC7"/>
  <c r="DD7"/>
  <c r="DE7"/>
  <c r="DF7"/>
  <c r="DG7"/>
  <c r="DH7"/>
  <c r="DI7"/>
  <c r="DJ7"/>
  <c r="DK7"/>
  <c r="DL7"/>
  <c r="DM7"/>
  <c r="DN7"/>
  <c r="DO7"/>
  <c r="DP7"/>
  <c r="DQ7"/>
  <c r="DR7"/>
  <c r="DS7"/>
  <c r="DT7"/>
  <c r="DU7"/>
  <c r="DV7"/>
  <c r="DW7"/>
  <c r="DX7"/>
  <c r="DY7"/>
  <c r="DZ7"/>
  <c r="EA7"/>
  <c r="EB7"/>
  <c r="EC7"/>
  <c r="ED7"/>
  <c r="EE7"/>
  <c r="EF7"/>
  <c r="EG7"/>
  <c r="EH7"/>
  <c r="EI7"/>
  <c r="EJ7"/>
  <c r="EK7"/>
  <c r="EL7"/>
  <c r="EM7"/>
  <c r="EN7"/>
  <c r="EO7"/>
  <c r="EP7"/>
  <c r="EQ7"/>
  <c r="ER7"/>
  <c r="ES7"/>
  <c r="ET7"/>
  <c r="EU7"/>
  <c r="EV7"/>
  <c r="EW7"/>
  <c r="EX7"/>
  <c r="EY7"/>
  <c r="EZ7"/>
  <c r="FA7"/>
  <c r="FB7"/>
  <c r="FC7"/>
  <c r="FD7"/>
  <c r="FE7"/>
  <c r="FF7"/>
  <c r="FG7"/>
  <c r="FH7"/>
  <c r="FI7"/>
  <c r="FJ7"/>
  <c r="FK7"/>
  <c r="FL7"/>
  <c r="FM7"/>
  <c r="FN7"/>
  <c r="FO7"/>
  <c r="FP7"/>
  <c r="FQ7"/>
  <c r="FR7"/>
  <c r="FS7"/>
  <c r="FT7"/>
  <c r="FU7"/>
  <c r="FV7"/>
  <c r="FW7"/>
  <c r="FX7"/>
  <c r="FY7"/>
  <c r="FZ7"/>
  <c r="GA7"/>
  <c r="GB7"/>
  <c r="GC7"/>
  <c r="GD7"/>
  <c r="GE7"/>
  <c r="GF7"/>
  <c r="GG7"/>
  <c r="GH7"/>
  <c r="GI7"/>
  <c r="GJ7"/>
  <c r="GK7"/>
  <c r="GL7"/>
  <c r="GM7"/>
  <c r="GN7"/>
  <c r="GO7"/>
  <c r="GP7"/>
  <c r="GQ7"/>
  <c r="GR7"/>
  <c r="GS7"/>
  <c r="GT7"/>
  <c r="GU7"/>
  <c r="GV7"/>
  <c r="GW7"/>
  <c r="GX7"/>
  <c r="GY7"/>
  <c r="GZ7"/>
  <c r="HA7"/>
  <c r="HB7"/>
  <c r="HC7"/>
  <c r="HD7"/>
  <c r="HE7"/>
  <c r="HF7"/>
  <c r="HG7"/>
  <c r="HH7"/>
  <c r="HI7"/>
  <c r="HJ7"/>
  <c r="HK7"/>
  <c r="HL7"/>
  <c r="HM7"/>
  <c r="HN7"/>
  <c r="HO7"/>
  <c r="HP7"/>
  <c r="HQ7"/>
  <c r="HR7"/>
  <c r="HS7"/>
  <c r="HT7"/>
  <c r="HU7"/>
  <c r="HV7"/>
  <c r="HW7"/>
  <c r="HX7"/>
  <c r="HY7"/>
  <c r="HZ7"/>
  <c r="IA7"/>
  <c r="IB7"/>
  <c r="IC7"/>
  <c r="ID7"/>
  <c r="IE7"/>
  <c r="IF7"/>
  <c r="IG7"/>
  <c r="IH7"/>
  <c r="II7"/>
  <c r="IJ7"/>
  <c r="IK7"/>
  <c r="IL7"/>
  <c r="IM7"/>
  <c r="IN7"/>
  <c r="IO7"/>
  <c r="IP7"/>
  <c r="IQ7"/>
  <c r="IR7"/>
  <c r="IS7"/>
  <c r="IT7"/>
  <c r="IU7"/>
  <c r="IV7"/>
  <c r="F22" i="2"/>
  <c r="F39"/>
  <c r="E39"/>
  <c r="F38"/>
  <c r="E38"/>
  <c r="F37"/>
  <c r="E37"/>
  <c r="F36"/>
  <c r="E36"/>
  <c r="F35"/>
  <c r="E35"/>
  <c r="F34"/>
  <c r="E34"/>
  <c r="F33"/>
  <c r="E33"/>
  <c r="F32"/>
  <c r="E32"/>
  <c r="F31"/>
  <c r="E31"/>
  <c r="F30"/>
  <c r="E30"/>
  <c r="F29"/>
  <c r="E29"/>
  <c r="F28"/>
  <c r="E28"/>
  <c r="F27"/>
  <c r="E27"/>
  <c r="F26"/>
  <c r="E26"/>
  <c r="F25"/>
  <c r="E25"/>
  <c r="F24"/>
  <c r="E24"/>
  <c r="F23"/>
  <c r="E23"/>
  <c r="E22"/>
  <c r="F21"/>
  <c r="E21"/>
  <c r="F20"/>
  <c r="E20"/>
  <c r="F19"/>
  <c r="E19"/>
  <c r="F18"/>
  <c r="E18"/>
  <c r="F17"/>
  <c r="E17"/>
  <c r="F16"/>
  <c r="E16"/>
  <c r="F15"/>
  <c r="E15"/>
  <c r="F14"/>
  <c r="E14"/>
  <c r="F13"/>
  <c r="E13"/>
  <c r="F12"/>
  <c r="E12"/>
  <c r="F11"/>
  <c r="E11"/>
  <c r="F10"/>
  <c r="E10"/>
  <c r="F9"/>
  <c r="E9"/>
  <c r="F8"/>
  <c r="E8"/>
  <c r="F7"/>
  <c r="E7"/>
  <c r="F6"/>
  <c r="E6"/>
  <c r="F5"/>
  <c r="E5"/>
  <c r="F4"/>
  <c r="E4"/>
  <c r="F3"/>
  <c r="E3"/>
  <c r="F2"/>
  <c r="E2"/>
  <c r="H3" i="1" l="1"/>
  <c r="H4"/>
  <c r="AZ4" i="4" s="1"/>
  <c r="H5" i="1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2"/>
  <c r="A6" i="4"/>
  <c r="B6"/>
  <c r="C6"/>
  <c r="D6"/>
  <c r="E6"/>
  <c r="F6"/>
  <c r="G6"/>
  <c r="H6"/>
  <c r="I6"/>
  <c r="J6"/>
  <c r="K6"/>
  <c r="L6"/>
  <c r="M6"/>
  <c r="N6"/>
  <c r="O6"/>
  <c r="P6"/>
  <c r="Q6"/>
  <c r="R6"/>
  <c r="S6"/>
  <c r="T6"/>
  <c r="U6"/>
  <c r="V6"/>
  <c r="W6"/>
  <c r="X6"/>
  <c r="Y6"/>
  <c r="Z6"/>
  <c r="AA6"/>
  <c r="AB6"/>
  <c r="AC6"/>
  <c r="AD6"/>
  <c r="AE6"/>
  <c r="AF6"/>
  <c r="AG6"/>
  <c r="AH6"/>
  <c r="AI6"/>
  <c r="AJ6"/>
  <c r="AK6"/>
  <c r="AL6"/>
  <c r="AM6"/>
  <c r="AN6"/>
  <c r="AO6"/>
  <c r="AP6"/>
  <c r="AQ6"/>
  <c r="AR6"/>
  <c r="AS6"/>
  <c r="AT6"/>
  <c r="AU6"/>
  <c r="AV6"/>
  <c r="AW6"/>
  <c r="AX6"/>
  <c r="AY6"/>
  <c r="AZ6"/>
  <c r="BA6"/>
  <c r="BB6"/>
  <c r="BC6"/>
  <c r="BD6"/>
  <c r="BE6"/>
  <c r="BF6"/>
  <c r="BG6"/>
  <c r="BH6"/>
  <c r="BI6"/>
  <c r="BJ6"/>
  <c r="BK6"/>
  <c r="BL6"/>
  <c r="BM6"/>
  <c r="BN6"/>
  <c r="BO6"/>
  <c r="BP6"/>
  <c r="BQ6"/>
  <c r="BR6"/>
  <c r="BS6"/>
  <c r="BT6"/>
  <c r="BU6"/>
  <c r="BV6"/>
  <c r="BW6"/>
  <c r="BX6"/>
  <c r="BY6"/>
  <c r="BZ6"/>
  <c r="CA6"/>
  <c r="CB6"/>
  <c r="CC6"/>
  <c r="CD6"/>
  <c r="CE6"/>
  <c r="CF6"/>
  <c r="CG6"/>
  <c r="CH6"/>
  <c r="CI6"/>
  <c r="CJ6"/>
  <c r="CK6"/>
  <c r="CL6"/>
  <c r="CM6"/>
  <c r="CN6"/>
  <c r="CO6"/>
  <c r="CP6"/>
  <c r="CQ6"/>
  <c r="CR6"/>
  <c r="CS6"/>
  <c r="CT6"/>
  <c r="CU6"/>
  <c r="CV6"/>
  <c r="CW6"/>
  <c r="CX6"/>
  <c r="CY6"/>
  <c r="CZ6"/>
  <c r="DA6"/>
  <c r="DB6"/>
  <c r="DC6"/>
  <c r="DD6"/>
  <c r="DE6"/>
  <c r="DF6"/>
  <c r="DG6"/>
  <c r="DH6"/>
  <c r="DI6"/>
  <c r="DJ6"/>
  <c r="DK6"/>
  <c r="DL6"/>
  <c r="DM6"/>
  <c r="DN6"/>
  <c r="DO6"/>
  <c r="DP6"/>
  <c r="DQ6"/>
  <c r="DR6"/>
  <c r="DS6"/>
  <c r="DT6"/>
  <c r="DU6"/>
  <c r="DV6"/>
  <c r="DW6"/>
  <c r="DX6"/>
  <c r="DY6"/>
  <c r="DZ6"/>
  <c r="EA6"/>
  <c r="EB6"/>
  <c r="EC6"/>
  <c r="ED6"/>
  <c r="EE6"/>
  <c r="EF6"/>
  <c r="EG6"/>
  <c r="EH6"/>
  <c r="EI6"/>
  <c r="EJ6"/>
  <c r="EK6"/>
  <c r="EL6"/>
  <c r="EM6"/>
  <c r="EN6"/>
  <c r="EO6"/>
  <c r="EP6"/>
  <c r="EQ6"/>
  <c r="ER6"/>
  <c r="ES6"/>
  <c r="ET6"/>
  <c r="EU6"/>
  <c r="EV6"/>
  <c r="EW6"/>
  <c r="EX6"/>
  <c r="EY6"/>
  <c r="EZ6"/>
  <c r="FA6"/>
  <c r="FB6"/>
  <c r="FC6"/>
  <c r="FD6"/>
  <c r="FE6"/>
  <c r="FF6"/>
  <c r="FG6"/>
  <c r="FH6"/>
  <c r="FI6"/>
  <c r="FJ6"/>
  <c r="FK6"/>
  <c r="FL6"/>
  <c r="FM6"/>
  <c r="FN6"/>
  <c r="FO6"/>
  <c r="FP6"/>
  <c r="FQ6"/>
  <c r="FR6"/>
  <c r="FS6"/>
  <c r="FT6"/>
  <c r="FU6"/>
  <c r="FV6"/>
  <c r="FW6"/>
  <c r="FX6"/>
  <c r="FY6"/>
  <c r="FZ6"/>
  <c r="GA6"/>
  <c r="GB6"/>
  <c r="GC6"/>
  <c r="GD6"/>
  <c r="GE6"/>
  <c r="GF6"/>
  <c r="GG6"/>
  <c r="GH6"/>
  <c r="GI6"/>
  <c r="GJ6"/>
  <c r="GK6"/>
  <c r="GL6"/>
  <c r="GM6"/>
  <c r="GN6"/>
  <c r="GO6"/>
  <c r="GP6"/>
  <c r="GQ6"/>
  <c r="GR6"/>
  <c r="GS6"/>
  <c r="GT6"/>
  <c r="GU6"/>
  <c r="GV6"/>
  <c r="GW6"/>
  <c r="E40" i="1"/>
  <c r="R7" s="1"/>
  <c r="A5" i="4"/>
  <c r="B5"/>
  <c r="C5"/>
  <c r="D5"/>
  <c r="E5"/>
  <c r="F5"/>
  <c r="G5"/>
  <c r="H5"/>
  <c r="I5"/>
  <c r="J5"/>
  <c r="K5"/>
  <c r="L5"/>
  <c r="M5"/>
  <c r="N5"/>
  <c r="O5"/>
  <c r="P5"/>
  <c r="F40" i="1"/>
  <c r="E39"/>
  <c r="F39"/>
  <c r="A4" i="4"/>
  <c r="B4"/>
  <c r="C4"/>
  <c r="D4"/>
  <c r="E4"/>
  <c r="F4"/>
  <c r="G4"/>
  <c r="H4"/>
  <c r="I4"/>
  <c r="J4"/>
  <c r="K4"/>
  <c r="L4"/>
  <c r="M4"/>
  <c r="N4"/>
  <c r="O4"/>
  <c r="P4"/>
  <c r="Q4"/>
  <c r="R4"/>
  <c r="S4"/>
  <c r="T4"/>
  <c r="U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AR4"/>
  <c r="AS4"/>
  <c r="AT4"/>
  <c r="AU4"/>
  <c r="AV4"/>
  <c r="AW4"/>
  <c r="AX4"/>
  <c r="AY4"/>
  <c r="BA4"/>
  <c r="BB4"/>
  <c r="BC4"/>
  <c r="BD4"/>
  <c r="BE4"/>
  <c r="BF4"/>
  <c r="BG4"/>
  <c r="BH4"/>
  <c r="BI4"/>
  <c r="BJ4"/>
  <c r="A3"/>
  <c r="B3"/>
  <c r="C3"/>
  <c r="D3"/>
  <c r="E3"/>
  <c r="F3"/>
  <c r="G3"/>
  <c r="H3"/>
  <c r="I3"/>
  <c r="J3"/>
  <c r="K3"/>
  <c r="L3"/>
  <c r="M3"/>
  <c r="N3"/>
  <c r="O3"/>
  <c r="P3"/>
  <c r="Q3"/>
  <c r="R3"/>
  <c r="S3"/>
  <c r="T3"/>
  <c r="U3"/>
  <c r="V3"/>
  <c r="W3"/>
  <c r="X3"/>
  <c r="Y3"/>
  <c r="Z3"/>
  <c r="AA3"/>
  <c r="AB3"/>
  <c r="AC3"/>
  <c r="AD3"/>
  <c r="AE3"/>
  <c r="AF3"/>
  <c r="AG3"/>
  <c r="AH3"/>
  <c r="AI3"/>
  <c r="AJ3"/>
  <c r="AK3"/>
  <c r="AL3"/>
  <c r="AM3"/>
  <c r="AN3"/>
  <c r="AO3"/>
  <c r="AP3"/>
  <c r="AQ3"/>
  <c r="AR3"/>
  <c r="AS3"/>
  <c r="AT3"/>
  <c r="AU3"/>
  <c r="AV3"/>
  <c r="AW3"/>
  <c r="AX3"/>
  <c r="AY3"/>
  <c r="AZ3"/>
  <c r="BA3"/>
  <c r="BB3"/>
  <c r="BC3"/>
  <c r="BD3"/>
  <c r="BE3"/>
  <c r="BF3"/>
  <c r="BG3"/>
  <c r="BH3"/>
  <c r="BI3"/>
  <c r="BJ3"/>
  <c r="BK3"/>
  <c r="BL3"/>
  <c r="BM3"/>
  <c r="BN3"/>
  <c r="BO3"/>
  <c r="BP3"/>
  <c r="BQ3"/>
  <c r="BR3"/>
  <c r="BS3"/>
  <c r="BT3"/>
  <c r="BU3"/>
  <c r="BV3"/>
  <c r="BW3"/>
  <c r="BX3"/>
  <c r="BY3"/>
  <c r="BZ3"/>
  <c r="CA3"/>
  <c r="CB3"/>
  <c r="CC3"/>
  <c r="CD3"/>
  <c r="CE3"/>
  <c r="CF3"/>
  <c r="CG3"/>
  <c r="CH3"/>
  <c r="CI3"/>
  <c r="CJ3"/>
  <c r="CK3"/>
  <c r="CL3"/>
  <c r="CM3"/>
  <c r="CN3"/>
  <c r="CO3"/>
  <c r="CP3"/>
  <c r="CQ3"/>
  <c r="CR3"/>
  <c r="CS3"/>
  <c r="CT3"/>
  <c r="CU3"/>
  <c r="CV3"/>
  <c r="CW3"/>
  <c r="CX3"/>
  <c r="CY3"/>
  <c r="CZ3"/>
  <c r="DA3"/>
  <c r="DB3"/>
  <c r="DC3"/>
  <c r="DD3"/>
  <c r="DE3"/>
  <c r="DF3"/>
  <c r="DG3"/>
  <c r="DH3"/>
  <c r="DI3"/>
  <c r="DJ3"/>
  <c r="DK3"/>
  <c r="DL3"/>
  <c r="DM3"/>
  <c r="DN3"/>
  <c r="DO3"/>
  <c r="DP3"/>
  <c r="DQ3"/>
  <c r="DR3"/>
  <c r="DS3"/>
  <c r="DT3"/>
  <c r="DU3"/>
  <c r="DV3"/>
  <c r="DW3"/>
  <c r="DX3"/>
  <c r="DY3"/>
  <c r="DZ3"/>
  <c r="EA3"/>
  <c r="EB3"/>
  <c r="EC3"/>
  <c r="ED3"/>
  <c r="EE3"/>
  <c r="EF3"/>
  <c r="EG3"/>
  <c r="EH3"/>
  <c r="EI3"/>
  <c r="EJ3"/>
  <c r="EK3"/>
  <c r="EL3"/>
  <c r="EM3"/>
  <c r="EN3"/>
  <c r="EO3"/>
  <c r="EP3"/>
  <c r="EQ3"/>
  <c r="ER3"/>
  <c r="ES3"/>
  <c r="ET3"/>
  <c r="EU3"/>
  <c r="EV3"/>
  <c r="EW3"/>
  <c r="EX3"/>
  <c r="EY3"/>
  <c r="EZ3"/>
  <c r="FA3"/>
  <c r="FB3"/>
  <c r="FC3"/>
  <c r="FD3"/>
  <c r="FE3"/>
  <c r="FF3"/>
  <c r="FG3"/>
  <c r="FH3"/>
  <c r="FI3"/>
  <c r="FJ3"/>
  <c r="FK3"/>
  <c r="FL3"/>
  <c r="FM3"/>
  <c r="FN3"/>
  <c r="FO3"/>
  <c r="FP3"/>
  <c r="FQ3"/>
  <c r="FR3"/>
  <c r="FS3"/>
  <c r="FT3"/>
  <c r="FU3"/>
  <c r="FV3"/>
  <c r="FW3"/>
  <c r="FX3"/>
  <c r="FY3"/>
  <c r="FZ3"/>
  <c r="GA3"/>
  <c r="GB3"/>
  <c r="GC3"/>
  <c r="GD3"/>
  <c r="GE3"/>
  <c r="GF3"/>
  <c r="GG3"/>
  <c r="GH3"/>
  <c r="GI3"/>
  <c r="GJ3"/>
  <c r="GK3"/>
  <c r="GL3"/>
  <c r="GM3"/>
  <c r="GN3"/>
  <c r="GO3"/>
  <c r="GP3"/>
  <c r="GQ3"/>
  <c r="GR3"/>
  <c r="GS3"/>
  <c r="GT3"/>
  <c r="GU3"/>
  <c r="GV3"/>
  <c r="GW3"/>
  <c r="GX3"/>
  <c r="GY3"/>
  <c r="GZ3"/>
  <c r="HA3"/>
  <c r="HB3"/>
  <c r="HC3"/>
  <c r="HD3"/>
  <c r="HE3"/>
  <c r="HF3"/>
  <c r="HG3"/>
  <c r="HH3"/>
  <c r="HI3"/>
  <c r="HJ3"/>
  <c r="HK3"/>
  <c r="HL3"/>
  <c r="HM3"/>
  <c r="HN3"/>
  <c r="HO3"/>
  <c r="HP3"/>
  <c r="HQ3"/>
  <c r="HR3"/>
  <c r="HS3"/>
  <c r="HT3"/>
  <c r="HU3"/>
  <c r="HV3"/>
  <c r="HW3"/>
  <c r="HX3"/>
  <c r="HY3"/>
  <c r="HZ3"/>
  <c r="IA3"/>
  <c r="IB3"/>
  <c r="IC3"/>
  <c r="ID3"/>
  <c r="IE3"/>
  <c r="IF3"/>
  <c r="IG3"/>
  <c r="IH3"/>
  <c r="II3"/>
  <c r="IJ3"/>
  <c r="IK3"/>
  <c r="IL3"/>
  <c r="IM3"/>
  <c r="IN3"/>
  <c r="IO3"/>
  <c r="IP3"/>
  <c r="IQ3"/>
  <c r="IR3"/>
  <c r="IS3"/>
  <c r="IT3"/>
  <c r="IU3"/>
  <c r="IV3"/>
  <c r="E38" i="1"/>
  <c r="F38"/>
  <c r="E37"/>
  <c r="F37"/>
  <c r="E36"/>
  <c r="F36"/>
  <c r="E35"/>
  <c r="F35"/>
  <c r="E34"/>
  <c r="F34"/>
  <c r="E32"/>
  <c r="E33"/>
  <c r="F33"/>
  <c r="F32"/>
  <c r="E31"/>
  <c r="F31"/>
  <c r="E30"/>
  <c r="F30"/>
  <c r="E29"/>
  <c r="F29"/>
  <c r="E28"/>
  <c r="F28"/>
  <c r="E27"/>
  <c r="F27"/>
  <c r="E26"/>
  <c r="F26"/>
  <c r="E25"/>
  <c r="F25"/>
  <c r="E24"/>
  <c r="F24"/>
  <c r="E23"/>
  <c r="F23"/>
  <c r="E22"/>
  <c r="F22"/>
  <c r="E21"/>
  <c r="F21"/>
  <c r="E20"/>
  <c r="F20"/>
  <c r="E19"/>
  <c r="F19"/>
  <c r="E18"/>
  <c r="F18"/>
  <c r="E17"/>
  <c r="F17"/>
  <c r="E16"/>
  <c r="F16"/>
  <c r="E15"/>
  <c r="F15"/>
  <c r="E14"/>
  <c r="F14"/>
  <c r="E13"/>
  <c r="F13"/>
  <c r="F3"/>
  <c r="F4"/>
  <c r="F5"/>
  <c r="F6"/>
  <c r="F7"/>
  <c r="F8"/>
  <c r="F9"/>
  <c r="F10"/>
  <c r="F11"/>
  <c r="F12"/>
  <c r="F2"/>
  <c r="E12"/>
  <c r="A2" i="4"/>
  <c r="B2"/>
  <c r="C2"/>
  <c r="D2"/>
  <c r="E2"/>
  <c r="F2"/>
  <c r="G2"/>
  <c r="H2"/>
  <c r="I2"/>
  <c r="J2"/>
  <c r="K2"/>
  <c r="L2"/>
  <c r="E11" i="1"/>
  <c r="E10"/>
  <c r="A1" i="4"/>
  <c r="B1"/>
  <c r="C1"/>
  <c r="D1"/>
  <c r="E1"/>
  <c r="F1"/>
  <c r="G1"/>
  <c r="H1"/>
  <c r="I1"/>
  <c r="J1"/>
  <c r="K1"/>
  <c r="L1"/>
  <c r="M1"/>
  <c r="N1"/>
  <c r="O1"/>
  <c r="P1"/>
  <c r="Q1"/>
  <c r="R1"/>
  <c r="S1"/>
  <c r="T1"/>
  <c r="U1"/>
  <c r="V1"/>
  <c r="W1"/>
  <c r="X1"/>
  <c r="Y1"/>
  <c r="Z1"/>
  <c r="AA1"/>
  <c r="AB1"/>
  <c r="AC1"/>
  <c r="AD1"/>
  <c r="AE1"/>
  <c r="AF1"/>
  <c r="AG1"/>
  <c r="AH1"/>
  <c r="AI1"/>
  <c r="AJ1"/>
  <c r="AK1"/>
  <c r="AL1"/>
  <c r="AM1"/>
  <c r="AN1"/>
  <c r="AO1"/>
  <c r="AP1"/>
  <c r="AQ1"/>
  <c r="AR1"/>
  <c r="AS1"/>
  <c r="AT1"/>
  <c r="AU1"/>
  <c r="AV1"/>
  <c r="AW1"/>
  <c r="AX1"/>
  <c r="AY1"/>
  <c r="AZ1"/>
  <c r="BA1"/>
  <c r="BB1"/>
  <c r="BC1"/>
  <c r="BD1"/>
  <c r="BE1"/>
  <c r="BF1"/>
  <c r="BG1"/>
  <c r="BH1"/>
  <c r="BI1"/>
  <c r="BJ1"/>
  <c r="BK1"/>
  <c r="BL1"/>
  <c r="BM1"/>
  <c r="BN1"/>
  <c r="BO1"/>
  <c r="BP1"/>
  <c r="BQ1"/>
  <c r="BR1"/>
  <c r="BS1"/>
  <c r="BT1"/>
  <c r="BU1"/>
  <c r="BV1"/>
  <c r="BW1"/>
  <c r="BX1"/>
  <c r="BY1"/>
  <c r="BZ1"/>
  <c r="CA1"/>
  <c r="CB1"/>
  <c r="CC1"/>
  <c r="CD1"/>
  <c r="CE1"/>
  <c r="CF1"/>
  <c r="CG1"/>
  <c r="CH1"/>
  <c r="CI1"/>
  <c r="CJ1"/>
  <c r="CK1"/>
  <c r="CL1"/>
  <c r="CM1"/>
  <c r="CN1"/>
  <c r="CO1"/>
  <c r="CP1"/>
  <c r="CQ1"/>
  <c r="CR1"/>
  <c r="CS1"/>
  <c r="CT1"/>
  <c r="CU1"/>
  <c r="CV1"/>
  <c r="CW1"/>
  <c r="CX1"/>
  <c r="CY1"/>
  <c r="CZ1"/>
  <c r="DA1"/>
  <c r="DB1"/>
  <c r="DC1"/>
  <c r="DD1"/>
  <c r="DE1"/>
  <c r="DF1"/>
  <c r="E9" i="1"/>
  <c r="E3"/>
  <c r="E4"/>
  <c r="E5"/>
  <c r="E6"/>
  <c r="E7"/>
  <c r="E8"/>
  <c r="E2"/>
  <c r="R8"/>
  <c r="R6" l="1"/>
</calcChain>
</file>

<file path=xl/sharedStrings.xml><?xml version="1.0" encoding="utf-8"?>
<sst xmlns="http://schemas.openxmlformats.org/spreadsheetml/2006/main" count="128" uniqueCount="44">
  <si>
    <t>AAAAAHX//24=</t>
  </si>
  <si>
    <t>mean</t>
  </si>
  <si>
    <t>stdev</t>
  </si>
  <si>
    <t>median</t>
  </si>
  <si>
    <t>DataSets after pipeline</t>
  </si>
  <si>
    <t>Ratio of Picked DataSets to Total DataSets</t>
  </si>
  <si>
    <t>Singlenet ROC</t>
  </si>
  <si>
    <t>Multinet ROC</t>
  </si>
  <si>
    <t>Multinet ROC - Singlenet ROC</t>
  </si>
  <si>
    <t>Number of Picked DataSets</t>
  </si>
  <si>
    <t>Total number of DataSets available</t>
  </si>
  <si>
    <t>Anova: Single Factor</t>
  </si>
  <si>
    <t>SUMMARY</t>
  </si>
  <si>
    <t>Groups</t>
  </si>
  <si>
    <t>Count</t>
  </si>
  <si>
    <t>Sum</t>
  </si>
  <si>
    <t>Average</t>
  </si>
  <si>
    <t>Variance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</si>
  <si>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</si>
  <si>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</si>
  <si>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</si>
  <si>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</si>
  <si>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</si>
  <si>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</si>
  <si>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</si>
  <si>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</si>
  <si>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Between Groups</t>
  </si>
  <si>
    <t>Within Groups</t>
  </si>
  <si>
    <t>Total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</si>
  <si>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</si>
  <si>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</si>
  <si>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</si>
  <si>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</si>
  <si>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</si>
  <si>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</si>
  <si>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</si>
  <si>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</si>
  <si>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</si>
  <si>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</si>
  <si>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</si>
  <si>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Largest(1)</t>
  </si>
  <si>
    <t>Smallest(1)</t>
  </si>
  <si>
    <t>Confidence Level(95.0%)</t>
  </si>
  <si>
    <t>Magnitude of Multinet ROC - Singlenet ROC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</si>
</sst>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lineMarker"/>
        <c:ser>
          <c:idx val="0"/>
          <c:order val="0"/>
          <c:tx>
            <c:v>Difference versus Ratio</c:v>
          </c:tx>
          <c:spPr>
            <a:ln w="28575">
              <a:noFill/>
            </a:ln>
          </c:spPr>
          <c:xVal>
            <c:numRef>
              <c:f>Sheet1!$F$2:$F$48</c:f>
              <c:numCache>
                <c:formatCode>General</c:formatCode>
                <c:ptCount val="47"/>
                <c:pt idx="0">
                  <c:v>0.66666666666666663</c:v>
                </c:pt>
                <c:pt idx="1">
                  <c:v>0.53846153846153844</c:v>
                </c:pt>
                <c:pt idx="2">
                  <c:v>0.7</c:v>
                </c:pt>
                <c:pt idx="3">
                  <c:v>0.6</c:v>
                </c:pt>
                <c:pt idx="4">
                  <c:v>0.7142857142857143</c:v>
                </c:pt>
                <c:pt idx="5">
                  <c:v>0.5714285714285714</c:v>
                </c:pt>
                <c:pt idx="6">
                  <c:v>0.32142857142857145</c:v>
                </c:pt>
                <c:pt idx="7">
                  <c:v>0.75</c:v>
                </c:pt>
                <c:pt idx="8">
                  <c:v>0.55555555555555558</c:v>
                </c:pt>
                <c:pt idx="9">
                  <c:v>0.42857142857142855</c:v>
                </c:pt>
                <c:pt idx="10">
                  <c:v>0.35714285714285715</c:v>
                </c:pt>
                <c:pt idx="11">
                  <c:v>1</c:v>
                </c:pt>
                <c:pt idx="12">
                  <c:v>0.83333333333333337</c:v>
                </c:pt>
                <c:pt idx="13">
                  <c:v>0.66666666666666663</c:v>
                </c:pt>
                <c:pt idx="14">
                  <c:v>0.48979591836734693</c:v>
                </c:pt>
                <c:pt idx="15">
                  <c:v>0.7142857142857143</c:v>
                </c:pt>
                <c:pt idx="16">
                  <c:v>0.8571428571428571</c:v>
                </c:pt>
                <c:pt idx="17">
                  <c:v>0.78947368421052633</c:v>
                </c:pt>
                <c:pt idx="18">
                  <c:v>0.5714285714285714</c:v>
                </c:pt>
                <c:pt idx="19">
                  <c:v>0.55555555555555558</c:v>
                </c:pt>
                <c:pt idx="20">
                  <c:v>0.70370370370370372</c:v>
                </c:pt>
                <c:pt idx="21">
                  <c:v>0.83870967741935487</c:v>
                </c:pt>
                <c:pt idx="22">
                  <c:v>0.51428571428571423</c:v>
                </c:pt>
                <c:pt idx="23">
                  <c:v>0.75</c:v>
                </c:pt>
                <c:pt idx="24">
                  <c:v>0.56521739130434778</c:v>
                </c:pt>
                <c:pt idx="25">
                  <c:v>0.66666666666666663</c:v>
                </c:pt>
                <c:pt idx="26">
                  <c:v>0.8</c:v>
                </c:pt>
                <c:pt idx="27">
                  <c:v>0.83333333333333337</c:v>
                </c:pt>
                <c:pt idx="28">
                  <c:v>0.82222222222222219</c:v>
                </c:pt>
                <c:pt idx="29">
                  <c:v>0.66666666666666663</c:v>
                </c:pt>
                <c:pt idx="30">
                  <c:v>0.76363636363636367</c:v>
                </c:pt>
                <c:pt idx="31">
                  <c:v>0.6</c:v>
                </c:pt>
                <c:pt idx="32">
                  <c:v>0.45454545454545453</c:v>
                </c:pt>
                <c:pt idx="33">
                  <c:v>0.7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0.5</c:v>
                </c:pt>
                <c:pt idx="38">
                  <c:v>0.55555555555555558</c:v>
                </c:pt>
              </c:numCache>
            </c:numRef>
          </c:xVal>
          <c:yVal>
            <c:numRef>
              <c:f>Sheet1!$E$2:$E$459</c:f>
              <c:numCache>
                <c:formatCode>General</c:formatCode>
                <c:ptCount val="458"/>
                <c:pt idx="0">
                  <c:v>0.32899999999999996</c:v>
                </c:pt>
                <c:pt idx="1">
                  <c:v>0.26199999999999996</c:v>
                </c:pt>
                <c:pt idx="2">
                  <c:v>7.0000000000000062E-3</c:v>
                </c:pt>
                <c:pt idx="3">
                  <c:v>-8.7000000000000077E-2</c:v>
                </c:pt>
                <c:pt idx="4">
                  <c:v>-0.15500000000000003</c:v>
                </c:pt>
                <c:pt idx="5">
                  <c:v>4.3000000000000038E-2</c:v>
                </c:pt>
                <c:pt idx="6">
                  <c:v>-7.6000000000000068E-2</c:v>
                </c:pt>
                <c:pt idx="7">
                  <c:v>5.5000000000000049E-2</c:v>
                </c:pt>
                <c:pt idx="8">
                  <c:v>1.2999999999999956E-2</c:v>
                </c:pt>
                <c:pt idx="9">
                  <c:v>0.22300000000000003</c:v>
                </c:pt>
                <c:pt idx="10">
                  <c:v>3.9999999999998925E-3</c:v>
                </c:pt>
                <c:pt idx="11">
                  <c:v>-9.5999999999999974E-2</c:v>
                </c:pt>
                <c:pt idx="12">
                  <c:v>2.4000000000000021E-2</c:v>
                </c:pt>
                <c:pt idx="13">
                  <c:v>-0.12</c:v>
                </c:pt>
                <c:pt idx="14">
                  <c:v>-7.6000000000000012E-2</c:v>
                </c:pt>
                <c:pt idx="15">
                  <c:v>-0.17600000000000005</c:v>
                </c:pt>
                <c:pt idx="16">
                  <c:v>0.21099999999999997</c:v>
                </c:pt>
                <c:pt idx="17">
                  <c:v>1.7000000000000015E-2</c:v>
                </c:pt>
                <c:pt idx="18">
                  <c:v>4.1999999999999982E-2</c:v>
                </c:pt>
                <c:pt idx="19">
                  <c:v>-6.9999999999999951E-2</c:v>
                </c:pt>
                <c:pt idx="20">
                  <c:v>-3.0000000000000027E-2</c:v>
                </c:pt>
                <c:pt idx="21">
                  <c:v>2.4000000000000021E-2</c:v>
                </c:pt>
                <c:pt idx="22">
                  <c:v>-3.1000000000000028E-2</c:v>
                </c:pt>
                <c:pt idx="23">
                  <c:v>0</c:v>
                </c:pt>
                <c:pt idx="24">
                  <c:v>-5.1999999999999935E-2</c:v>
                </c:pt>
                <c:pt idx="25">
                  <c:v>1.2000000000000011E-2</c:v>
                </c:pt>
                <c:pt idx="26">
                  <c:v>0</c:v>
                </c:pt>
                <c:pt idx="27">
                  <c:v>-1.0000000000000009E-2</c:v>
                </c:pt>
                <c:pt idx="28">
                  <c:v>0</c:v>
                </c:pt>
                <c:pt idx="29">
                  <c:v>5.600000000000005E-2</c:v>
                </c:pt>
                <c:pt idx="30">
                  <c:v>-5.0999999999999934E-2</c:v>
                </c:pt>
                <c:pt idx="31">
                  <c:v>2.7000000000000024E-2</c:v>
                </c:pt>
                <c:pt idx="32">
                  <c:v>3.6000000000000032E-2</c:v>
                </c:pt>
                <c:pt idx="33">
                  <c:v>6.3999999999999946E-2</c:v>
                </c:pt>
                <c:pt idx="34">
                  <c:v>-4.0000000000000036E-2</c:v>
                </c:pt>
                <c:pt idx="35">
                  <c:v>-0.27999999999999997</c:v>
                </c:pt>
                <c:pt idx="36">
                  <c:v>-3.0999999999999917E-2</c:v>
                </c:pt>
                <c:pt idx="37">
                  <c:v>-3.9000000000000035E-2</c:v>
                </c:pt>
                <c:pt idx="38">
                  <c:v>-6.9000000000000006E-2</c:v>
                </c:pt>
              </c:numCache>
            </c:numRef>
          </c:yVal>
        </c:ser>
        <c:axId val="184942976"/>
        <c:axId val="184944512"/>
      </c:scatterChart>
      <c:valAx>
        <c:axId val="184942976"/>
        <c:scaling>
          <c:orientation val="minMax"/>
        </c:scaling>
        <c:axPos val="b"/>
        <c:numFmt formatCode="General" sourceLinked="1"/>
        <c:tickLblPos val="nextTo"/>
        <c:crossAx val="184944512"/>
        <c:crosses val="autoZero"/>
        <c:crossBetween val="midCat"/>
      </c:valAx>
      <c:valAx>
        <c:axId val="184944512"/>
        <c:scaling>
          <c:orientation val="minMax"/>
        </c:scaling>
        <c:axPos val="l"/>
        <c:majorGridlines/>
        <c:numFmt formatCode="General" sourceLinked="1"/>
        <c:tickLblPos val="nextTo"/>
        <c:crossAx val="18494297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>
        <c:manualLayout>
          <c:xMode val="edge"/>
          <c:yMode val="edge"/>
          <c:x val="0.23759711286089247"/>
          <c:y val="3.2407407407407419E-2"/>
        </c:manualLayout>
      </c:layout>
    </c:title>
    <c:plotArea>
      <c:layout/>
      <c:scatterChart>
        <c:scatterStyle val="lineMarker"/>
        <c:ser>
          <c:idx val="0"/>
          <c:order val="0"/>
          <c:tx>
            <c:v>Difference Versus Picked</c:v>
          </c:tx>
          <c:spPr>
            <a:ln w="28575">
              <a:noFill/>
            </a:ln>
          </c:spPr>
          <c:xVal>
            <c:numRef>
              <c:f>Sheet1!$A$2:$A$211</c:f>
              <c:numCache>
                <c:formatCode>General</c:formatCode>
                <c:ptCount val="210"/>
                <c:pt idx="0">
                  <c:v>2</c:v>
                </c:pt>
                <c:pt idx="1">
                  <c:v>7</c:v>
                </c:pt>
                <c:pt idx="2">
                  <c:v>7</c:v>
                </c:pt>
                <c:pt idx="3">
                  <c:v>3</c:v>
                </c:pt>
                <c:pt idx="4">
                  <c:v>10</c:v>
                </c:pt>
                <c:pt idx="5">
                  <c:v>16</c:v>
                </c:pt>
                <c:pt idx="6">
                  <c:v>9</c:v>
                </c:pt>
                <c:pt idx="7">
                  <c:v>3</c:v>
                </c:pt>
                <c:pt idx="8">
                  <c:v>10</c:v>
                </c:pt>
                <c:pt idx="9">
                  <c:v>12</c:v>
                </c:pt>
                <c:pt idx="10">
                  <c:v>5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24</c:v>
                </c:pt>
                <c:pt idx="15">
                  <c:v>5</c:v>
                </c:pt>
                <c:pt idx="16">
                  <c:v>12</c:v>
                </c:pt>
                <c:pt idx="17">
                  <c:v>15</c:v>
                </c:pt>
                <c:pt idx="18">
                  <c:v>8</c:v>
                </c:pt>
                <c:pt idx="19">
                  <c:v>10</c:v>
                </c:pt>
                <c:pt idx="20">
                  <c:v>19</c:v>
                </c:pt>
                <c:pt idx="21">
                  <c:v>26</c:v>
                </c:pt>
                <c:pt idx="22">
                  <c:v>18</c:v>
                </c:pt>
                <c:pt idx="23">
                  <c:v>9</c:v>
                </c:pt>
                <c:pt idx="24">
                  <c:v>13</c:v>
                </c:pt>
                <c:pt idx="25">
                  <c:v>4</c:v>
                </c:pt>
                <c:pt idx="26">
                  <c:v>32</c:v>
                </c:pt>
                <c:pt idx="27">
                  <c:v>5</c:v>
                </c:pt>
                <c:pt idx="28">
                  <c:v>74</c:v>
                </c:pt>
                <c:pt idx="29">
                  <c:v>30</c:v>
                </c:pt>
                <c:pt idx="30">
                  <c:v>42</c:v>
                </c:pt>
                <c:pt idx="31">
                  <c:v>21</c:v>
                </c:pt>
                <c:pt idx="32">
                  <c:v>10</c:v>
                </c:pt>
                <c:pt idx="33">
                  <c:v>7</c:v>
                </c:pt>
                <c:pt idx="34">
                  <c:v>4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15</c:v>
                </c:pt>
              </c:numCache>
            </c:numRef>
          </c:xVal>
          <c:yVal>
            <c:numRef>
              <c:f>Sheet1!$E$2:$E$113</c:f>
              <c:numCache>
                <c:formatCode>General</c:formatCode>
                <c:ptCount val="112"/>
                <c:pt idx="0">
                  <c:v>0.32899999999999996</c:v>
                </c:pt>
                <c:pt idx="1">
                  <c:v>0.26199999999999996</c:v>
                </c:pt>
                <c:pt idx="2">
                  <c:v>7.0000000000000062E-3</c:v>
                </c:pt>
                <c:pt idx="3">
                  <c:v>-8.7000000000000077E-2</c:v>
                </c:pt>
                <c:pt idx="4">
                  <c:v>-0.15500000000000003</c:v>
                </c:pt>
                <c:pt idx="5">
                  <c:v>4.3000000000000038E-2</c:v>
                </c:pt>
                <c:pt idx="6">
                  <c:v>-7.6000000000000068E-2</c:v>
                </c:pt>
                <c:pt idx="7">
                  <c:v>5.5000000000000049E-2</c:v>
                </c:pt>
                <c:pt idx="8">
                  <c:v>1.2999999999999956E-2</c:v>
                </c:pt>
                <c:pt idx="9">
                  <c:v>0.22300000000000003</c:v>
                </c:pt>
                <c:pt idx="10">
                  <c:v>3.9999999999998925E-3</c:v>
                </c:pt>
                <c:pt idx="11">
                  <c:v>-9.5999999999999974E-2</c:v>
                </c:pt>
                <c:pt idx="12">
                  <c:v>2.4000000000000021E-2</c:v>
                </c:pt>
                <c:pt idx="13">
                  <c:v>-0.12</c:v>
                </c:pt>
                <c:pt idx="14">
                  <c:v>-7.6000000000000012E-2</c:v>
                </c:pt>
                <c:pt idx="15">
                  <c:v>-0.17600000000000005</c:v>
                </c:pt>
                <c:pt idx="16">
                  <c:v>0.21099999999999997</c:v>
                </c:pt>
                <c:pt idx="17">
                  <c:v>1.7000000000000015E-2</c:v>
                </c:pt>
                <c:pt idx="18">
                  <c:v>4.1999999999999982E-2</c:v>
                </c:pt>
                <c:pt idx="19">
                  <c:v>-6.9999999999999951E-2</c:v>
                </c:pt>
                <c:pt idx="20">
                  <c:v>-3.0000000000000027E-2</c:v>
                </c:pt>
                <c:pt idx="21">
                  <c:v>2.4000000000000021E-2</c:v>
                </c:pt>
                <c:pt idx="22">
                  <c:v>-3.1000000000000028E-2</c:v>
                </c:pt>
                <c:pt idx="23">
                  <c:v>0</c:v>
                </c:pt>
                <c:pt idx="24">
                  <c:v>-5.1999999999999935E-2</c:v>
                </c:pt>
                <c:pt idx="25">
                  <c:v>1.2000000000000011E-2</c:v>
                </c:pt>
                <c:pt idx="26">
                  <c:v>0</c:v>
                </c:pt>
                <c:pt idx="27">
                  <c:v>-1.0000000000000009E-2</c:v>
                </c:pt>
                <c:pt idx="28">
                  <c:v>0</c:v>
                </c:pt>
                <c:pt idx="29">
                  <c:v>5.600000000000005E-2</c:v>
                </c:pt>
                <c:pt idx="30">
                  <c:v>-5.0999999999999934E-2</c:v>
                </c:pt>
                <c:pt idx="31">
                  <c:v>2.7000000000000024E-2</c:v>
                </c:pt>
                <c:pt idx="32">
                  <c:v>3.6000000000000032E-2</c:v>
                </c:pt>
                <c:pt idx="33">
                  <c:v>6.3999999999999946E-2</c:v>
                </c:pt>
                <c:pt idx="34">
                  <c:v>-4.0000000000000036E-2</c:v>
                </c:pt>
                <c:pt idx="35">
                  <c:v>-0.27999999999999997</c:v>
                </c:pt>
                <c:pt idx="36">
                  <c:v>-3.0999999999999917E-2</c:v>
                </c:pt>
                <c:pt idx="37">
                  <c:v>-3.9000000000000035E-2</c:v>
                </c:pt>
                <c:pt idx="38">
                  <c:v>-6.9000000000000006E-2</c:v>
                </c:pt>
              </c:numCache>
            </c:numRef>
          </c:yVal>
        </c:ser>
        <c:axId val="184965376"/>
        <c:axId val="184983552"/>
      </c:scatterChart>
      <c:valAx>
        <c:axId val="184965376"/>
        <c:scaling>
          <c:orientation val="minMax"/>
        </c:scaling>
        <c:axPos val="b"/>
        <c:numFmt formatCode="General" sourceLinked="1"/>
        <c:tickLblPos val="nextTo"/>
        <c:crossAx val="184983552"/>
        <c:crosses val="autoZero"/>
        <c:crossBetween val="midCat"/>
      </c:valAx>
      <c:valAx>
        <c:axId val="184983552"/>
        <c:scaling>
          <c:orientation val="minMax"/>
        </c:scaling>
        <c:axPos val="l"/>
        <c:majorGridlines/>
        <c:numFmt formatCode="General" sourceLinked="1"/>
        <c:tickLblPos val="nextTo"/>
        <c:crossAx val="184965376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/>
    <c:plotArea>
      <c:layout/>
      <c:scatterChart>
        <c:scatterStyle val="lineMarker"/>
        <c:ser>
          <c:idx val="0"/>
          <c:order val="0"/>
          <c:tx>
            <c:v>Difference Versus Datasets after Pipeline</c:v>
          </c:tx>
          <c:spPr>
            <a:ln w="28575">
              <a:noFill/>
            </a:ln>
          </c:spPr>
          <c:xVal>
            <c:numRef>
              <c:f>Sheet1!$G$2:$G$194</c:f>
              <c:numCache>
                <c:formatCode>General</c:formatCode>
                <c:ptCount val="19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3</c:v>
                </c:pt>
                <c:pt idx="7">
                  <c:v>3</c:v>
                </c:pt>
                <c:pt idx="8">
                  <c:v>6</c:v>
                </c:pt>
                <c:pt idx="9">
                  <c:v>2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5</c:v>
                </c:pt>
                <c:pt idx="15">
                  <c:v>4</c:v>
                </c:pt>
                <c:pt idx="16">
                  <c:v>5</c:v>
                </c:pt>
                <c:pt idx="17">
                  <c:v>4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9</c:v>
                </c:pt>
                <c:pt idx="22">
                  <c:v>2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16</c:v>
                </c:pt>
                <c:pt idx="27">
                  <c:v>2</c:v>
                </c:pt>
                <c:pt idx="28">
                  <c:v>13</c:v>
                </c:pt>
                <c:pt idx="29">
                  <c:v>5</c:v>
                </c:pt>
                <c:pt idx="30">
                  <c:v>3</c:v>
                </c:pt>
                <c:pt idx="31">
                  <c:v>4</c:v>
                </c:pt>
                <c:pt idx="32">
                  <c:v>4</c:v>
                </c:pt>
                <c:pt idx="33">
                  <c:v>3</c:v>
                </c:pt>
                <c:pt idx="34">
                  <c:v>3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</c:numCache>
            </c:numRef>
          </c:xVal>
          <c:yVal>
            <c:numRef>
              <c:f>Sheet1!$E$2:$E$263</c:f>
              <c:numCache>
                <c:formatCode>General</c:formatCode>
                <c:ptCount val="262"/>
                <c:pt idx="0">
                  <c:v>0.32899999999999996</c:v>
                </c:pt>
                <c:pt idx="1">
                  <c:v>0.26199999999999996</c:v>
                </c:pt>
                <c:pt idx="2">
                  <c:v>7.0000000000000062E-3</c:v>
                </c:pt>
                <c:pt idx="3">
                  <c:v>-8.7000000000000077E-2</c:v>
                </c:pt>
                <c:pt idx="4">
                  <c:v>-0.15500000000000003</c:v>
                </c:pt>
                <c:pt idx="5">
                  <c:v>4.3000000000000038E-2</c:v>
                </c:pt>
                <c:pt idx="6">
                  <c:v>-7.6000000000000068E-2</c:v>
                </c:pt>
                <c:pt idx="7">
                  <c:v>5.5000000000000049E-2</c:v>
                </c:pt>
                <c:pt idx="8">
                  <c:v>1.2999999999999956E-2</c:v>
                </c:pt>
                <c:pt idx="9">
                  <c:v>0.22300000000000003</c:v>
                </c:pt>
                <c:pt idx="10">
                  <c:v>3.9999999999998925E-3</c:v>
                </c:pt>
                <c:pt idx="11">
                  <c:v>-9.5999999999999974E-2</c:v>
                </c:pt>
                <c:pt idx="12">
                  <c:v>2.4000000000000021E-2</c:v>
                </c:pt>
                <c:pt idx="13">
                  <c:v>-0.12</c:v>
                </c:pt>
                <c:pt idx="14">
                  <c:v>-7.6000000000000012E-2</c:v>
                </c:pt>
                <c:pt idx="15">
                  <c:v>-0.17600000000000005</c:v>
                </c:pt>
                <c:pt idx="16">
                  <c:v>0.21099999999999997</c:v>
                </c:pt>
                <c:pt idx="17">
                  <c:v>1.7000000000000015E-2</c:v>
                </c:pt>
                <c:pt idx="18">
                  <c:v>4.1999999999999982E-2</c:v>
                </c:pt>
                <c:pt idx="19">
                  <c:v>-6.9999999999999951E-2</c:v>
                </c:pt>
                <c:pt idx="20">
                  <c:v>-3.0000000000000027E-2</c:v>
                </c:pt>
                <c:pt idx="21">
                  <c:v>2.4000000000000021E-2</c:v>
                </c:pt>
                <c:pt idx="22">
                  <c:v>-3.1000000000000028E-2</c:v>
                </c:pt>
                <c:pt idx="23">
                  <c:v>0</c:v>
                </c:pt>
                <c:pt idx="24">
                  <c:v>-5.1999999999999935E-2</c:v>
                </c:pt>
                <c:pt idx="25">
                  <c:v>1.2000000000000011E-2</c:v>
                </c:pt>
                <c:pt idx="26">
                  <c:v>0</c:v>
                </c:pt>
                <c:pt idx="27">
                  <c:v>-1.0000000000000009E-2</c:v>
                </c:pt>
                <c:pt idx="28">
                  <c:v>0</c:v>
                </c:pt>
                <c:pt idx="29">
                  <c:v>5.600000000000005E-2</c:v>
                </c:pt>
                <c:pt idx="30">
                  <c:v>-5.0999999999999934E-2</c:v>
                </c:pt>
                <c:pt idx="31">
                  <c:v>2.7000000000000024E-2</c:v>
                </c:pt>
                <c:pt idx="32">
                  <c:v>3.6000000000000032E-2</c:v>
                </c:pt>
                <c:pt idx="33">
                  <c:v>6.3999999999999946E-2</c:v>
                </c:pt>
                <c:pt idx="34">
                  <c:v>-4.0000000000000036E-2</c:v>
                </c:pt>
                <c:pt idx="35">
                  <c:v>-0.27999999999999997</c:v>
                </c:pt>
                <c:pt idx="36">
                  <c:v>-3.0999999999999917E-2</c:v>
                </c:pt>
                <c:pt idx="37">
                  <c:v>-3.9000000000000035E-2</c:v>
                </c:pt>
                <c:pt idx="38">
                  <c:v>-6.9000000000000006E-2</c:v>
                </c:pt>
              </c:numCache>
            </c:numRef>
          </c:yVal>
        </c:ser>
        <c:axId val="184995200"/>
        <c:axId val="187372672"/>
      </c:scatterChart>
      <c:valAx>
        <c:axId val="184995200"/>
        <c:scaling>
          <c:orientation val="minMax"/>
        </c:scaling>
        <c:axPos val="b"/>
        <c:numFmt formatCode="General" sourceLinked="1"/>
        <c:tickLblPos val="nextTo"/>
        <c:crossAx val="187372672"/>
        <c:crosses val="autoZero"/>
        <c:crossBetween val="midCat"/>
      </c:valAx>
      <c:valAx>
        <c:axId val="187372672"/>
        <c:scaling>
          <c:orientation val="minMax"/>
        </c:scaling>
        <c:axPos val="l"/>
        <c:majorGridlines/>
        <c:numFmt formatCode="General" sourceLinked="1"/>
        <c:tickLblPos val="nextTo"/>
        <c:crossAx val="184995200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lineMarker"/>
        <c:ser>
          <c:idx val="3"/>
          <c:order val="0"/>
          <c:tx>
            <c:v>Difference between Multinet AUROC and Single Net AUROC versus Ratio</c:v>
          </c:tx>
          <c:spPr>
            <a:ln w="28575">
              <a:noFill/>
            </a:ln>
          </c:spPr>
          <c:marker>
            <c:symbol val="diamond"/>
            <c:size val="7"/>
          </c:marker>
          <c:xVal>
            <c:numRef>
              <c:f>Sheet2!$F$2:$F$39</c:f>
              <c:numCache>
                <c:formatCode>General</c:formatCode>
                <c:ptCount val="38"/>
                <c:pt idx="0">
                  <c:v>0.66666666666666663</c:v>
                </c:pt>
                <c:pt idx="1">
                  <c:v>0.53846153846153844</c:v>
                </c:pt>
                <c:pt idx="2">
                  <c:v>0.7</c:v>
                </c:pt>
                <c:pt idx="3">
                  <c:v>0.6</c:v>
                </c:pt>
                <c:pt idx="4">
                  <c:v>0.7142857142857143</c:v>
                </c:pt>
                <c:pt idx="5">
                  <c:v>0.5714285714285714</c:v>
                </c:pt>
                <c:pt idx="6">
                  <c:v>0.32142857142857145</c:v>
                </c:pt>
                <c:pt idx="7">
                  <c:v>0.75</c:v>
                </c:pt>
                <c:pt idx="8">
                  <c:v>0.55555555555555558</c:v>
                </c:pt>
                <c:pt idx="9">
                  <c:v>0.42857142857142855</c:v>
                </c:pt>
                <c:pt idx="10">
                  <c:v>0.35714285714285715</c:v>
                </c:pt>
                <c:pt idx="11">
                  <c:v>1</c:v>
                </c:pt>
                <c:pt idx="12">
                  <c:v>0.83333333333333337</c:v>
                </c:pt>
                <c:pt idx="13">
                  <c:v>0.66666666666666663</c:v>
                </c:pt>
                <c:pt idx="14">
                  <c:v>0.48979591836734693</c:v>
                </c:pt>
                <c:pt idx="15">
                  <c:v>0.7142857142857143</c:v>
                </c:pt>
                <c:pt idx="16">
                  <c:v>0.8571428571428571</c:v>
                </c:pt>
                <c:pt idx="17">
                  <c:v>0.78947368421052633</c:v>
                </c:pt>
                <c:pt idx="18">
                  <c:v>0.5714285714285714</c:v>
                </c:pt>
                <c:pt idx="19">
                  <c:v>0.55555555555555558</c:v>
                </c:pt>
                <c:pt idx="20">
                  <c:v>0.70370370370370372</c:v>
                </c:pt>
                <c:pt idx="21">
                  <c:v>0.83870967741935487</c:v>
                </c:pt>
                <c:pt idx="22">
                  <c:v>0.51428571428571423</c:v>
                </c:pt>
                <c:pt idx="23">
                  <c:v>0.75</c:v>
                </c:pt>
                <c:pt idx="24">
                  <c:v>0.56521739130434778</c:v>
                </c:pt>
                <c:pt idx="25">
                  <c:v>0.66666666666666663</c:v>
                </c:pt>
                <c:pt idx="26">
                  <c:v>0.8</c:v>
                </c:pt>
                <c:pt idx="27">
                  <c:v>0.83333333333333337</c:v>
                </c:pt>
                <c:pt idx="28">
                  <c:v>0.66666666666666663</c:v>
                </c:pt>
                <c:pt idx="29">
                  <c:v>0.76363636363636367</c:v>
                </c:pt>
                <c:pt idx="30">
                  <c:v>0.6</c:v>
                </c:pt>
                <c:pt idx="31">
                  <c:v>0.45454545454545453</c:v>
                </c:pt>
                <c:pt idx="32">
                  <c:v>0.8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0.5</c:v>
                </c:pt>
                <c:pt idx="37">
                  <c:v>0.55555555555555558</c:v>
                </c:pt>
              </c:numCache>
            </c:numRef>
          </c:xVal>
          <c:yVal>
            <c:numRef>
              <c:f>Sheet2!$H$2:$H$39</c:f>
              <c:numCache>
                <c:formatCode>General</c:formatCode>
                <c:ptCount val="38"/>
                <c:pt idx="0">
                  <c:v>0</c:v>
                </c:pt>
                <c:pt idx="1">
                  <c:v>1.7999999999999905E-2</c:v>
                </c:pt>
                <c:pt idx="2">
                  <c:v>9.000000000000008E-3</c:v>
                </c:pt>
                <c:pt idx="3">
                  <c:v>-2.200000000000002E-2</c:v>
                </c:pt>
                <c:pt idx="4">
                  <c:v>0</c:v>
                </c:pt>
                <c:pt idx="5">
                  <c:v>2.7999999999999914E-2</c:v>
                </c:pt>
                <c:pt idx="6">
                  <c:v>0.10000000000000009</c:v>
                </c:pt>
                <c:pt idx="7">
                  <c:v>0.10300000000000009</c:v>
                </c:pt>
                <c:pt idx="8">
                  <c:v>-3.0000000000000027E-3</c:v>
                </c:pt>
                <c:pt idx="9">
                  <c:v>-2.200000000000002E-2</c:v>
                </c:pt>
                <c:pt idx="10">
                  <c:v>0.15399999999999991</c:v>
                </c:pt>
                <c:pt idx="11">
                  <c:v>-7.2999999999999954E-2</c:v>
                </c:pt>
                <c:pt idx="12">
                  <c:v>-0.16500000000000004</c:v>
                </c:pt>
                <c:pt idx="13">
                  <c:v>-3.8000000000000034E-2</c:v>
                </c:pt>
                <c:pt idx="14">
                  <c:v>-7.0999999999999952E-2</c:v>
                </c:pt>
                <c:pt idx="15">
                  <c:v>-0.20500000000000007</c:v>
                </c:pt>
                <c:pt idx="16">
                  <c:v>5.0000000000000044E-2</c:v>
                </c:pt>
                <c:pt idx="17">
                  <c:v>4.0000000000000036E-3</c:v>
                </c:pt>
                <c:pt idx="18">
                  <c:v>2.8000000000000025E-2</c:v>
                </c:pt>
                <c:pt idx="19">
                  <c:v>7.999999999999996E-2</c:v>
                </c:pt>
                <c:pt idx="20">
                  <c:v>0</c:v>
                </c:pt>
                <c:pt idx="21">
                  <c:v>-5.799999999999994E-2</c:v>
                </c:pt>
                <c:pt idx="22">
                  <c:v>0</c:v>
                </c:pt>
                <c:pt idx="23">
                  <c:v>0</c:v>
                </c:pt>
                <c:pt idx="24">
                  <c:v>-0.27100000000000002</c:v>
                </c:pt>
                <c:pt idx="25">
                  <c:v>-1.100000000000001E-2</c:v>
                </c:pt>
                <c:pt idx="26">
                  <c:v>0</c:v>
                </c:pt>
                <c:pt idx="27">
                  <c:v>0</c:v>
                </c:pt>
                <c:pt idx="28">
                  <c:v>7.0000000000000062E-3</c:v>
                </c:pt>
                <c:pt idx="29">
                  <c:v>-0.15100000000000002</c:v>
                </c:pt>
                <c:pt idx="30">
                  <c:v>-0.24299999999999999</c:v>
                </c:pt>
                <c:pt idx="31">
                  <c:v>-9.4999999999999973E-2</c:v>
                </c:pt>
                <c:pt idx="32">
                  <c:v>-1.8000000000000016E-2</c:v>
                </c:pt>
                <c:pt idx="33">
                  <c:v>-2.7999999999999914E-2</c:v>
                </c:pt>
                <c:pt idx="34">
                  <c:v>-1.3000000000000012E-2</c:v>
                </c:pt>
                <c:pt idx="35">
                  <c:v>0</c:v>
                </c:pt>
                <c:pt idx="36">
                  <c:v>8.0000000000000071E-3</c:v>
                </c:pt>
                <c:pt idx="37">
                  <c:v>-8.3999999999999964E-2</c:v>
                </c:pt>
              </c:numCache>
            </c:numRef>
          </c:yVal>
        </c:ser>
        <c:axId val="187729024"/>
        <c:axId val="187730560"/>
      </c:scatterChart>
      <c:valAx>
        <c:axId val="187729024"/>
        <c:scaling>
          <c:orientation val="minMax"/>
        </c:scaling>
        <c:axPos val="b"/>
        <c:numFmt formatCode="General" sourceLinked="1"/>
        <c:tickLblPos val="nextTo"/>
        <c:crossAx val="187730560"/>
        <c:crosses val="autoZero"/>
        <c:crossBetween val="midCat"/>
      </c:valAx>
      <c:valAx>
        <c:axId val="187730560"/>
        <c:scaling>
          <c:orientation val="minMax"/>
        </c:scaling>
        <c:axPos val="l"/>
        <c:majorGridlines/>
        <c:numFmt formatCode="General" sourceLinked="1"/>
        <c:tickLblPos val="nextTo"/>
        <c:crossAx val="18772902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lineMarker"/>
        <c:ser>
          <c:idx val="0"/>
          <c:order val="0"/>
          <c:tx>
            <c:v>Difference between Multinet AUROC and Single Net AUROC versus Number of DataSets Picked</c:v>
          </c:tx>
          <c:spPr>
            <a:ln w="28575">
              <a:noFill/>
            </a:ln>
          </c:spPr>
          <c:xVal>
            <c:numRef>
              <c:f>Sheet2!$A$2:$A$39</c:f>
              <c:numCache>
                <c:formatCode>General</c:formatCode>
                <c:ptCount val="38"/>
                <c:pt idx="0">
                  <c:v>2</c:v>
                </c:pt>
                <c:pt idx="1">
                  <c:v>7</c:v>
                </c:pt>
                <c:pt idx="2">
                  <c:v>7</c:v>
                </c:pt>
                <c:pt idx="3">
                  <c:v>3</c:v>
                </c:pt>
                <c:pt idx="4">
                  <c:v>10</c:v>
                </c:pt>
                <c:pt idx="5">
                  <c:v>16</c:v>
                </c:pt>
                <c:pt idx="6">
                  <c:v>9</c:v>
                </c:pt>
                <c:pt idx="7">
                  <c:v>3</c:v>
                </c:pt>
                <c:pt idx="8">
                  <c:v>10</c:v>
                </c:pt>
                <c:pt idx="9">
                  <c:v>12</c:v>
                </c:pt>
                <c:pt idx="10">
                  <c:v>5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24</c:v>
                </c:pt>
                <c:pt idx="15">
                  <c:v>5</c:v>
                </c:pt>
                <c:pt idx="16">
                  <c:v>12</c:v>
                </c:pt>
                <c:pt idx="17">
                  <c:v>15</c:v>
                </c:pt>
                <c:pt idx="18">
                  <c:v>8</c:v>
                </c:pt>
                <c:pt idx="19">
                  <c:v>10</c:v>
                </c:pt>
                <c:pt idx="20">
                  <c:v>19</c:v>
                </c:pt>
                <c:pt idx="21">
                  <c:v>26</c:v>
                </c:pt>
                <c:pt idx="22">
                  <c:v>18</c:v>
                </c:pt>
                <c:pt idx="23">
                  <c:v>9</c:v>
                </c:pt>
                <c:pt idx="24">
                  <c:v>13</c:v>
                </c:pt>
                <c:pt idx="25">
                  <c:v>4</c:v>
                </c:pt>
                <c:pt idx="26">
                  <c:v>32</c:v>
                </c:pt>
                <c:pt idx="27">
                  <c:v>5</c:v>
                </c:pt>
                <c:pt idx="28">
                  <c:v>30</c:v>
                </c:pt>
                <c:pt idx="29">
                  <c:v>42</c:v>
                </c:pt>
                <c:pt idx="30">
                  <c:v>21</c:v>
                </c:pt>
                <c:pt idx="31">
                  <c:v>10</c:v>
                </c:pt>
                <c:pt idx="32">
                  <c:v>8</c:v>
                </c:pt>
                <c:pt idx="33">
                  <c:v>4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15</c:v>
                </c:pt>
              </c:numCache>
            </c:numRef>
          </c:xVal>
          <c:yVal>
            <c:numRef>
              <c:f>Sheet2!$H$2:$H$39</c:f>
              <c:numCache>
                <c:formatCode>General</c:formatCode>
                <c:ptCount val="38"/>
                <c:pt idx="0">
                  <c:v>0</c:v>
                </c:pt>
                <c:pt idx="1">
                  <c:v>1.7999999999999905E-2</c:v>
                </c:pt>
                <c:pt idx="2">
                  <c:v>9.000000000000008E-3</c:v>
                </c:pt>
                <c:pt idx="3">
                  <c:v>-2.200000000000002E-2</c:v>
                </c:pt>
                <c:pt idx="4">
                  <c:v>0</c:v>
                </c:pt>
                <c:pt idx="5">
                  <c:v>2.7999999999999914E-2</c:v>
                </c:pt>
                <c:pt idx="6">
                  <c:v>0.10000000000000009</c:v>
                </c:pt>
                <c:pt idx="7">
                  <c:v>0.10300000000000009</c:v>
                </c:pt>
                <c:pt idx="8">
                  <c:v>-3.0000000000000027E-3</c:v>
                </c:pt>
                <c:pt idx="9">
                  <c:v>-2.200000000000002E-2</c:v>
                </c:pt>
                <c:pt idx="10">
                  <c:v>0.15399999999999991</c:v>
                </c:pt>
                <c:pt idx="11">
                  <c:v>-7.2999999999999954E-2</c:v>
                </c:pt>
                <c:pt idx="12">
                  <c:v>-0.16500000000000004</c:v>
                </c:pt>
                <c:pt idx="13">
                  <c:v>-3.8000000000000034E-2</c:v>
                </c:pt>
                <c:pt idx="14">
                  <c:v>-7.0999999999999952E-2</c:v>
                </c:pt>
                <c:pt idx="15">
                  <c:v>-0.20500000000000007</c:v>
                </c:pt>
                <c:pt idx="16">
                  <c:v>5.0000000000000044E-2</c:v>
                </c:pt>
                <c:pt idx="17">
                  <c:v>4.0000000000000036E-3</c:v>
                </c:pt>
                <c:pt idx="18">
                  <c:v>2.8000000000000025E-2</c:v>
                </c:pt>
                <c:pt idx="19">
                  <c:v>7.999999999999996E-2</c:v>
                </c:pt>
                <c:pt idx="20">
                  <c:v>0</c:v>
                </c:pt>
                <c:pt idx="21">
                  <c:v>-5.799999999999994E-2</c:v>
                </c:pt>
                <c:pt idx="22">
                  <c:v>0</c:v>
                </c:pt>
                <c:pt idx="23">
                  <c:v>0</c:v>
                </c:pt>
                <c:pt idx="24">
                  <c:v>-0.27100000000000002</c:v>
                </c:pt>
                <c:pt idx="25">
                  <c:v>-1.100000000000001E-2</c:v>
                </c:pt>
                <c:pt idx="26">
                  <c:v>0</c:v>
                </c:pt>
                <c:pt idx="27">
                  <c:v>0</c:v>
                </c:pt>
                <c:pt idx="28">
                  <c:v>7.0000000000000062E-3</c:v>
                </c:pt>
                <c:pt idx="29">
                  <c:v>-0.15100000000000002</c:v>
                </c:pt>
                <c:pt idx="30">
                  <c:v>-0.24299999999999999</c:v>
                </c:pt>
                <c:pt idx="31">
                  <c:v>-9.4999999999999973E-2</c:v>
                </c:pt>
                <c:pt idx="32">
                  <c:v>-1.8000000000000016E-2</c:v>
                </c:pt>
                <c:pt idx="33">
                  <c:v>-2.7999999999999914E-2</c:v>
                </c:pt>
                <c:pt idx="34">
                  <c:v>-1.3000000000000012E-2</c:v>
                </c:pt>
                <c:pt idx="35">
                  <c:v>0</c:v>
                </c:pt>
                <c:pt idx="36">
                  <c:v>8.0000000000000071E-3</c:v>
                </c:pt>
                <c:pt idx="37">
                  <c:v>-8.3999999999999964E-2</c:v>
                </c:pt>
              </c:numCache>
            </c:numRef>
          </c:yVal>
        </c:ser>
        <c:axId val="187758848"/>
        <c:axId val="196616192"/>
      </c:scatterChart>
      <c:valAx>
        <c:axId val="187758848"/>
        <c:scaling>
          <c:orientation val="minMax"/>
        </c:scaling>
        <c:axPos val="b"/>
        <c:numFmt formatCode="General" sourceLinked="1"/>
        <c:tickLblPos val="nextTo"/>
        <c:crossAx val="196616192"/>
        <c:crosses val="autoZero"/>
        <c:crossBetween val="midCat"/>
      </c:valAx>
      <c:valAx>
        <c:axId val="196616192"/>
        <c:scaling>
          <c:orientation val="minMax"/>
        </c:scaling>
        <c:axPos val="l"/>
        <c:majorGridlines/>
        <c:numFmt formatCode="General" sourceLinked="1"/>
        <c:tickLblPos val="nextTo"/>
        <c:crossAx val="18775884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lineMarker"/>
        <c:ser>
          <c:idx val="0"/>
          <c:order val="0"/>
          <c:tx>
            <c:v>Difference between Multinet AUROC and Single Net AUROC versus DataSets after Pipeline</c:v>
          </c:tx>
          <c:spPr>
            <a:ln w="28575">
              <a:noFill/>
            </a:ln>
          </c:spPr>
          <c:xVal>
            <c:numRef>
              <c:f>Sheet2!$G$2:$G$39</c:f>
              <c:numCache>
                <c:formatCode>General</c:formatCode>
                <c:ptCount val="3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3</c:v>
                </c:pt>
                <c:pt idx="7">
                  <c:v>3</c:v>
                </c:pt>
                <c:pt idx="8">
                  <c:v>6</c:v>
                </c:pt>
                <c:pt idx="9">
                  <c:v>2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5</c:v>
                </c:pt>
                <c:pt idx="15">
                  <c:v>4</c:v>
                </c:pt>
                <c:pt idx="16">
                  <c:v>5</c:v>
                </c:pt>
                <c:pt idx="17">
                  <c:v>4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9</c:v>
                </c:pt>
                <c:pt idx="22">
                  <c:v>2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16</c:v>
                </c:pt>
                <c:pt idx="27">
                  <c:v>2</c:v>
                </c:pt>
                <c:pt idx="28">
                  <c:v>5</c:v>
                </c:pt>
                <c:pt idx="29">
                  <c:v>3</c:v>
                </c:pt>
                <c:pt idx="30">
                  <c:v>4</c:v>
                </c:pt>
                <c:pt idx="31">
                  <c:v>4</c:v>
                </c:pt>
                <c:pt idx="32">
                  <c:v>3</c:v>
                </c:pt>
                <c:pt idx="33">
                  <c:v>3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</c:numCache>
            </c:numRef>
          </c:xVal>
          <c:yVal>
            <c:numRef>
              <c:f>Sheet2!$H$2:$H$39</c:f>
              <c:numCache>
                <c:formatCode>General</c:formatCode>
                <c:ptCount val="38"/>
                <c:pt idx="0">
                  <c:v>0</c:v>
                </c:pt>
                <c:pt idx="1">
                  <c:v>1.7999999999999905E-2</c:v>
                </c:pt>
                <c:pt idx="2">
                  <c:v>9.000000000000008E-3</c:v>
                </c:pt>
                <c:pt idx="3">
                  <c:v>-2.200000000000002E-2</c:v>
                </c:pt>
                <c:pt idx="4">
                  <c:v>0</c:v>
                </c:pt>
                <c:pt idx="5">
                  <c:v>2.7999999999999914E-2</c:v>
                </c:pt>
                <c:pt idx="6">
                  <c:v>0.10000000000000009</c:v>
                </c:pt>
                <c:pt idx="7">
                  <c:v>0.10300000000000009</c:v>
                </c:pt>
                <c:pt idx="8">
                  <c:v>-3.0000000000000027E-3</c:v>
                </c:pt>
                <c:pt idx="9">
                  <c:v>-2.200000000000002E-2</c:v>
                </c:pt>
                <c:pt idx="10">
                  <c:v>0.15399999999999991</c:v>
                </c:pt>
                <c:pt idx="11">
                  <c:v>-7.2999999999999954E-2</c:v>
                </c:pt>
                <c:pt idx="12">
                  <c:v>-0.16500000000000004</c:v>
                </c:pt>
                <c:pt idx="13">
                  <c:v>-3.8000000000000034E-2</c:v>
                </c:pt>
                <c:pt idx="14">
                  <c:v>-7.0999999999999952E-2</c:v>
                </c:pt>
                <c:pt idx="15">
                  <c:v>-0.20500000000000007</c:v>
                </c:pt>
                <c:pt idx="16">
                  <c:v>5.0000000000000044E-2</c:v>
                </c:pt>
                <c:pt idx="17">
                  <c:v>4.0000000000000036E-3</c:v>
                </c:pt>
                <c:pt idx="18">
                  <c:v>2.8000000000000025E-2</c:v>
                </c:pt>
                <c:pt idx="19">
                  <c:v>7.999999999999996E-2</c:v>
                </c:pt>
                <c:pt idx="20">
                  <c:v>0</c:v>
                </c:pt>
                <c:pt idx="21">
                  <c:v>-5.799999999999994E-2</c:v>
                </c:pt>
                <c:pt idx="22">
                  <c:v>0</c:v>
                </c:pt>
                <c:pt idx="23">
                  <c:v>0</c:v>
                </c:pt>
                <c:pt idx="24">
                  <c:v>-0.27100000000000002</c:v>
                </c:pt>
                <c:pt idx="25">
                  <c:v>-1.100000000000001E-2</c:v>
                </c:pt>
                <c:pt idx="26">
                  <c:v>0</c:v>
                </c:pt>
                <c:pt idx="27">
                  <c:v>0</c:v>
                </c:pt>
                <c:pt idx="28">
                  <c:v>7.0000000000000062E-3</c:v>
                </c:pt>
                <c:pt idx="29">
                  <c:v>-0.15100000000000002</c:v>
                </c:pt>
                <c:pt idx="30">
                  <c:v>-0.24299999999999999</c:v>
                </c:pt>
                <c:pt idx="31">
                  <c:v>-9.4999999999999973E-2</c:v>
                </c:pt>
                <c:pt idx="32">
                  <c:v>-1.8000000000000016E-2</c:v>
                </c:pt>
                <c:pt idx="33">
                  <c:v>-2.7999999999999914E-2</c:v>
                </c:pt>
                <c:pt idx="34">
                  <c:v>-1.3000000000000012E-2</c:v>
                </c:pt>
                <c:pt idx="35">
                  <c:v>0</c:v>
                </c:pt>
                <c:pt idx="36">
                  <c:v>8.0000000000000071E-3</c:v>
                </c:pt>
                <c:pt idx="37">
                  <c:v>-8.3999999999999964E-2</c:v>
                </c:pt>
              </c:numCache>
            </c:numRef>
          </c:yVal>
        </c:ser>
        <c:axId val="196648320"/>
        <c:axId val="196650112"/>
      </c:scatterChart>
      <c:valAx>
        <c:axId val="196648320"/>
        <c:scaling>
          <c:orientation val="minMax"/>
        </c:scaling>
        <c:axPos val="b"/>
        <c:numFmt formatCode="General" sourceLinked="1"/>
        <c:tickLblPos val="nextTo"/>
        <c:crossAx val="196650112"/>
        <c:crosses val="autoZero"/>
        <c:crossBetween val="midCat"/>
      </c:valAx>
      <c:valAx>
        <c:axId val="196650112"/>
        <c:scaling>
          <c:orientation val="minMax"/>
        </c:scaling>
        <c:axPos val="l"/>
        <c:majorGridlines/>
        <c:numFmt formatCode="General" sourceLinked="1"/>
        <c:tickLblPos val="nextTo"/>
        <c:crossAx val="19664832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3</xdr:row>
      <xdr:rowOff>76200</xdr:rowOff>
    </xdr:from>
    <xdr:to>
      <xdr:col>15</xdr:col>
      <xdr:colOff>228600</xdr:colOff>
      <xdr:row>17</xdr:row>
      <xdr:rowOff>152400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18</xdr:row>
      <xdr:rowOff>85725</xdr:rowOff>
    </xdr:from>
    <xdr:to>
      <xdr:col>15</xdr:col>
      <xdr:colOff>304800</xdr:colOff>
      <xdr:row>32</xdr:row>
      <xdr:rowOff>161925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400050</xdr:colOff>
      <xdr:row>9</xdr:row>
      <xdr:rowOff>133350</xdr:rowOff>
    </xdr:from>
    <xdr:to>
      <xdr:col>23</xdr:col>
      <xdr:colOff>95250</xdr:colOff>
      <xdr:row>24</xdr:row>
      <xdr:rowOff>19050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0.01111</cdr:x>
      <cdr:y>0.01852</cdr:y>
    </cdr:from>
    <cdr:to>
      <cdr:x>0.01111</cdr:x>
      <cdr:y>0.01852</cdr:y>
    </cdr:to>
    <cdr:sp macro="" textlink="">
      <cdr:nvSpPr>
        <cdr:cNvPr id="2" name="DVCHARTID" hidden="1"/>
        <cdr:cNvSpPr txBox="1"/>
      </cdr:nvSpPr>
      <cdr:spPr>
        <a:xfrm xmlns:a="http://schemas.openxmlformats.org/drawingml/2006/main">
          <a:off x="50800" y="50800"/>
          <a:ext cx="0" cy="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vert" rtlCol="0" anchor="ctr"/>
        <a:lstStyle xmlns:a="http://schemas.openxmlformats.org/drawingml/2006/main"/>
        <a:p xmlns:a="http://schemas.openxmlformats.org/drawingml/2006/main">
          <a:pPr algn="r"/>
          <a:r>
            <a:rPr lang="en-US" sz="1100"/>
            <a:t>DqRsItYUrhLwBy3kvG0HDO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0.01111</cdr:x>
      <cdr:y>0.01852</cdr:y>
    </cdr:from>
    <cdr:to>
      <cdr:x>0.01111</cdr:x>
      <cdr:y>0.01852</cdr:y>
    </cdr:to>
    <cdr:sp macro="" textlink="">
      <cdr:nvSpPr>
        <cdr:cNvPr id="2" name="DVCHARTID" hidden="1"/>
        <cdr:cNvSpPr txBox="1"/>
      </cdr:nvSpPr>
      <cdr:spPr>
        <a:xfrm xmlns:a="http://schemas.openxmlformats.org/drawingml/2006/main">
          <a:off x="50800" y="50800"/>
          <a:ext cx="0" cy="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vert" rtlCol="0" anchor="ctr"/>
        <a:lstStyle xmlns:a="http://schemas.openxmlformats.org/drawingml/2006/main"/>
        <a:p xmlns:a="http://schemas.openxmlformats.org/drawingml/2006/main">
          <a:pPr algn="r"/>
          <a:r>
            <a:rPr lang="en-US" sz="1100"/>
            <a:t>EYNECz93YV4Dmi3jSCXoQZ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0.01111</cdr:x>
      <cdr:y>0.01852</cdr:y>
    </cdr:from>
    <cdr:to>
      <cdr:x>0.01111</cdr:x>
      <cdr:y>0.01852</cdr:y>
    </cdr:to>
    <cdr:sp macro="" textlink="">
      <cdr:nvSpPr>
        <cdr:cNvPr id="2" name="DVCHARTID" hidden="1"/>
        <cdr:cNvSpPr txBox="1"/>
      </cdr:nvSpPr>
      <cdr:spPr>
        <a:xfrm xmlns:a="http://schemas.openxmlformats.org/drawingml/2006/main">
          <a:off x="50800" y="50800"/>
          <a:ext cx="0" cy="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vert" rtlCol="0" anchor="ctr"/>
        <a:lstStyle xmlns:a="http://schemas.openxmlformats.org/drawingml/2006/main"/>
        <a:p xmlns:a="http://schemas.openxmlformats.org/drawingml/2006/main">
          <a:pPr algn="r"/>
          <a:r>
            <a:rPr lang="en-US" sz="1100"/>
            <a:t>YQplw6vfsncOMTE4RoLoiQ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1828800</xdr:colOff>
      <xdr:row>4</xdr:row>
      <xdr:rowOff>9525</xdr:rowOff>
    </xdr:from>
    <xdr:to>
      <xdr:col>15</xdr:col>
      <xdr:colOff>295275</xdr:colOff>
      <xdr:row>18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476250</xdr:colOff>
      <xdr:row>4</xdr:row>
      <xdr:rowOff>76200</xdr:rowOff>
    </xdr:from>
    <xdr:to>
      <xdr:col>17</xdr:col>
      <xdr:colOff>171450</xdr:colOff>
      <xdr:row>18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600075</xdr:colOff>
      <xdr:row>4</xdr:row>
      <xdr:rowOff>66675</xdr:rowOff>
    </xdr:from>
    <xdr:to>
      <xdr:col>16</xdr:col>
      <xdr:colOff>295275</xdr:colOff>
      <xdr:row>18</xdr:row>
      <xdr:rowOff>142875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0.01111</cdr:x>
      <cdr:y>0.01852</cdr:y>
    </cdr:from>
    <cdr:to>
      <cdr:x>0.01111</cdr:x>
      <cdr:y>0.01852</cdr:y>
    </cdr:to>
    <cdr:sp macro="" textlink="">
      <cdr:nvSpPr>
        <cdr:cNvPr id="2" name="DVCHARTID" hidden="1"/>
        <cdr:cNvSpPr txBox="1"/>
      </cdr:nvSpPr>
      <cdr:spPr>
        <a:xfrm xmlns:a="http://schemas.openxmlformats.org/drawingml/2006/main">
          <a:off x="50800" y="50800"/>
          <a:ext cx="0" cy="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vert" rtlCol="0" anchor="ctr"/>
        <a:lstStyle xmlns:a="http://schemas.openxmlformats.org/drawingml/2006/main"/>
        <a:p xmlns:a="http://schemas.openxmlformats.org/drawingml/2006/main">
          <a:pPr algn="r"/>
          <a:r>
            <a:rPr lang="en-US" sz="1100"/>
            <a:t>LKnRZixOhJMkzSRduKrVAq</a:t>
          </a: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0.01111</cdr:x>
      <cdr:y>0.01852</cdr:y>
    </cdr:from>
    <cdr:to>
      <cdr:x>0.01111</cdr:x>
      <cdr:y>0.01852</cdr:y>
    </cdr:to>
    <cdr:sp macro="" textlink="">
      <cdr:nvSpPr>
        <cdr:cNvPr id="2" name="DVCHARTID" hidden="1"/>
        <cdr:cNvSpPr txBox="1"/>
      </cdr:nvSpPr>
      <cdr:spPr>
        <a:xfrm xmlns:a="http://schemas.openxmlformats.org/drawingml/2006/main">
          <a:off x="50800" y="50800"/>
          <a:ext cx="0" cy="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vert" rtlCol="0" anchor="ctr"/>
        <a:lstStyle xmlns:a="http://schemas.openxmlformats.org/drawingml/2006/main"/>
        <a:p xmlns:a="http://schemas.openxmlformats.org/drawingml/2006/main">
          <a:pPr algn="r"/>
          <a:r>
            <a:rPr lang="en-US" sz="1100"/>
            <a:t>WCFnNS9tyhDHgylatIu22H</a:t>
          </a: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0.01111</cdr:x>
      <cdr:y>0.01852</cdr:y>
    </cdr:from>
    <cdr:to>
      <cdr:x>0.01111</cdr:x>
      <cdr:y>0.01852</cdr:y>
    </cdr:to>
    <cdr:sp macro="" textlink="">
      <cdr:nvSpPr>
        <cdr:cNvPr id="2" name="DVCHARTID" hidden="1"/>
        <cdr:cNvSpPr txBox="1"/>
      </cdr:nvSpPr>
      <cdr:spPr>
        <a:xfrm xmlns:a="http://schemas.openxmlformats.org/drawingml/2006/main">
          <a:off x="50800" y="50800"/>
          <a:ext cx="0" cy="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vert" rtlCol="0" anchor="ctr"/>
        <a:lstStyle xmlns:a="http://schemas.openxmlformats.org/drawingml/2006/main"/>
        <a:p xmlns:a="http://schemas.openxmlformats.org/drawingml/2006/main">
          <a:pPr algn="r"/>
          <a:r>
            <a:rPr lang="en-US" sz="1100"/>
            <a:t>hFkjWtkv98TkNKbBuFENbu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customProperty" Target="../customProperty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customProperty" Target="../customProperty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8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7"/>
  <dimension ref="A1:G14"/>
  <sheetViews>
    <sheetView workbookViewId="0">
      <selection activeCell="G14" sqref="A1:G14"/>
    </sheetView>
  </sheetViews>
  <sheetFormatPr defaultRowHeight="15"/>
  <cols>
    <col min="1" max="1" width="27.5703125" bestFit="1" customWidth="1"/>
  </cols>
  <sheetData>
    <row r="1" spans="1:7">
      <c r="A1" t="s">
        <v>11</v>
      </c>
    </row>
    <row r="3" spans="1:7" ht="15.75" thickBot="1">
      <c r="A3" t="s">
        <v>12</v>
      </c>
    </row>
    <row r="4" spans="1:7">
      <c r="A4" s="3" t="s">
        <v>13</v>
      </c>
      <c r="B4" s="3" t="s">
        <v>14</v>
      </c>
      <c r="C4" s="3" t="s">
        <v>15</v>
      </c>
      <c r="D4" s="3" t="s">
        <v>16</v>
      </c>
      <c r="E4" s="3" t="s">
        <v>17</v>
      </c>
    </row>
    <row r="5" spans="1:7">
      <c r="A5" s="1" t="s">
        <v>4</v>
      </c>
      <c r="B5" s="1">
        <v>39</v>
      </c>
      <c r="C5" s="1">
        <v>146</v>
      </c>
      <c r="D5" s="1">
        <v>3.7435897435897436</v>
      </c>
      <c r="E5" s="1">
        <v>8.6167341430499338</v>
      </c>
    </row>
    <row r="6" spans="1:7" ht="15.75" thickBot="1">
      <c r="A6" s="2" t="s">
        <v>8</v>
      </c>
      <c r="B6" s="2">
        <v>39</v>
      </c>
      <c r="C6" s="2">
        <v>-4.0000000000000036E-2</v>
      </c>
      <c r="D6" s="2">
        <v>-1.0256410256410265E-3</v>
      </c>
      <c r="E6" s="2">
        <v>1.2788288798920378E-2</v>
      </c>
    </row>
    <row r="9" spans="1:7" ht="15.75" thickBot="1">
      <c r="A9" t="s">
        <v>18</v>
      </c>
    </row>
    <row r="10" spans="1:7">
      <c r="A10" s="3" t="s">
        <v>19</v>
      </c>
      <c r="B10" s="3" t="s">
        <v>20</v>
      </c>
      <c r="C10" s="3" t="s">
        <v>21</v>
      </c>
      <c r="D10" s="3" t="s">
        <v>22</v>
      </c>
      <c r="E10" s="3" t="s">
        <v>23</v>
      </c>
      <c r="F10" s="3" t="s">
        <v>24</v>
      </c>
      <c r="G10" s="3" t="s">
        <v>25</v>
      </c>
    </row>
    <row r="11" spans="1:7">
      <c r="A11" s="1" t="s">
        <v>26</v>
      </c>
      <c r="B11" s="1">
        <v>273.43181538461499</v>
      </c>
      <c r="C11" s="1">
        <v>1</v>
      </c>
      <c r="D11" s="1">
        <v>273.43181538461499</v>
      </c>
      <c r="E11" s="1">
        <v>63.371250852877829</v>
      </c>
      <c r="F11" s="1">
        <v>1.3095901966179213E-11</v>
      </c>
      <c r="G11" s="1">
        <v>3.9667596601502382</v>
      </c>
    </row>
    <row r="12" spans="1:7">
      <c r="A12" s="1" t="s">
        <v>27</v>
      </c>
      <c r="B12" s="1">
        <v>327.92185241025641</v>
      </c>
      <c r="C12" s="1">
        <v>76</v>
      </c>
      <c r="D12" s="1">
        <v>4.3147612159244266</v>
      </c>
      <c r="E12" s="1"/>
      <c r="F12" s="1"/>
      <c r="G12" s="1"/>
    </row>
    <row r="13" spans="1:7">
      <c r="A13" s="1"/>
      <c r="B13" s="1"/>
      <c r="C13" s="1"/>
      <c r="D13" s="1"/>
      <c r="E13" s="1"/>
      <c r="F13" s="1"/>
      <c r="G13" s="1"/>
    </row>
    <row r="14" spans="1:7" ht="15.75" thickBot="1">
      <c r="A14" s="2" t="s">
        <v>28</v>
      </c>
      <c r="B14" s="2">
        <v>601.3536677948714</v>
      </c>
      <c r="C14" s="2">
        <v>77</v>
      </c>
      <c r="D14" s="2"/>
      <c r="E14" s="2"/>
      <c r="F14" s="2"/>
      <c r="G14" s="2"/>
    </row>
  </sheetData>
  <pageMargins left="0.7" right="0.7" top="0.75" bottom="0.75" header="0.3" footer="0.3"/>
  <customProperties>
    <customPr name="DVSECTIONID" r:id="rId1"/>
  </customProperties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8"/>
  <dimension ref="A1:D18"/>
  <sheetViews>
    <sheetView workbookViewId="0">
      <selection activeCell="G16" sqref="G16"/>
    </sheetView>
  </sheetViews>
  <sheetFormatPr defaultRowHeight="15"/>
  <cols>
    <col min="1" max="1" width="23.28515625" bestFit="1" customWidth="1"/>
    <col min="2" max="2" width="12" bestFit="1" customWidth="1"/>
    <col min="3" max="3" width="27.42578125" bestFit="1" customWidth="1"/>
    <col min="4" max="4" width="12.7109375" bestFit="1" customWidth="1"/>
  </cols>
  <sheetData>
    <row r="1" spans="1:4">
      <c r="A1" s="3" t="s">
        <v>4</v>
      </c>
      <c r="B1" s="3"/>
      <c r="C1" s="3" t="s">
        <v>8</v>
      </c>
      <c r="D1" s="3"/>
    </row>
    <row r="2" spans="1:4">
      <c r="A2" s="1"/>
      <c r="B2" s="1"/>
      <c r="C2" s="1"/>
      <c r="D2" s="1"/>
    </row>
    <row r="3" spans="1:4">
      <c r="A3" s="1" t="s">
        <v>29</v>
      </c>
      <c r="B3" s="1">
        <v>3.7435897435897436</v>
      </c>
      <c r="C3" s="1" t="s">
        <v>29</v>
      </c>
      <c r="D3" s="1">
        <v>-1.0256410256410265E-3</v>
      </c>
    </row>
    <row r="4" spans="1:4">
      <c r="A4" s="1" t="s">
        <v>30</v>
      </c>
      <c r="B4" s="1">
        <v>0.47004457352877121</v>
      </c>
      <c r="C4" s="1" t="s">
        <v>30</v>
      </c>
      <c r="D4" s="1">
        <v>1.810814294724775E-2</v>
      </c>
    </row>
    <row r="5" spans="1:4">
      <c r="A5" s="1" t="s">
        <v>31</v>
      </c>
      <c r="B5" s="1">
        <v>3</v>
      </c>
      <c r="C5" s="1" t="s">
        <v>31</v>
      </c>
      <c r="D5" s="1">
        <v>0</v>
      </c>
    </row>
    <row r="6" spans="1:4">
      <c r="A6" s="1" t="s">
        <v>32</v>
      </c>
      <c r="B6" s="1">
        <v>2</v>
      </c>
      <c r="C6" s="1" t="s">
        <v>32</v>
      </c>
      <c r="D6" s="1">
        <v>0</v>
      </c>
    </row>
    <row r="7" spans="1:4">
      <c r="A7" s="1" t="s">
        <v>33</v>
      </c>
      <c r="B7" s="1">
        <v>2.9354274208452051</v>
      </c>
      <c r="C7" s="1" t="s">
        <v>33</v>
      </c>
      <c r="D7" s="1">
        <v>0.11308531646027427</v>
      </c>
    </row>
    <row r="8" spans="1:4">
      <c r="A8" s="1" t="s">
        <v>34</v>
      </c>
      <c r="B8" s="1">
        <v>8.6167341430499338</v>
      </c>
      <c r="C8" s="1" t="s">
        <v>34</v>
      </c>
      <c r="D8" s="1">
        <v>1.2788288798920378E-2</v>
      </c>
    </row>
    <row r="9" spans="1:4">
      <c r="A9" s="1" t="s">
        <v>35</v>
      </c>
      <c r="B9" s="1">
        <v>9.553044999456624</v>
      </c>
      <c r="C9" s="1" t="s">
        <v>35</v>
      </c>
      <c r="D9" s="1">
        <v>2.2615112683019207</v>
      </c>
    </row>
    <row r="10" spans="1:4">
      <c r="A10" s="1" t="s">
        <v>36</v>
      </c>
      <c r="B10" s="1">
        <v>2.976871500357178</v>
      </c>
      <c r="C10" s="1" t="s">
        <v>36</v>
      </c>
      <c r="D10" s="1">
        <v>0.76728366886181587</v>
      </c>
    </row>
    <row r="11" spans="1:4">
      <c r="A11" s="1" t="s">
        <v>37</v>
      </c>
      <c r="B11" s="1">
        <v>14</v>
      </c>
      <c r="C11" s="1" t="s">
        <v>37</v>
      </c>
      <c r="D11" s="1">
        <v>0.60899999999999999</v>
      </c>
    </row>
    <row r="12" spans="1:4">
      <c r="A12" s="1" t="s">
        <v>38</v>
      </c>
      <c r="B12" s="1">
        <v>2</v>
      </c>
      <c r="C12" s="1" t="s">
        <v>38</v>
      </c>
      <c r="D12" s="1">
        <v>-0.27999999999999997</v>
      </c>
    </row>
    <row r="13" spans="1:4">
      <c r="A13" s="1" t="s">
        <v>39</v>
      </c>
      <c r="B13" s="1">
        <v>16</v>
      </c>
      <c r="C13" s="1" t="s">
        <v>39</v>
      </c>
      <c r="D13" s="1">
        <v>0.32899999999999996</v>
      </c>
    </row>
    <row r="14" spans="1:4">
      <c r="A14" s="1" t="s">
        <v>15</v>
      </c>
      <c r="B14" s="1">
        <v>146</v>
      </c>
      <c r="C14" s="1" t="s">
        <v>15</v>
      </c>
      <c r="D14" s="1">
        <v>-4.0000000000000036E-2</v>
      </c>
    </row>
    <row r="15" spans="1:4">
      <c r="A15" s="1" t="s">
        <v>14</v>
      </c>
      <c r="B15" s="1">
        <v>39</v>
      </c>
      <c r="C15" s="1" t="s">
        <v>14</v>
      </c>
      <c r="D15" s="1">
        <v>39</v>
      </c>
    </row>
    <row r="16" spans="1:4">
      <c r="A16" s="1" t="s">
        <v>40</v>
      </c>
      <c r="B16" s="1">
        <v>16</v>
      </c>
      <c r="C16" s="1" t="s">
        <v>40</v>
      </c>
      <c r="D16" s="1">
        <v>0.32899999999999996</v>
      </c>
    </row>
    <row r="17" spans="1:4">
      <c r="A17" s="1" t="s">
        <v>41</v>
      </c>
      <c r="B17" s="1">
        <v>2</v>
      </c>
      <c r="C17" s="1" t="s">
        <v>41</v>
      </c>
      <c r="D17" s="1">
        <v>-0.27999999999999997</v>
      </c>
    </row>
    <row r="18" spans="1:4" ht="15.75" thickBot="1">
      <c r="A18" s="2" t="s">
        <v>42</v>
      </c>
      <c r="B18" s="2">
        <v>0.95155548334706019</v>
      </c>
      <c r="C18" s="2" t="s">
        <v>42</v>
      </c>
      <c r="D18" s="2">
        <v>3.6658018590297152E-2</v>
      </c>
    </row>
  </sheetData>
  <pageMargins left="0.7" right="0.7" top="0.75" bottom="0.75" header="0.3" footer="0.3"/>
  <customProperties>
    <customPr name="DVSECTIONID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9"/>
  <dimension ref="A1:D18"/>
  <sheetViews>
    <sheetView workbookViewId="0">
      <selection activeCell="C5" sqref="C5"/>
    </sheetView>
  </sheetViews>
  <sheetFormatPr defaultRowHeight="15"/>
  <cols>
    <col min="1" max="1" width="23.28515625" bestFit="1" customWidth="1"/>
    <col min="2" max="2" width="12" bestFit="1" customWidth="1"/>
    <col min="3" max="3" width="27.42578125" bestFit="1" customWidth="1"/>
  </cols>
  <sheetData>
    <row r="1" spans="1:4">
      <c r="A1" s="3" t="s">
        <v>4</v>
      </c>
      <c r="B1" s="3"/>
      <c r="C1" s="3" t="s">
        <v>8</v>
      </c>
      <c r="D1" s="3"/>
    </row>
    <row r="2" spans="1:4">
      <c r="A2" s="1"/>
      <c r="B2" s="1"/>
      <c r="C2" s="1"/>
      <c r="D2" s="1"/>
    </row>
    <row r="3" spans="1:4">
      <c r="A3" s="1" t="s">
        <v>29</v>
      </c>
      <c r="B3" s="1">
        <v>3.7435897435897436</v>
      </c>
      <c r="C3" s="1" t="s">
        <v>29</v>
      </c>
      <c r="D3" s="1">
        <v>-1.0256410256410265E-3</v>
      </c>
    </row>
    <row r="4" spans="1:4">
      <c r="A4" s="1" t="s">
        <v>30</v>
      </c>
      <c r="B4" s="1">
        <v>0.47004457352877121</v>
      </c>
      <c r="C4" s="1" t="s">
        <v>30</v>
      </c>
      <c r="D4" s="1">
        <v>1.810814294724775E-2</v>
      </c>
    </row>
    <row r="5" spans="1:4">
      <c r="A5" s="1" t="s">
        <v>31</v>
      </c>
      <c r="B5" s="1">
        <v>3</v>
      </c>
      <c r="C5" s="1" t="s">
        <v>31</v>
      </c>
      <c r="D5" s="1">
        <v>0</v>
      </c>
    </row>
    <row r="6" spans="1:4">
      <c r="A6" s="1" t="s">
        <v>32</v>
      </c>
      <c r="B6" s="1">
        <v>2</v>
      </c>
      <c r="C6" s="1" t="s">
        <v>32</v>
      </c>
      <c r="D6" s="1">
        <v>0</v>
      </c>
    </row>
    <row r="7" spans="1:4">
      <c r="A7" s="1" t="s">
        <v>33</v>
      </c>
      <c r="B7" s="1">
        <v>2.9354274208452051</v>
      </c>
      <c r="C7" s="1" t="s">
        <v>33</v>
      </c>
      <c r="D7" s="1">
        <v>0.11308531646027427</v>
      </c>
    </row>
    <row r="8" spans="1:4">
      <c r="A8" s="1" t="s">
        <v>34</v>
      </c>
      <c r="B8" s="1">
        <v>8.6167341430499338</v>
      </c>
      <c r="C8" s="1" t="s">
        <v>34</v>
      </c>
      <c r="D8" s="1">
        <v>1.2788288798920378E-2</v>
      </c>
    </row>
    <row r="9" spans="1:4">
      <c r="A9" s="1" t="s">
        <v>35</v>
      </c>
      <c r="B9" s="1">
        <v>9.553044999456624</v>
      </c>
      <c r="C9" s="1" t="s">
        <v>35</v>
      </c>
      <c r="D9" s="1">
        <v>2.2615112683019207</v>
      </c>
    </row>
    <row r="10" spans="1:4">
      <c r="A10" s="1" t="s">
        <v>36</v>
      </c>
      <c r="B10" s="1">
        <v>2.976871500357178</v>
      </c>
      <c r="C10" s="1" t="s">
        <v>36</v>
      </c>
      <c r="D10" s="1">
        <v>0.76728366886181587</v>
      </c>
    </row>
    <row r="11" spans="1:4">
      <c r="A11" s="1" t="s">
        <v>37</v>
      </c>
      <c r="B11" s="1">
        <v>14</v>
      </c>
      <c r="C11" s="1" t="s">
        <v>37</v>
      </c>
      <c r="D11" s="1">
        <v>0.60899999999999999</v>
      </c>
    </row>
    <row r="12" spans="1:4">
      <c r="A12" s="1" t="s">
        <v>38</v>
      </c>
      <c r="B12" s="1">
        <v>2</v>
      </c>
      <c r="C12" s="1" t="s">
        <v>38</v>
      </c>
      <c r="D12" s="1">
        <v>-0.27999999999999997</v>
      </c>
    </row>
    <row r="13" spans="1:4">
      <c r="A13" s="1" t="s">
        <v>39</v>
      </c>
      <c r="B13" s="1">
        <v>16</v>
      </c>
      <c r="C13" s="1" t="s">
        <v>39</v>
      </c>
      <c r="D13" s="1">
        <v>0.32899999999999996</v>
      </c>
    </row>
    <row r="14" spans="1:4">
      <c r="A14" s="1" t="s">
        <v>15</v>
      </c>
      <c r="B14" s="1">
        <v>146</v>
      </c>
      <c r="C14" s="1" t="s">
        <v>15</v>
      </c>
      <c r="D14" s="1">
        <v>-4.0000000000000036E-2</v>
      </c>
    </row>
    <row r="15" spans="1:4">
      <c r="A15" s="1" t="s">
        <v>14</v>
      </c>
      <c r="B15" s="1">
        <v>39</v>
      </c>
      <c r="C15" s="1" t="s">
        <v>14</v>
      </c>
      <c r="D15" s="1">
        <v>39</v>
      </c>
    </row>
    <row r="16" spans="1:4">
      <c r="A16" s="1" t="s">
        <v>40</v>
      </c>
      <c r="B16" s="1">
        <v>16</v>
      </c>
      <c r="C16" s="1" t="s">
        <v>40</v>
      </c>
      <c r="D16" s="1">
        <v>0.32899999999999996</v>
      </c>
    </row>
    <row r="17" spans="1:4">
      <c r="A17" s="1" t="s">
        <v>41</v>
      </c>
      <c r="B17" s="1">
        <v>2</v>
      </c>
      <c r="C17" s="1" t="s">
        <v>41</v>
      </c>
      <c r="D17" s="1">
        <v>-0.27999999999999997</v>
      </c>
    </row>
    <row r="18" spans="1:4" ht="15.75" thickBot="1">
      <c r="A18" s="2" t="s">
        <v>42</v>
      </c>
      <c r="B18" s="2">
        <v>0.95155548334706019</v>
      </c>
      <c r="C18" s="2" t="s">
        <v>42</v>
      </c>
      <c r="D18" s="2">
        <v>3.6658018590297152E-2</v>
      </c>
    </row>
  </sheetData>
  <pageMargins left="0.7" right="0.7" top="0.75" bottom="0.75" header="0.3" footer="0.3"/>
  <customProperties>
    <customPr name="DVSECTIONID" r:id="rId1"/>
  </customProperties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1"/>
  <dimension ref="A1:R40"/>
  <sheetViews>
    <sheetView zoomScaleNormal="100" workbookViewId="0">
      <selection sqref="A1:H40"/>
    </sheetView>
  </sheetViews>
  <sheetFormatPr defaultRowHeight="15"/>
  <cols>
    <col min="3" max="3" width="14.140625" customWidth="1"/>
    <col min="5" max="5" width="27.28515625" customWidth="1"/>
  </cols>
  <sheetData>
    <row r="1" spans="1:18">
      <c r="A1" t="s">
        <v>9</v>
      </c>
      <c r="B1" t="s">
        <v>10</v>
      </c>
      <c r="C1" t="s">
        <v>6</v>
      </c>
      <c r="D1" t="s">
        <v>7</v>
      </c>
      <c r="E1" t="s">
        <v>8</v>
      </c>
      <c r="F1" t="s">
        <v>5</v>
      </c>
      <c r="G1" t="s">
        <v>4</v>
      </c>
      <c r="H1" t="s">
        <v>8</v>
      </c>
    </row>
    <row r="2" spans="1:18">
      <c r="A2">
        <v>2</v>
      </c>
      <c r="B2">
        <v>3</v>
      </c>
      <c r="C2">
        <v>0.55800000000000005</v>
      </c>
      <c r="D2">
        <v>0.88700000000000001</v>
      </c>
      <c r="E2">
        <f>(D2-C2)</f>
        <v>0.32899999999999996</v>
      </c>
      <c r="F2">
        <f>A2/B2</f>
        <v>0.66666666666666663</v>
      </c>
      <c r="G2">
        <v>2</v>
      </c>
      <c r="H2">
        <f>E2</f>
        <v>0.32899999999999996</v>
      </c>
    </row>
    <row r="3" spans="1:18">
      <c r="A3">
        <v>7</v>
      </c>
      <c r="B3">
        <v>13</v>
      </c>
      <c r="C3">
        <v>0.312</v>
      </c>
      <c r="D3">
        <v>0.57399999999999995</v>
      </c>
      <c r="E3">
        <f t="shared" ref="E3:E8" si="0">(D3-C3)</f>
        <v>0.26199999999999996</v>
      </c>
      <c r="F3">
        <f t="shared" ref="F3:F9" si="1">A3/B3</f>
        <v>0.53846153846153844</v>
      </c>
      <c r="G3">
        <v>2</v>
      </c>
      <c r="H3">
        <f t="shared" ref="H3:H40" si="2">E3</f>
        <v>0.26199999999999996</v>
      </c>
    </row>
    <row r="4" spans="1:18">
      <c r="A4">
        <v>7</v>
      </c>
      <c r="B4">
        <v>10</v>
      </c>
      <c r="C4">
        <v>0.65600000000000003</v>
      </c>
      <c r="D4">
        <v>0.66300000000000003</v>
      </c>
      <c r="E4">
        <f t="shared" si="0"/>
        <v>7.0000000000000062E-3</v>
      </c>
      <c r="F4">
        <f t="shared" si="1"/>
        <v>0.7</v>
      </c>
      <c r="G4">
        <v>2</v>
      </c>
      <c r="H4">
        <f t="shared" si="2"/>
        <v>7.0000000000000062E-3</v>
      </c>
    </row>
    <row r="5" spans="1:18">
      <c r="A5">
        <v>3</v>
      </c>
      <c r="B5">
        <v>5</v>
      </c>
      <c r="C5">
        <v>0.90800000000000003</v>
      </c>
      <c r="D5">
        <v>0.82099999999999995</v>
      </c>
      <c r="E5">
        <f t="shared" si="0"/>
        <v>-8.7000000000000077E-2</v>
      </c>
      <c r="F5">
        <f t="shared" si="1"/>
        <v>0.6</v>
      </c>
      <c r="G5">
        <v>2</v>
      </c>
      <c r="H5">
        <f t="shared" si="2"/>
        <v>-8.7000000000000077E-2</v>
      </c>
    </row>
    <row r="6" spans="1:18">
      <c r="A6">
        <v>10</v>
      </c>
      <c r="B6">
        <v>14</v>
      </c>
      <c r="C6">
        <v>0.91100000000000003</v>
      </c>
      <c r="D6">
        <v>0.75600000000000001</v>
      </c>
      <c r="E6">
        <f t="shared" si="0"/>
        <v>-0.15500000000000003</v>
      </c>
      <c r="F6">
        <f t="shared" si="1"/>
        <v>0.7142857142857143</v>
      </c>
      <c r="G6">
        <v>2</v>
      </c>
      <c r="H6">
        <f t="shared" si="2"/>
        <v>-0.15500000000000003</v>
      </c>
      <c r="Q6" t="s">
        <v>1</v>
      </c>
      <c r="R6">
        <f xml:space="preserve"> AVERAGE(E2:E40)</f>
        <v>-1.0256410256410265E-3</v>
      </c>
    </row>
    <row r="7" spans="1:18">
      <c r="A7">
        <v>16</v>
      </c>
      <c r="B7">
        <v>28</v>
      </c>
      <c r="C7">
        <v>0.504</v>
      </c>
      <c r="D7">
        <v>0.54700000000000004</v>
      </c>
      <c r="E7">
        <f t="shared" si="0"/>
        <v>4.3000000000000038E-2</v>
      </c>
      <c r="F7">
        <f t="shared" si="1"/>
        <v>0.5714285714285714</v>
      </c>
      <c r="G7">
        <v>5</v>
      </c>
      <c r="H7">
        <f t="shared" si="2"/>
        <v>4.3000000000000038E-2</v>
      </c>
      <c r="Q7" t="s">
        <v>2</v>
      </c>
      <c r="R7">
        <f>STDEV(E2:E40)</f>
        <v>0.11308531646027427</v>
      </c>
    </row>
    <row r="8" spans="1:18">
      <c r="A8">
        <v>9</v>
      </c>
      <c r="B8">
        <v>28</v>
      </c>
      <c r="C8">
        <v>0.65800000000000003</v>
      </c>
      <c r="D8">
        <v>0.58199999999999996</v>
      </c>
      <c r="E8">
        <f t="shared" si="0"/>
        <v>-7.6000000000000068E-2</v>
      </c>
      <c r="F8">
        <f t="shared" si="1"/>
        <v>0.32142857142857145</v>
      </c>
      <c r="G8">
        <v>3</v>
      </c>
      <c r="H8">
        <f t="shared" si="2"/>
        <v>-7.6000000000000068E-2</v>
      </c>
      <c r="Q8" t="s">
        <v>3</v>
      </c>
      <c r="R8">
        <f>MEDIAN(E2:E40)</f>
        <v>0</v>
      </c>
    </row>
    <row r="9" spans="1:18">
      <c r="A9">
        <v>3</v>
      </c>
      <c r="B9">
        <v>4</v>
      </c>
      <c r="C9">
        <v>0.58699999999999997</v>
      </c>
      <c r="D9">
        <v>0.64200000000000002</v>
      </c>
      <c r="E9">
        <f t="shared" ref="E9:E31" si="3">(D9-C9)</f>
        <v>5.5000000000000049E-2</v>
      </c>
      <c r="F9">
        <f t="shared" si="1"/>
        <v>0.75</v>
      </c>
      <c r="G9">
        <v>3</v>
      </c>
      <c r="H9">
        <f t="shared" si="2"/>
        <v>5.5000000000000049E-2</v>
      </c>
    </row>
    <row r="10" spans="1:18">
      <c r="A10">
        <v>10</v>
      </c>
      <c r="B10">
        <v>18</v>
      </c>
      <c r="C10">
        <v>0.46600000000000003</v>
      </c>
      <c r="D10">
        <v>0.47899999999999998</v>
      </c>
      <c r="E10">
        <f t="shared" si="3"/>
        <v>1.2999999999999956E-2</v>
      </c>
      <c r="F10">
        <f t="shared" ref="F10:F40" si="4">A10/B10</f>
        <v>0.55555555555555558</v>
      </c>
      <c r="G10">
        <v>6</v>
      </c>
      <c r="H10">
        <f t="shared" si="2"/>
        <v>1.2999999999999956E-2</v>
      </c>
    </row>
    <row r="11" spans="1:18">
      <c r="A11">
        <v>12</v>
      </c>
      <c r="B11">
        <v>28</v>
      </c>
      <c r="C11">
        <v>0.32900000000000001</v>
      </c>
      <c r="D11">
        <v>0.55200000000000005</v>
      </c>
      <c r="E11">
        <f t="shared" si="3"/>
        <v>0.22300000000000003</v>
      </c>
      <c r="F11">
        <f t="shared" si="4"/>
        <v>0.42857142857142855</v>
      </c>
      <c r="G11">
        <v>2</v>
      </c>
      <c r="H11">
        <f t="shared" si="2"/>
        <v>0.22300000000000003</v>
      </c>
    </row>
    <row r="12" spans="1:18">
      <c r="A12">
        <v>5</v>
      </c>
      <c r="B12">
        <v>14</v>
      </c>
      <c r="C12">
        <v>0.56200000000000006</v>
      </c>
      <c r="D12">
        <v>0.56599999999999995</v>
      </c>
      <c r="E12">
        <f t="shared" si="3"/>
        <v>3.9999999999998925E-3</v>
      </c>
      <c r="F12">
        <f t="shared" si="4"/>
        <v>0.35714285714285715</v>
      </c>
      <c r="G12">
        <v>3</v>
      </c>
      <c r="H12">
        <f t="shared" si="2"/>
        <v>3.9999999999998925E-3</v>
      </c>
    </row>
    <row r="13" spans="1:18">
      <c r="A13">
        <v>4</v>
      </c>
      <c r="B13">
        <v>4</v>
      </c>
      <c r="C13">
        <v>0.75</v>
      </c>
      <c r="D13">
        <v>0.65400000000000003</v>
      </c>
      <c r="E13">
        <f t="shared" si="3"/>
        <v>-9.5999999999999974E-2</v>
      </c>
      <c r="F13">
        <f t="shared" si="4"/>
        <v>1</v>
      </c>
      <c r="G13">
        <v>3</v>
      </c>
      <c r="H13">
        <f t="shared" si="2"/>
        <v>-9.5999999999999974E-2</v>
      </c>
    </row>
    <row r="14" spans="1:18">
      <c r="A14">
        <v>5</v>
      </c>
      <c r="B14">
        <v>6</v>
      </c>
      <c r="C14">
        <v>0.59</v>
      </c>
      <c r="D14">
        <v>0.61399999999999999</v>
      </c>
      <c r="E14">
        <f t="shared" si="3"/>
        <v>2.4000000000000021E-2</v>
      </c>
      <c r="F14">
        <f t="shared" si="4"/>
        <v>0.83333333333333337</v>
      </c>
      <c r="G14">
        <v>3</v>
      </c>
      <c r="H14">
        <f t="shared" si="2"/>
        <v>2.4000000000000021E-2</v>
      </c>
    </row>
    <row r="15" spans="1:18">
      <c r="A15">
        <v>6</v>
      </c>
      <c r="B15">
        <v>9</v>
      </c>
      <c r="C15">
        <v>0.89300000000000002</v>
      </c>
      <c r="D15">
        <v>0.77300000000000002</v>
      </c>
      <c r="E15">
        <f t="shared" si="3"/>
        <v>-0.12</v>
      </c>
      <c r="F15">
        <f t="shared" si="4"/>
        <v>0.66666666666666663</v>
      </c>
      <c r="G15">
        <v>3</v>
      </c>
      <c r="H15">
        <f t="shared" si="2"/>
        <v>-0.12</v>
      </c>
    </row>
    <row r="16" spans="1:18">
      <c r="A16">
        <v>24</v>
      </c>
      <c r="B16">
        <v>49</v>
      </c>
      <c r="C16">
        <v>0.496</v>
      </c>
      <c r="D16">
        <v>0.42</v>
      </c>
      <c r="E16">
        <f t="shared" si="3"/>
        <v>-7.6000000000000012E-2</v>
      </c>
      <c r="F16">
        <f t="shared" si="4"/>
        <v>0.48979591836734693</v>
      </c>
      <c r="G16">
        <v>5</v>
      </c>
      <c r="H16">
        <f t="shared" si="2"/>
        <v>-7.6000000000000012E-2</v>
      </c>
    </row>
    <row r="17" spans="1:8">
      <c r="A17">
        <v>5</v>
      </c>
      <c r="B17">
        <v>7</v>
      </c>
      <c r="C17">
        <v>0.745</v>
      </c>
      <c r="D17">
        <v>0.56899999999999995</v>
      </c>
      <c r="E17">
        <f t="shared" si="3"/>
        <v>-0.17600000000000005</v>
      </c>
      <c r="F17">
        <f t="shared" si="4"/>
        <v>0.7142857142857143</v>
      </c>
      <c r="G17">
        <v>4</v>
      </c>
      <c r="H17">
        <f t="shared" si="2"/>
        <v>-0.17600000000000005</v>
      </c>
    </row>
    <row r="18" spans="1:8">
      <c r="A18">
        <v>12</v>
      </c>
      <c r="B18">
        <v>14</v>
      </c>
      <c r="C18">
        <v>0.39500000000000002</v>
      </c>
      <c r="D18">
        <v>0.60599999999999998</v>
      </c>
      <c r="E18">
        <f t="shared" si="3"/>
        <v>0.21099999999999997</v>
      </c>
      <c r="F18">
        <f t="shared" si="4"/>
        <v>0.8571428571428571</v>
      </c>
      <c r="G18">
        <v>5</v>
      </c>
      <c r="H18">
        <f t="shared" si="2"/>
        <v>0.21099999999999997</v>
      </c>
    </row>
    <row r="19" spans="1:8">
      <c r="A19">
        <v>15</v>
      </c>
      <c r="B19">
        <v>19</v>
      </c>
      <c r="C19">
        <v>0.44800000000000001</v>
      </c>
      <c r="D19">
        <v>0.46500000000000002</v>
      </c>
      <c r="E19">
        <f t="shared" si="3"/>
        <v>1.7000000000000015E-2</v>
      </c>
      <c r="F19">
        <f t="shared" si="4"/>
        <v>0.78947368421052633</v>
      </c>
      <c r="G19">
        <v>4</v>
      </c>
      <c r="H19">
        <f t="shared" si="2"/>
        <v>1.7000000000000015E-2</v>
      </c>
    </row>
    <row r="20" spans="1:8">
      <c r="A20">
        <v>8</v>
      </c>
      <c r="B20">
        <v>14</v>
      </c>
      <c r="C20">
        <v>0.45100000000000001</v>
      </c>
      <c r="D20">
        <v>0.49299999999999999</v>
      </c>
      <c r="E20">
        <f t="shared" si="3"/>
        <v>4.1999999999999982E-2</v>
      </c>
      <c r="F20">
        <f t="shared" si="4"/>
        <v>0.5714285714285714</v>
      </c>
      <c r="G20">
        <v>2</v>
      </c>
      <c r="H20">
        <f t="shared" si="2"/>
        <v>4.1999999999999982E-2</v>
      </c>
    </row>
    <row r="21" spans="1:8">
      <c r="A21">
        <v>10</v>
      </c>
      <c r="B21">
        <v>18</v>
      </c>
      <c r="C21">
        <v>0.75</v>
      </c>
      <c r="D21">
        <v>0.68</v>
      </c>
      <c r="E21">
        <f t="shared" si="3"/>
        <v>-6.9999999999999951E-2</v>
      </c>
      <c r="F21">
        <f t="shared" si="4"/>
        <v>0.55555555555555558</v>
      </c>
      <c r="G21">
        <v>2</v>
      </c>
      <c r="H21">
        <f t="shared" si="2"/>
        <v>-6.9999999999999951E-2</v>
      </c>
    </row>
    <row r="22" spans="1:8">
      <c r="A22">
        <v>19</v>
      </c>
      <c r="B22">
        <v>27</v>
      </c>
      <c r="C22">
        <v>0.621</v>
      </c>
      <c r="D22">
        <v>0.59099999999999997</v>
      </c>
      <c r="E22">
        <f t="shared" si="3"/>
        <v>-3.0000000000000027E-2</v>
      </c>
      <c r="F22">
        <f t="shared" si="4"/>
        <v>0.70370370370370372</v>
      </c>
      <c r="G22">
        <v>2</v>
      </c>
      <c r="H22">
        <f t="shared" si="2"/>
        <v>-3.0000000000000027E-2</v>
      </c>
    </row>
    <row r="23" spans="1:8">
      <c r="A23">
        <v>26</v>
      </c>
      <c r="B23">
        <v>31</v>
      </c>
      <c r="C23">
        <v>0.49099999999999999</v>
      </c>
      <c r="D23">
        <v>0.51500000000000001</v>
      </c>
      <c r="E23">
        <f t="shared" si="3"/>
        <v>2.4000000000000021E-2</v>
      </c>
      <c r="F23">
        <f t="shared" si="4"/>
        <v>0.83870967741935487</v>
      </c>
      <c r="G23">
        <v>9</v>
      </c>
      <c r="H23">
        <f t="shared" si="2"/>
        <v>2.4000000000000021E-2</v>
      </c>
    </row>
    <row r="24" spans="1:8">
      <c r="A24">
        <v>18</v>
      </c>
      <c r="B24">
        <v>35</v>
      </c>
      <c r="C24">
        <v>0.875</v>
      </c>
      <c r="D24">
        <v>0.84399999999999997</v>
      </c>
      <c r="E24">
        <f t="shared" si="3"/>
        <v>-3.1000000000000028E-2</v>
      </c>
      <c r="F24">
        <f t="shared" si="4"/>
        <v>0.51428571428571423</v>
      </c>
      <c r="G24">
        <v>2</v>
      </c>
      <c r="H24">
        <f t="shared" si="2"/>
        <v>-3.1000000000000028E-2</v>
      </c>
    </row>
    <row r="25" spans="1:8">
      <c r="A25">
        <v>9</v>
      </c>
      <c r="B25">
        <v>12</v>
      </c>
      <c r="C25">
        <v>0.34899999999999998</v>
      </c>
      <c r="D25">
        <v>0.34899999999999998</v>
      </c>
      <c r="E25">
        <f t="shared" si="3"/>
        <v>0</v>
      </c>
      <c r="F25">
        <f t="shared" si="4"/>
        <v>0.75</v>
      </c>
      <c r="G25">
        <v>3</v>
      </c>
      <c r="H25">
        <f t="shared" si="2"/>
        <v>0</v>
      </c>
    </row>
    <row r="26" spans="1:8">
      <c r="A26">
        <v>13</v>
      </c>
      <c r="B26">
        <v>23</v>
      </c>
      <c r="C26">
        <v>0.59399999999999997</v>
      </c>
      <c r="D26">
        <v>0.54200000000000004</v>
      </c>
      <c r="E26">
        <f t="shared" si="3"/>
        <v>-5.1999999999999935E-2</v>
      </c>
      <c r="F26">
        <f t="shared" si="4"/>
        <v>0.56521739130434778</v>
      </c>
      <c r="G26">
        <v>3</v>
      </c>
      <c r="H26">
        <f t="shared" si="2"/>
        <v>-5.1999999999999935E-2</v>
      </c>
    </row>
    <row r="27" spans="1:8">
      <c r="A27">
        <v>4</v>
      </c>
      <c r="B27">
        <v>6</v>
      </c>
      <c r="C27">
        <v>0.60799999999999998</v>
      </c>
      <c r="D27">
        <v>0.62</v>
      </c>
      <c r="E27">
        <f t="shared" si="3"/>
        <v>1.2000000000000011E-2</v>
      </c>
      <c r="F27">
        <f t="shared" si="4"/>
        <v>0.66666666666666663</v>
      </c>
      <c r="G27">
        <v>3</v>
      </c>
      <c r="H27">
        <f t="shared" si="2"/>
        <v>1.2000000000000011E-2</v>
      </c>
    </row>
    <row r="28" spans="1:8">
      <c r="A28">
        <v>32</v>
      </c>
      <c r="B28">
        <v>40</v>
      </c>
      <c r="C28">
        <v>0.48799999999999999</v>
      </c>
      <c r="D28">
        <v>0.48799999999999999</v>
      </c>
      <c r="E28">
        <f t="shared" si="3"/>
        <v>0</v>
      </c>
      <c r="F28">
        <f t="shared" si="4"/>
        <v>0.8</v>
      </c>
      <c r="G28">
        <v>16</v>
      </c>
      <c r="H28">
        <f t="shared" si="2"/>
        <v>0</v>
      </c>
    </row>
    <row r="29" spans="1:8">
      <c r="A29">
        <v>5</v>
      </c>
      <c r="B29">
        <v>6</v>
      </c>
      <c r="C29">
        <v>1</v>
      </c>
      <c r="D29">
        <v>0.99</v>
      </c>
      <c r="E29">
        <f t="shared" si="3"/>
        <v>-1.0000000000000009E-2</v>
      </c>
      <c r="F29">
        <f t="shared" si="4"/>
        <v>0.83333333333333337</v>
      </c>
      <c r="G29">
        <v>2</v>
      </c>
      <c r="H29">
        <f t="shared" si="2"/>
        <v>-1.0000000000000009E-2</v>
      </c>
    </row>
    <row r="30" spans="1:8">
      <c r="A30">
        <v>74</v>
      </c>
      <c r="B30">
        <v>90</v>
      </c>
      <c r="C30">
        <v>0.47199999999999998</v>
      </c>
      <c r="D30">
        <v>0.47199999999999998</v>
      </c>
      <c r="E30">
        <f t="shared" si="3"/>
        <v>0</v>
      </c>
      <c r="F30">
        <f t="shared" si="4"/>
        <v>0.82222222222222219</v>
      </c>
      <c r="G30">
        <v>13</v>
      </c>
      <c r="H30">
        <f t="shared" si="2"/>
        <v>0</v>
      </c>
    </row>
    <row r="31" spans="1:8">
      <c r="A31">
        <v>30</v>
      </c>
      <c r="B31">
        <v>45</v>
      </c>
      <c r="C31">
        <v>0.60899999999999999</v>
      </c>
      <c r="D31">
        <v>0.66500000000000004</v>
      </c>
      <c r="E31">
        <f t="shared" si="3"/>
        <v>5.600000000000005E-2</v>
      </c>
      <c r="F31">
        <f t="shared" si="4"/>
        <v>0.66666666666666663</v>
      </c>
      <c r="G31">
        <v>5</v>
      </c>
      <c r="H31">
        <f t="shared" si="2"/>
        <v>5.600000000000005E-2</v>
      </c>
    </row>
    <row r="32" spans="1:8">
      <c r="A32">
        <v>42</v>
      </c>
      <c r="B32">
        <v>55</v>
      </c>
      <c r="C32">
        <v>0.59199999999999997</v>
      </c>
      <c r="D32">
        <v>0.54100000000000004</v>
      </c>
      <c r="E32">
        <f t="shared" ref="E32:E40" si="5">(D32-C32)</f>
        <v>-5.0999999999999934E-2</v>
      </c>
      <c r="F32">
        <f t="shared" si="4"/>
        <v>0.76363636363636367</v>
      </c>
      <c r="G32">
        <v>3</v>
      </c>
      <c r="H32">
        <f t="shared" si="2"/>
        <v>-5.0999999999999934E-2</v>
      </c>
    </row>
    <row r="33" spans="1:8">
      <c r="A33">
        <v>21</v>
      </c>
      <c r="B33">
        <v>35</v>
      </c>
      <c r="C33">
        <v>0.51900000000000002</v>
      </c>
      <c r="D33">
        <v>0.54600000000000004</v>
      </c>
      <c r="E33">
        <f t="shared" si="5"/>
        <v>2.7000000000000024E-2</v>
      </c>
      <c r="F33">
        <f t="shared" si="4"/>
        <v>0.6</v>
      </c>
      <c r="G33">
        <v>4</v>
      </c>
      <c r="H33">
        <f t="shared" si="2"/>
        <v>2.7000000000000024E-2</v>
      </c>
    </row>
    <row r="34" spans="1:8">
      <c r="A34">
        <v>10</v>
      </c>
      <c r="B34">
        <v>22</v>
      </c>
      <c r="C34">
        <v>0.501</v>
      </c>
      <c r="D34">
        <v>0.53700000000000003</v>
      </c>
      <c r="E34">
        <f t="shared" si="5"/>
        <v>3.6000000000000032E-2</v>
      </c>
      <c r="F34">
        <f t="shared" si="4"/>
        <v>0.45454545454545453</v>
      </c>
      <c r="G34">
        <v>4</v>
      </c>
      <c r="H34">
        <f t="shared" si="2"/>
        <v>3.6000000000000032E-2</v>
      </c>
    </row>
    <row r="35" spans="1:8">
      <c r="A35">
        <v>7</v>
      </c>
      <c r="B35">
        <v>10</v>
      </c>
      <c r="C35">
        <v>0.51400000000000001</v>
      </c>
      <c r="D35">
        <v>0.57799999999999996</v>
      </c>
      <c r="E35">
        <f t="shared" si="5"/>
        <v>6.3999999999999946E-2</v>
      </c>
      <c r="F35">
        <f t="shared" si="4"/>
        <v>0.7</v>
      </c>
      <c r="G35">
        <v>3</v>
      </c>
      <c r="H35">
        <f t="shared" si="2"/>
        <v>6.3999999999999946E-2</v>
      </c>
    </row>
    <row r="36" spans="1:8">
      <c r="A36">
        <v>4</v>
      </c>
      <c r="B36">
        <v>4</v>
      </c>
      <c r="C36">
        <v>0.76400000000000001</v>
      </c>
      <c r="D36">
        <v>0.72399999999999998</v>
      </c>
      <c r="E36">
        <f t="shared" si="5"/>
        <v>-4.0000000000000036E-2</v>
      </c>
      <c r="F36">
        <f t="shared" si="4"/>
        <v>1</v>
      </c>
      <c r="G36">
        <v>3</v>
      </c>
      <c r="H36">
        <f t="shared" si="2"/>
        <v>-4.0000000000000036E-2</v>
      </c>
    </row>
    <row r="37" spans="1:8">
      <c r="A37">
        <v>3</v>
      </c>
      <c r="B37">
        <v>3</v>
      </c>
      <c r="C37">
        <v>0.61</v>
      </c>
      <c r="D37">
        <v>0.33</v>
      </c>
      <c r="E37">
        <f t="shared" si="5"/>
        <v>-0.27999999999999997</v>
      </c>
      <c r="F37">
        <f t="shared" si="4"/>
        <v>1</v>
      </c>
      <c r="G37">
        <v>2</v>
      </c>
      <c r="H37">
        <f t="shared" si="2"/>
        <v>-0.27999999999999997</v>
      </c>
    </row>
    <row r="38" spans="1:8">
      <c r="A38">
        <v>3</v>
      </c>
      <c r="B38">
        <v>3</v>
      </c>
      <c r="C38">
        <v>0.94099999999999995</v>
      </c>
      <c r="D38">
        <v>0.91</v>
      </c>
      <c r="E38">
        <f t="shared" si="5"/>
        <v>-3.0999999999999917E-2</v>
      </c>
      <c r="F38">
        <f t="shared" si="4"/>
        <v>1</v>
      </c>
      <c r="G38">
        <v>2</v>
      </c>
      <c r="H38">
        <f t="shared" si="2"/>
        <v>-3.0999999999999917E-2</v>
      </c>
    </row>
    <row r="39" spans="1:8">
      <c r="A39">
        <v>3</v>
      </c>
      <c r="B39">
        <v>6</v>
      </c>
      <c r="C39">
        <v>0.60899999999999999</v>
      </c>
      <c r="D39">
        <v>0.56999999999999995</v>
      </c>
      <c r="E39">
        <f t="shared" si="5"/>
        <v>-3.9000000000000035E-2</v>
      </c>
      <c r="F39">
        <f t="shared" si="4"/>
        <v>0.5</v>
      </c>
      <c r="G39">
        <v>2</v>
      </c>
      <c r="H39">
        <f t="shared" si="2"/>
        <v>-3.9000000000000035E-2</v>
      </c>
    </row>
    <row r="40" spans="1:8">
      <c r="A40">
        <v>15</v>
      </c>
      <c r="B40">
        <v>27</v>
      </c>
      <c r="C40">
        <v>0.48299999999999998</v>
      </c>
      <c r="D40">
        <v>0.41399999999999998</v>
      </c>
      <c r="E40">
        <f t="shared" si="5"/>
        <v>-6.9000000000000006E-2</v>
      </c>
      <c r="F40">
        <f t="shared" si="4"/>
        <v>0.55555555555555558</v>
      </c>
      <c r="G40">
        <v>2</v>
      </c>
      <c r="H40">
        <f t="shared" si="2"/>
        <v>-6.9000000000000006E-2</v>
      </c>
    </row>
  </sheetData>
  <pageMargins left="0.7" right="0.7" top="0.75" bottom="0.75" header="0.3" footer="0.3"/>
  <customProperties>
    <customPr name="DVSECTIONID" r:id="rId1"/>
  </customProperties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10"/>
  <dimension ref="A1:G14"/>
  <sheetViews>
    <sheetView workbookViewId="0">
      <selection activeCell="H21" sqref="H21"/>
    </sheetView>
  </sheetViews>
  <sheetFormatPr defaultRowHeight="15"/>
  <sheetData>
    <row r="1" spans="1:7">
      <c r="A1" t="s">
        <v>11</v>
      </c>
    </row>
    <row r="3" spans="1:7" ht="15.75" thickBot="1">
      <c r="A3" t="s">
        <v>12</v>
      </c>
    </row>
    <row r="4" spans="1:7">
      <c r="A4" s="3" t="s">
        <v>13</v>
      </c>
      <c r="B4" s="3" t="s">
        <v>14</v>
      </c>
      <c r="C4" s="3" t="s">
        <v>15</v>
      </c>
      <c r="D4" s="3" t="s">
        <v>16</v>
      </c>
      <c r="E4" s="3" t="s">
        <v>17</v>
      </c>
    </row>
    <row r="5" spans="1:7">
      <c r="A5" s="1" t="s">
        <v>4</v>
      </c>
      <c r="B5" s="1">
        <v>38</v>
      </c>
      <c r="C5" s="1">
        <v>133</v>
      </c>
      <c r="D5" s="1">
        <v>3.5</v>
      </c>
      <c r="E5" s="1">
        <v>6.4729729729729728</v>
      </c>
    </row>
    <row r="6" spans="1:7" ht="15.75" thickBot="1">
      <c r="A6" s="2" t="s">
        <v>8</v>
      </c>
      <c r="B6" s="2">
        <v>38</v>
      </c>
      <c r="C6" s="2">
        <v>-0.98199999999999998</v>
      </c>
      <c r="D6" s="2">
        <v>-2.5842105263157895E-2</v>
      </c>
      <c r="E6" s="2">
        <v>7.7871635846372706E-3</v>
      </c>
    </row>
    <row r="9" spans="1:7" ht="15.75" thickBot="1">
      <c r="A9" t="s">
        <v>18</v>
      </c>
    </row>
    <row r="10" spans="1:7">
      <c r="A10" s="3" t="s">
        <v>19</v>
      </c>
      <c r="B10" s="3" t="s">
        <v>20</v>
      </c>
      <c r="C10" s="3" t="s">
        <v>21</v>
      </c>
      <c r="D10" s="3" t="s">
        <v>22</v>
      </c>
      <c r="E10" s="3" t="s">
        <v>23</v>
      </c>
      <c r="F10" s="3" t="s">
        <v>24</v>
      </c>
      <c r="G10" s="3" t="s">
        <v>25</v>
      </c>
    </row>
    <row r="11" spans="1:7">
      <c r="A11" s="1" t="s">
        <v>26</v>
      </c>
      <c r="B11" s="1">
        <v>236.19968847368438</v>
      </c>
      <c r="C11" s="1">
        <v>1</v>
      </c>
      <c r="D11" s="1">
        <v>236.19968847368438</v>
      </c>
      <c r="E11" s="1">
        <v>72.892587751024749</v>
      </c>
      <c r="F11" s="1">
        <v>1.2444260351110918E-12</v>
      </c>
      <c r="G11" s="1">
        <v>3.9702294632286979</v>
      </c>
    </row>
    <row r="12" spans="1:7">
      <c r="A12" s="1" t="s">
        <v>27</v>
      </c>
      <c r="B12" s="1">
        <v>239.78812505263159</v>
      </c>
      <c r="C12" s="1">
        <v>74</v>
      </c>
      <c r="D12" s="1">
        <v>3.2403800682788053</v>
      </c>
      <c r="E12" s="1"/>
      <c r="F12" s="1"/>
      <c r="G12" s="1"/>
    </row>
    <row r="13" spans="1:7">
      <c r="A13" s="1"/>
      <c r="B13" s="1"/>
      <c r="C13" s="1"/>
      <c r="D13" s="1"/>
      <c r="E13" s="1"/>
      <c r="F13" s="1"/>
      <c r="G13" s="1"/>
    </row>
    <row r="14" spans="1:7" ht="15.75" thickBot="1">
      <c r="A14" s="2" t="s">
        <v>28</v>
      </c>
      <c r="B14" s="2">
        <v>475.98781352631596</v>
      </c>
      <c r="C14" s="2">
        <v>75</v>
      </c>
      <c r="D14" s="2"/>
      <c r="E14" s="2"/>
      <c r="F14" s="2"/>
      <c r="G14" s="2"/>
    </row>
  </sheetData>
  <pageMargins left="0.7" right="0.7" top="0.75" bottom="0.75" header="0.3" footer="0.3"/>
  <customProperties>
    <customPr name="DVSECTIONID" r:id="rId1"/>
  </customProperties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2"/>
  <dimension ref="A1:H39"/>
  <sheetViews>
    <sheetView tabSelected="1" topLeftCell="A24" workbookViewId="0">
      <selection activeCell="H24" sqref="H24"/>
    </sheetView>
  </sheetViews>
  <sheetFormatPr defaultRowHeight="15"/>
  <cols>
    <col min="3" max="3" width="13.7109375" bestFit="1" customWidth="1"/>
    <col min="4" max="4" width="12.85546875" bestFit="1" customWidth="1"/>
    <col min="6" max="6" width="3.7109375" customWidth="1"/>
    <col min="8" max="8" width="27.5703125" bestFit="1" customWidth="1"/>
  </cols>
  <sheetData>
    <row r="1" spans="1:8">
      <c r="A1" t="s">
        <v>9</v>
      </c>
      <c r="B1" t="s">
        <v>10</v>
      </c>
      <c r="C1" t="s">
        <v>6</v>
      </c>
      <c r="D1" t="s">
        <v>7</v>
      </c>
      <c r="E1" t="s">
        <v>8</v>
      </c>
      <c r="F1" t="s">
        <v>5</v>
      </c>
      <c r="G1" t="s">
        <v>4</v>
      </c>
      <c r="H1" t="s">
        <v>43</v>
      </c>
    </row>
    <row r="2" spans="1:8">
      <c r="A2">
        <v>2</v>
      </c>
      <c r="B2">
        <v>3</v>
      </c>
      <c r="C2">
        <v>0.86099999999999999</v>
      </c>
      <c r="D2">
        <v>0.86099999999999999</v>
      </c>
      <c r="E2">
        <f>(D2-C2)</f>
        <v>0</v>
      </c>
      <c r="F2">
        <f>A2/B2</f>
        <v>0.66666666666666663</v>
      </c>
      <c r="G2">
        <v>2</v>
      </c>
      <c r="H2">
        <f>ABS(E2)</f>
        <v>0</v>
      </c>
    </row>
    <row r="3" spans="1:8">
      <c r="A3">
        <v>7</v>
      </c>
      <c r="B3">
        <v>13</v>
      </c>
      <c r="C3">
        <v>0.80600000000000005</v>
      </c>
      <c r="D3">
        <v>0.82399999999999995</v>
      </c>
      <c r="E3">
        <f t="shared" ref="E3:E39" si="0">(D3-C3)</f>
        <v>1.7999999999999905E-2</v>
      </c>
      <c r="F3">
        <f t="shared" ref="F3:F39" si="1">A3/B3</f>
        <v>0.53846153846153844</v>
      </c>
      <c r="G3">
        <v>2</v>
      </c>
      <c r="H3">
        <f t="shared" ref="H3:H39" si="2">E3</f>
        <v>1.7999999999999905E-2</v>
      </c>
    </row>
    <row r="4" spans="1:8">
      <c r="A4">
        <v>7</v>
      </c>
      <c r="B4">
        <v>10</v>
      </c>
      <c r="C4">
        <v>0.72599999999999998</v>
      </c>
      <c r="D4">
        <v>0.73499999999999999</v>
      </c>
      <c r="E4">
        <f t="shared" si="0"/>
        <v>9.000000000000008E-3</v>
      </c>
      <c r="F4">
        <f t="shared" si="1"/>
        <v>0.7</v>
      </c>
      <c r="G4">
        <v>2</v>
      </c>
      <c r="H4">
        <f t="shared" si="2"/>
        <v>9.000000000000008E-3</v>
      </c>
    </row>
    <row r="5" spans="1:8">
      <c r="A5">
        <v>3</v>
      </c>
      <c r="B5">
        <v>5</v>
      </c>
      <c r="C5">
        <v>0.99399999999999999</v>
      </c>
      <c r="D5">
        <v>0.97199999999999998</v>
      </c>
      <c r="E5">
        <f t="shared" si="0"/>
        <v>-2.200000000000002E-2</v>
      </c>
      <c r="F5">
        <f t="shared" si="1"/>
        <v>0.6</v>
      </c>
      <c r="G5">
        <v>2</v>
      </c>
      <c r="H5">
        <f t="shared" si="2"/>
        <v>-2.200000000000002E-2</v>
      </c>
    </row>
    <row r="6" spans="1:8">
      <c r="A6">
        <v>10</v>
      </c>
      <c r="B6">
        <v>14</v>
      </c>
      <c r="C6">
        <v>1</v>
      </c>
      <c r="D6">
        <v>1</v>
      </c>
      <c r="E6">
        <f t="shared" si="0"/>
        <v>0</v>
      </c>
      <c r="F6">
        <f t="shared" si="1"/>
        <v>0.7142857142857143</v>
      </c>
      <c r="G6">
        <v>2</v>
      </c>
      <c r="H6">
        <f t="shared" si="2"/>
        <v>0</v>
      </c>
    </row>
    <row r="7" spans="1:8">
      <c r="A7">
        <v>16</v>
      </c>
      <c r="B7">
        <v>28</v>
      </c>
      <c r="C7">
        <v>0.56200000000000006</v>
      </c>
      <c r="D7">
        <v>0.59</v>
      </c>
      <c r="E7">
        <f t="shared" si="0"/>
        <v>2.7999999999999914E-2</v>
      </c>
      <c r="F7">
        <f t="shared" si="1"/>
        <v>0.5714285714285714</v>
      </c>
      <c r="G7">
        <v>5</v>
      </c>
      <c r="H7">
        <f t="shared" si="2"/>
        <v>2.7999999999999914E-2</v>
      </c>
    </row>
    <row r="8" spans="1:8">
      <c r="A8">
        <v>9</v>
      </c>
      <c r="B8">
        <v>28</v>
      </c>
      <c r="C8">
        <v>0.70599999999999996</v>
      </c>
      <c r="D8">
        <v>0.80600000000000005</v>
      </c>
      <c r="E8">
        <f t="shared" si="0"/>
        <v>0.10000000000000009</v>
      </c>
      <c r="F8">
        <f t="shared" si="1"/>
        <v>0.32142857142857145</v>
      </c>
      <c r="G8">
        <v>3</v>
      </c>
      <c r="H8">
        <f t="shared" si="2"/>
        <v>0.10000000000000009</v>
      </c>
    </row>
    <row r="9" spans="1:8">
      <c r="A9">
        <v>3</v>
      </c>
      <c r="B9">
        <v>4</v>
      </c>
      <c r="C9">
        <v>0.81899999999999995</v>
      </c>
      <c r="D9">
        <v>0.92200000000000004</v>
      </c>
      <c r="E9">
        <f t="shared" si="0"/>
        <v>0.10300000000000009</v>
      </c>
      <c r="F9">
        <f t="shared" si="1"/>
        <v>0.75</v>
      </c>
      <c r="G9">
        <v>3</v>
      </c>
      <c r="H9">
        <f t="shared" si="2"/>
        <v>0.10300000000000009</v>
      </c>
    </row>
    <row r="10" spans="1:8">
      <c r="A10">
        <v>10</v>
      </c>
      <c r="B10">
        <v>18</v>
      </c>
      <c r="C10">
        <v>0.63500000000000001</v>
      </c>
      <c r="D10">
        <v>0.63200000000000001</v>
      </c>
      <c r="E10">
        <f t="shared" si="0"/>
        <v>-3.0000000000000027E-3</v>
      </c>
      <c r="F10">
        <f t="shared" si="1"/>
        <v>0.55555555555555558</v>
      </c>
      <c r="G10">
        <v>6</v>
      </c>
      <c r="H10">
        <f t="shared" si="2"/>
        <v>-3.0000000000000027E-3</v>
      </c>
    </row>
    <row r="11" spans="1:8">
      <c r="A11">
        <v>12</v>
      </c>
      <c r="B11">
        <v>28</v>
      </c>
      <c r="C11">
        <v>0.84299999999999997</v>
      </c>
      <c r="D11">
        <v>0.82099999999999995</v>
      </c>
      <c r="E11">
        <f t="shared" si="0"/>
        <v>-2.200000000000002E-2</v>
      </c>
      <c r="F11">
        <f t="shared" si="1"/>
        <v>0.42857142857142855</v>
      </c>
      <c r="G11">
        <v>2</v>
      </c>
      <c r="H11">
        <f t="shared" si="2"/>
        <v>-2.200000000000002E-2</v>
      </c>
    </row>
    <row r="12" spans="1:8">
      <c r="A12">
        <v>5</v>
      </c>
      <c r="B12">
        <v>14</v>
      </c>
      <c r="C12">
        <v>0.67300000000000004</v>
      </c>
      <c r="D12">
        <v>0.82699999999999996</v>
      </c>
      <c r="E12">
        <f t="shared" si="0"/>
        <v>0.15399999999999991</v>
      </c>
      <c r="F12">
        <f t="shared" si="1"/>
        <v>0.35714285714285715</v>
      </c>
      <c r="G12">
        <v>3</v>
      </c>
      <c r="H12">
        <f t="shared" si="2"/>
        <v>0.15399999999999991</v>
      </c>
    </row>
    <row r="13" spans="1:8">
      <c r="A13">
        <v>4</v>
      </c>
      <c r="B13">
        <v>4</v>
      </c>
      <c r="C13">
        <v>0.97299999999999998</v>
      </c>
      <c r="D13">
        <v>0.9</v>
      </c>
      <c r="E13">
        <f t="shared" si="0"/>
        <v>-7.2999999999999954E-2</v>
      </c>
      <c r="F13">
        <f t="shared" si="1"/>
        <v>1</v>
      </c>
      <c r="G13">
        <v>3</v>
      </c>
      <c r="H13">
        <f t="shared" si="2"/>
        <v>-7.2999999999999954E-2</v>
      </c>
    </row>
    <row r="14" spans="1:8">
      <c r="A14">
        <v>5</v>
      </c>
      <c r="B14">
        <v>6</v>
      </c>
      <c r="C14">
        <v>0.86199999999999999</v>
      </c>
      <c r="D14">
        <v>0.69699999999999995</v>
      </c>
      <c r="E14">
        <f t="shared" si="0"/>
        <v>-0.16500000000000004</v>
      </c>
      <c r="F14">
        <f t="shared" si="1"/>
        <v>0.83333333333333337</v>
      </c>
      <c r="G14">
        <v>3</v>
      </c>
      <c r="H14">
        <f t="shared" si="2"/>
        <v>-0.16500000000000004</v>
      </c>
    </row>
    <row r="15" spans="1:8">
      <c r="A15">
        <v>6</v>
      </c>
      <c r="B15">
        <v>9</v>
      </c>
      <c r="C15">
        <v>0.98099999999999998</v>
      </c>
      <c r="D15">
        <v>0.94299999999999995</v>
      </c>
      <c r="E15">
        <f t="shared" si="0"/>
        <v>-3.8000000000000034E-2</v>
      </c>
      <c r="F15">
        <f t="shared" si="1"/>
        <v>0.66666666666666663</v>
      </c>
      <c r="G15">
        <v>3</v>
      </c>
      <c r="H15">
        <f t="shared" si="2"/>
        <v>-3.8000000000000034E-2</v>
      </c>
    </row>
    <row r="16" spans="1:8">
      <c r="A16">
        <v>24</v>
      </c>
      <c r="B16">
        <v>49</v>
      </c>
      <c r="C16">
        <v>0.57099999999999995</v>
      </c>
      <c r="D16">
        <v>0.5</v>
      </c>
      <c r="E16">
        <f t="shared" si="0"/>
        <v>-7.0999999999999952E-2</v>
      </c>
      <c r="F16">
        <f t="shared" si="1"/>
        <v>0.48979591836734693</v>
      </c>
      <c r="G16">
        <v>5</v>
      </c>
      <c r="H16">
        <f t="shared" si="2"/>
        <v>-7.0999999999999952E-2</v>
      </c>
    </row>
    <row r="17" spans="1:8">
      <c r="A17">
        <v>5</v>
      </c>
      <c r="B17">
        <v>7</v>
      </c>
      <c r="C17">
        <v>0.91700000000000004</v>
      </c>
      <c r="D17">
        <v>0.71199999999999997</v>
      </c>
      <c r="E17">
        <f t="shared" si="0"/>
        <v>-0.20500000000000007</v>
      </c>
      <c r="F17">
        <f t="shared" si="1"/>
        <v>0.7142857142857143</v>
      </c>
      <c r="G17">
        <v>4</v>
      </c>
      <c r="H17">
        <f t="shared" si="2"/>
        <v>-0.20500000000000007</v>
      </c>
    </row>
    <row r="18" spans="1:8">
      <c r="A18">
        <v>12</v>
      </c>
      <c r="B18">
        <v>14</v>
      </c>
      <c r="C18">
        <v>0.69399999999999995</v>
      </c>
      <c r="D18">
        <v>0.74399999999999999</v>
      </c>
      <c r="E18">
        <f t="shared" si="0"/>
        <v>5.0000000000000044E-2</v>
      </c>
      <c r="F18">
        <f t="shared" si="1"/>
        <v>0.8571428571428571</v>
      </c>
      <c r="G18">
        <v>5</v>
      </c>
      <c r="H18">
        <f t="shared" si="2"/>
        <v>5.0000000000000044E-2</v>
      </c>
    </row>
    <row r="19" spans="1:8">
      <c r="A19">
        <v>15</v>
      </c>
      <c r="B19">
        <v>19</v>
      </c>
      <c r="C19">
        <v>0.745</v>
      </c>
      <c r="D19">
        <v>0.749</v>
      </c>
      <c r="E19">
        <f t="shared" si="0"/>
        <v>4.0000000000000036E-3</v>
      </c>
      <c r="F19">
        <f t="shared" si="1"/>
        <v>0.78947368421052633</v>
      </c>
      <c r="G19">
        <v>4</v>
      </c>
      <c r="H19">
        <f t="shared" si="2"/>
        <v>4.0000000000000036E-3</v>
      </c>
    </row>
    <row r="20" spans="1:8">
      <c r="A20">
        <v>8</v>
      </c>
      <c r="B20">
        <v>14</v>
      </c>
      <c r="C20">
        <v>0.95499999999999996</v>
      </c>
      <c r="D20">
        <v>0.98299999999999998</v>
      </c>
      <c r="E20">
        <f t="shared" si="0"/>
        <v>2.8000000000000025E-2</v>
      </c>
      <c r="F20">
        <f t="shared" si="1"/>
        <v>0.5714285714285714</v>
      </c>
      <c r="G20">
        <v>2</v>
      </c>
      <c r="H20">
        <f t="shared" si="2"/>
        <v>2.8000000000000025E-2</v>
      </c>
    </row>
    <row r="21" spans="1:8">
      <c r="A21">
        <v>10</v>
      </c>
      <c r="B21">
        <v>18</v>
      </c>
      <c r="C21">
        <v>0.9</v>
      </c>
      <c r="D21">
        <v>0.98</v>
      </c>
      <c r="E21">
        <f t="shared" si="0"/>
        <v>7.999999999999996E-2</v>
      </c>
      <c r="F21">
        <f t="shared" si="1"/>
        <v>0.55555555555555558</v>
      </c>
      <c r="G21">
        <v>2</v>
      </c>
      <c r="H21">
        <f t="shared" si="2"/>
        <v>7.999999999999996E-2</v>
      </c>
    </row>
    <row r="22" spans="1:8">
      <c r="A22">
        <v>19</v>
      </c>
      <c r="B22">
        <v>27</v>
      </c>
      <c r="C22">
        <v>1</v>
      </c>
      <c r="D22">
        <v>1</v>
      </c>
      <c r="E22">
        <f t="shared" si="0"/>
        <v>0</v>
      </c>
      <c r="F22">
        <f t="shared" si="1"/>
        <v>0.70370370370370372</v>
      </c>
      <c r="G22">
        <v>2</v>
      </c>
      <c r="H22">
        <f t="shared" si="2"/>
        <v>0</v>
      </c>
    </row>
    <row r="23" spans="1:8">
      <c r="A23">
        <v>26</v>
      </c>
      <c r="B23">
        <v>31</v>
      </c>
      <c r="C23">
        <v>0.59899999999999998</v>
      </c>
      <c r="D23">
        <v>0.54100000000000004</v>
      </c>
      <c r="E23">
        <f t="shared" si="0"/>
        <v>-5.799999999999994E-2</v>
      </c>
      <c r="F23">
        <f t="shared" si="1"/>
        <v>0.83870967741935487</v>
      </c>
      <c r="G23">
        <v>9</v>
      </c>
      <c r="H23">
        <f t="shared" si="2"/>
        <v>-5.799999999999994E-2</v>
      </c>
    </row>
    <row r="24" spans="1:8">
      <c r="A24">
        <v>18</v>
      </c>
      <c r="B24">
        <v>35</v>
      </c>
      <c r="C24">
        <v>1</v>
      </c>
      <c r="D24">
        <v>1</v>
      </c>
      <c r="E24">
        <f t="shared" si="0"/>
        <v>0</v>
      </c>
      <c r="F24">
        <f t="shared" si="1"/>
        <v>0.51428571428571423</v>
      </c>
      <c r="G24">
        <v>2</v>
      </c>
      <c r="H24">
        <f t="shared" si="2"/>
        <v>0</v>
      </c>
    </row>
    <row r="25" spans="1:8">
      <c r="A25">
        <v>9</v>
      </c>
      <c r="B25">
        <v>12</v>
      </c>
      <c r="C25">
        <v>0.5</v>
      </c>
      <c r="D25">
        <v>0.5</v>
      </c>
      <c r="E25">
        <f t="shared" si="0"/>
        <v>0</v>
      </c>
      <c r="F25">
        <f t="shared" si="1"/>
        <v>0.75</v>
      </c>
      <c r="G25">
        <v>3</v>
      </c>
      <c r="H25">
        <f t="shared" si="2"/>
        <v>0</v>
      </c>
    </row>
    <row r="26" spans="1:8">
      <c r="A26">
        <v>13</v>
      </c>
      <c r="B26">
        <v>23</v>
      </c>
      <c r="C26">
        <v>1</v>
      </c>
      <c r="D26">
        <v>0.72899999999999998</v>
      </c>
      <c r="E26">
        <f t="shared" si="0"/>
        <v>-0.27100000000000002</v>
      </c>
      <c r="F26">
        <f t="shared" si="1"/>
        <v>0.56521739130434778</v>
      </c>
      <c r="G26">
        <v>3</v>
      </c>
      <c r="H26">
        <f t="shared" si="2"/>
        <v>-0.27100000000000002</v>
      </c>
    </row>
    <row r="27" spans="1:8">
      <c r="A27">
        <v>4</v>
      </c>
      <c r="B27">
        <v>6</v>
      </c>
      <c r="C27">
        <v>0.83</v>
      </c>
      <c r="D27">
        <v>0.81899999999999995</v>
      </c>
      <c r="E27">
        <f t="shared" si="0"/>
        <v>-1.100000000000001E-2</v>
      </c>
      <c r="F27">
        <f t="shared" si="1"/>
        <v>0.66666666666666663</v>
      </c>
      <c r="G27">
        <v>3</v>
      </c>
      <c r="H27">
        <f t="shared" si="2"/>
        <v>-1.100000000000001E-2</v>
      </c>
    </row>
    <row r="28" spans="1:8">
      <c r="A28">
        <v>32</v>
      </c>
      <c r="B28">
        <v>40</v>
      </c>
      <c r="C28">
        <v>0.5</v>
      </c>
      <c r="D28">
        <v>0.5</v>
      </c>
      <c r="E28">
        <f t="shared" si="0"/>
        <v>0</v>
      </c>
      <c r="F28">
        <f t="shared" si="1"/>
        <v>0.8</v>
      </c>
      <c r="G28">
        <v>16</v>
      </c>
      <c r="H28">
        <f t="shared" si="2"/>
        <v>0</v>
      </c>
    </row>
    <row r="29" spans="1:8">
      <c r="A29">
        <v>5</v>
      </c>
      <c r="B29">
        <v>6</v>
      </c>
      <c r="C29">
        <v>1</v>
      </c>
      <c r="D29">
        <v>1</v>
      </c>
      <c r="E29">
        <f t="shared" si="0"/>
        <v>0</v>
      </c>
      <c r="F29">
        <f t="shared" si="1"/>
        <v>0.83333333333333337</v>
      </c>
      <c r="G29">
        <v>2</v>
      </c>
      <c r="H29">
        <f t="shared" si="2"/>
        <v>0</v>
      </c>
    </row>
    <row r="30" spans="1:8">
      <c r="A30">
        <v>30</v>
      </c>
      <c r="B30">
        <v>45</v>
      </c>
      <c r="C30">
        <v>0.77800000000000002</v>
      </c>
      <c r="D30">
        <v>0.78500000000000003</v>
      </c>
      <c r="E30">
        <f t="shared" si="0"/>
        <v>7.0000000000000062E-3</v>
      </c>
      <c r="F30">
        <f t="shared" si="1"/>
        <v>0.66666666666666663</v>
      </c>
      <c r="G30">
        <v>5</v>
      </c>
      <c r="H30">
        <f t="shared" si="2"/>
        <v>7.0000000000000062E-3</v>
      </c>
    </row>
    <row r="31" spans="1:8">
      <c r="A31">
        <v>42</v>
      </c>
      <c r="B31">
        <v>55</v>
      </c>
      <c r="C31">
        <v>0.81</v>
      </c>
      <c r="D31">
        <v>0.65900000000000003</v>
      </c>
      <c r="E31">
        <f t="shared" si="0"/>
        <v>-0.15100000000000002</v>
      </c>
      <c r="F31">
        <f t="shared" si="1"/>
        <v>0.76363636363636367</v>
      </c>
      <c r="G31">
        <v>3</v>
      </c>
      <c r="H31">
        <f t="shared" si="2"/>
        <v>-0.15100000000000002</v>
      </c>
    </row>
    <row r="32" spans="1:8">
      <c r="A32">
        <v>21</v>
      </c>
      <c r="B32">
        <v>35</v>
      </c>
      <c r="C32">
        <v>0.81399999999999995</v>
      </c>
      <c r="D32">
        <v>0.57099999999999995</v>
      </c>
      <c r="E32">
        <f t="shared" si="0"/>
        <v>-0.24299999999999999</v>
      </c>
      <c r="F32">
        <f t="shared" si="1"/>
        <v>0.6</v>
      </c>
      <c r="G32">
        <v>4</v>
      </c>
      <c r="H32">
        <f t="shared" si="2"/>
        <v>-0.24299999999999999</v>
      </c>
    </row>
    <row r="33" spans="1:8">
      <c r="A33">
        <v>10</v>
      </c>
      <c r="B33">
        <v>22</v>
      </c>
      <c r="C33">
        <v>0.83199999999999996</v>
      </c>
      <c r="D33">
        <v>0.73699999999999999</v>
      </c>
      <c r="E33">
        <f t="shared" si="0"/>
        <v>-9.4999999999999973E-2</v>
      </c>
      <c r="F33">
        <f t="shared" si="1"/>
        <v>0.45454545454545453</v>
      </c>
      <c r="G33">
        <v>4</v>
      </c>
      <c r="H33">
        <f t="shared" si="2"/>
        <v>-9.4999999999999973E-2</v>
      </c>
    </row>
    <row r="34" spans="1:8">
      <c r="A34">
        <v>8</v>
      </c>
      <c r="B34">
        <v>10</v>
      </c>
      <c r="C34">
        <v>0.60599999999999998</v>
      </c>
      <c r="D34">
        <v>0.58799999999999997</v>
      </c>
      <c r="E34">
        <f t="shared" si="0"/>
        <v>-1.8000000000000016E-2</v>
      </c>
      <c r="F34">
        <f t="shared" si="1"/>
        <v>0.8</v>
      </c>
      <c r="G34">
        <v>3</v>
      </c>
      <c r="H34">
        <f t="shared" si="2"/>
        <v>-1.8000000000000016E-2</v>
      </c>
    </row>
    <row r="35" spans="1:8">
      <c r="A35">
        <v>4</v>
      </c>
      <c r="B35">
        <v>4</v>
      </c>
      <c r="C35">
        <v>0.95</v>
      </c>
      <c r="D35">
        <v>0.92200000000000004</v>
      </c>
      <c r="E35">
        <f t="shared" si="0"/>
        <v>-2.7999999999999914E-2</v>
      </c>
      <c r="F35">
        <f t="shared" si="1"/>
        <v>1</v>
      </c>
      <c r="G35">
        <v>3</v>
      </c>
      <c r="H35">
        <f t="shared" si="2"/>
        <v>-2.7999999999999914E-2</v>
      </c>
    </row>
    <row r="36" spans="1:8">
      <c r="A36">
        <v>3</v>
      </c>
      <c r="B36">
        <v>3</v>
      </c>
      <c r="C36">
        <v>1</v>
      </c>
      <c r="D36">
        <v>0.98699999999999999</v>
      </c>
      <c r="E36">
        <f t="shared" si="0"/>
        <v>-1.3000000000000012E-2</v>
      </c>
      <c r="F36">
        <f t="shared" si="1"/>
        <v>1</v>
      </c>
      <c r="G36">
        <v>2</v>
      </c>
      <c r="H36">
        <f t="shared" si="2"/>
        <v>-1.3000000000000012E-2</v>
      </c>
    </row>
    <row r="37" spans="1:8">
      <c r="A37">
        <v>3</v>
      </c>
      <c r="B37">
        <v>3</v>
      </c>
      <c r="C37">
        <v>1</v>
      </c>
      <c r="D37">
        <v>1</v>
      </c>
      <c r="E37">
        <f t="shared" si="0"/>
        <v>0</v>
      </c>
      <c r="F37">
        <f t="shared" si="1"/>
        <v>1</v>
      </c>
      <c r="G37">
        <v>2</v>
      </c>
      <c r="H37">
        <f t="shared" si="2"/>
        <v>0</v>
      </c>
    </row>
    <row r="38" spans="1:8">
      <c r="A38">
        <v>3</v>
      </c>
      <c r="B38">
        <v>6</v>
      </c>
      <c r="C38">
        <v>0.63500000000000001</v>
      </c>
      <c r="D38">
        <v>0.64300000000000002</v>
      </c>
      <c r="E38">
        <f t="shared" si="0"/>
        <v>8.0000000000000071E-3</v>
      </c>
      <c r="F38">
        <f t="shared" si="1"/>
        <v>0.5</v>
      </c>
      <c r="G38">
        <v>2</v>
      </c>
      <c r="H38">
        <f t="shared" si="2"/>
        <v>8.0000000000000071E-3</v>
      </c>
    </row>
    <row r="39" spans="1:8">
      <c r="A39">
        <v>15</v>
      </c>
      <c r="B39">
        <v>27</v>
      </c>
      <c r="C39">
        <v>0.997</v>
      </c>
      <c r="D39">
        <v>0.91300000000000003</v>
      </c>
      <c r="E39">
        <f t="shared" si="0"/>
        <v>-8.3999999999999964E-2</v>
      </c>
      <c r="F39">
        <f t="shared" si="1"/>
        <v>0.55555555555555558</v>
      </c>
      <c r="G39">
        <v>2</v>
      </c>
      <c r="H39">
        <f t="shared" si="2"/>
        <v>-8.3999999999999964E-2</v>
      </c>
    </row>
  </sheetData>
  <pageMargins left="0.7" right="0.7" top="0.75" bottom="0.75" header="0.3" footer="0.3"/>
  <customProperties>
    <customPr name="DVSECTIONID" r:id="rId1"/>
  </customProperties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3"/>
  <dimension ref="A1"/>
  <sheetViews>
    <sheetView workbookViewId="0"/>
  </sheetViews>
  <sheetFormatPr defaultRowHeight="15"/>
  <sheetData/>
  <pageMargins left="0.7" right="0.7" top="0.75" bottom="0.75" header="0.3" footer="0.3"/>
  <customProperties>
    <customPr name="DVSECTIONID" r:id="rId1"/>
  </customProperties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4"/>
  <dimension ref="A1:IV10"/>
  <sheetViews>
    <sheetView workbookViewId="0">
      <selection activeCell="DG1" sqref="DG1"/>
    </sheetView>
  </sheetViews>
  <sheetFormatPr defaultRowHeight="15"/>
  <sheetData>
    <row r="1" spans="1:256">
      <c r="A1" t="e">
        <f>IF(Sheet1!1:1,"AAAAAHX//wA=",0)</f>
        <v>#VALUE!</v>
      </c>
      <c r="B1" t="e">
        <f>AND(Sheet1!A1,"AAAAAHX//wE=")</f>
        <v>#VALUE!</v>
      </c>
      <c r="C1" t="e">
        <f>AND(Sheet1!B1,"AAAAAHX//wI=")</f>
        <v>#VALUE!</v>
      </c>
      <c r="D1" t="e">
        <f>AND(Sheet1!C1,"AAAAAHX//wM=")</f>
        <v>#VALUE!</v>
      </c>
      <c r="E1" t="e">
        <f>AND(Sheet1!D1,"AAAAAHX//wQ=")</f>
        <v>#VALUE!</v>
      </c>
      <c r="F1" t="e">
        <f>AND(Sheet1!E1,"AAAAAHX//wU=")</f>
        <v>#VALUE!</v>
      </c>
      <c r="G1" t="e">
        <f>AND(Sheet1!F1,"AAAAAHX//wY=")</f>
        <v>#VALUE!</v>
      </c>
      <c r="H1" t="str">
        <f>IF(Sheet1!2:2,"AAAAAHX//wc=",0)</f>
        <v>AAAAAHX//wc=</v>
      </c>
      <c r="I1" t="e">
        <f>AND(Sheet1!A2,"AAAAAHX//wg=")</f>
        <v>#VALUE!</v>
      </c>
      <c r="J1" t="e">
        <f>AND(Sheet1!B2,"AAAAAHX//wk=")</f>
        <v>#VALUE!</v>
      </c>
      <c r="K1" t="e">
        <f>AND(Sheet1!C2,"AAAAAHX//wo=")</f>
        <v>#VALUE!</v>
      </c>
      <c r="L1" t="e">
        <f>AND(Sheet1!D2,"AAAAAHX//ws=")</f>
        <v>#VALUE!</v>
      </c>
      <c r="M1" t="e">
        <f>AND(Sheet1!E2,"AAAAAHX//ww=")</f>
        <v>#VALUE!</v>
      </c>
      <c r="N1" t="e">
        <f>AND(Sheet1!F2,"AAAAAHX//w0=")</f>
        <v>#VALUE!</v>
      </c>
      <c r="O1">
        <f>IF(Sheet1!3:3,"AAAAAHX//w4=",0)</f>
        <v>0</v>
      </c>
      <c r="P1" t="e">
        <f>AND(Sheet1!A3,"AAAAAHX//w8=")</f>
        <v>#VALUE!</v>
      </c>
      <c r="Q1" t="e">
        <f>AND(Sheet1!B3,"AAAAAHX//xA=")</f>
        <v>#VALUE!</v>
      </c>
      <c r="R1" t="e">
        <f>AND(Sheet1!C3,"AAAAAHX//xE=")</f>
        <v>#VALUE!</v>
      </c>
      <c r="S1" t="e">
        <f>AND(Sheet1!D3,"AAAAAHX//xI=")</f>
        <v>#VALUE!</v>
      </c>
      <c r="T1" t="e">
        <f>AND(Sheet1!E3,"AAAAAHX//xM=")</f>
        <v>#VALUE!</v>
      </c>
      <c r="U1" t="e">
        <f>AND(Sheet1!F3,"AAAAAHX//xQ=")</f>
        <v>#VALUE!</v>
      </c>
      <c r="V1">
        <f>IF(Sheet1!4:4,"AAAAAHX//xU=",0)</f>
        <v>0</v>
      </c>
      <c r="W1" t="e">
        <f>AND(Sheet1!A4,"AAAAAHX//xY=")</f>
        <v>#VALUE!</v>
      </c>
      <c r="X1" t="e">
        <f>AND(Sheet1!B4,"AAAAAHX//xc=")</f>
        <v>#VALUE!</v>
      </c>
      <c r="Y1" t="e">
        <f>AND(Sheet1!C4,"AAAAAHX//xg=")</f>
        <v>#VALUE!</v>
      </c>
      <c r="Z1" t="e">
        <f>AND(Sheet1!D4,"AAAAAHX//xk=")</f>
        <v>#VALUE!</v>
      </c>
      <c r="AA1" t="e">
        <f>AND(Sheet1!E4,"AAAAAHX//xo=")</f>
        <v>#VALUE!</v>
      </c>
      <c r="AB1" t="e">
        <f>AND(Sheet1!F4,"AAAAAHX//xs=")</f>
        <v>#VALUE!</v>
      </c>
      <c r="AC1">
        <f>IF(Sheet1!5:5,"AAAAAHX//xw=",0)</f>
        <v>0</v>
      </c>
      <c r="AD1" t="e">
        <f>AND(Sheet1!A5,"AAAAAHX//x0=")</f>
        <v>#VALUE!</v>
      </c>
      <c r="AE1" t="e">
        <f>AND(Sheet1!B5,"AAAAAHX//x4=")</f>
        <v>#VALUE!</v>
      </c>
      <c r="AF1" t="e">
        <f>AND(Sheet1!C5,"AAAAAHX//x8=")</f>
        <v>#VALUE!</v>
      </c>
      <c r="AG1" t="e">
        <f>AND(Sheet1!D5,"AAAAAHX//yA=")</f>
        <v>#VALUE!</v>
      </c>
      <c r="AH1" t="e">
        <f>AND(Sheet1!E5,"AAAAAHX//yE=")</f>
        <v>#VALUE!</v>
      </c>
      <c r="AI1" t="e">
        <f>AND(Sheet1!F5,"AAAAAHX//yI=")</f>
        <v>#VALUE!</v>
      </c>
      <c r="AJ1">
        <f>IF(Sheet1!6:6,"AAAAAHX//yM=",0)</f>
        <v>0</v>
      </c>
      <c r="AK1" t="e">
        <f>AND(Sheet1!A6,"AAAAAHX//yQ=")</f>
        <v>#VALUE!</v>
      </c>
      <c r="AL1" t="e">
        <f>AND(Sheet1!B6,"AAAAAHX//yU=")</f>
        <v>#VALUE!</v>
      </c>
      <c r="AM1" t="e">
        <f>AND(Sheet1!C6,"AAAAAHX//yY=")</f>
        <v>#VALUE!</v>
      </c>
      <c r="AN1" t="e">
        <f>AND(Sheet1!D6,"AAAAAHX//yc=")</f>
        <v>#VALUE!</v>
      </c>
      <c r="AO1" t="e">
        <f>AND(Sheet1!E6,"AAAAAHX//yg=")</f>
        <v>#VALUE!</v>
      </c>
      <c r="AP1" t="e">
        <f>AND(Sheet1!F6,"AAAAAHX//yk=")</f>
        <v>#VALUE!</v>
      </c>
      <c r="AQ1">
        <f>IF(Sheet1!7:7,"AAAAAHX//yo=",0)</f>
        <v>0</v>
      </c>
      <c r="AR1" t="e">
        <f>AND(Sheet1!A7,"AAAAAHX//ys=")</f>
        <v>#VALUE!</v>
      </c>
      <c r="AS1" t="e">
        <f>AND(Sheet1!B7,"AAAAAHX//yw=")</f>
        <v>#VALUE!</v>
      </c>
      <c r="AT1" t="e">
        <f>AND(Sheet1!C7,"AAAAAHX//y0=")</f>
        <v>#VALUE!</v>
      </c>
      <c r="AU1" t="e">
        <f>AND(Sheet1!D7,"AAAAAHX//y4=")</f>
        <v>#VALUE!</v>
      </c>
      <c r="AV1" t="e">
        <f>AND(Sheet1!E7,"AAAAAHX//y8=")</f>
        <v>#VALUE!</v>
      </c>
      <c r="AW1" t="e">
        <f>AND(Sheet1!F7,"AAAAAHX//zA=")</f>
        <v>#VALUE!</v>
      </c>
      <c r="AX1">
        <f>IF(Sheet1!8:8,"AAAAAHX//zE=",0)</f>
        <v>0</v>
      </c>
      <c r="AY1" t="e">
        <f>AND(Sheet1!A8,"AAAAAHX//zI=")</f>
        <v>#VALUE!</v>
      </c>
      <c r="AZ1" t="e">
        <f>AND(Sheet1!B8,"AAAAAHX//zM=")</f>
        <v>#VALUE!</v>
      </c>
      <c r="BA1" t="e">
        <f>AND(Sheet1!C8,"AAAAAHX//zQ=")</f>
        <v>#VALUE!</v>
      </c>
      <c r="BB1" t="e">
        <f>AND(Sheet1!D8,"AAAAAHX//zU=")</f>
        <v>#VALUE!</v>
      </c>
      <c r="BC1" t="e">
        <f>AND(Sheet1!E8,"AAAAAHX//zY=")</f>
        <v>#VALUE!</v>
      </c>
      <c r="BD1" t="e">
        <f>AND(Sheet1!F8,"AAAAAHX//zc=")</f>
        <v>#VALUE!</v>
      </c>
      <c r="BE1">
        <f>IF(Sheet1!9:9,"AAAAAHX//zg=",0)</f>
        <v>0</v>
      </c>
      <c r="BF1" t="e">
        <f>AND(Sheet1!#REF!,"AAAAAHX//zk=")</f>
        <v>#REF!</v>
      </c>
      <c r="BG1" t="e">
        <f>AND(Sheet1!#REF!,"AAAAAHX//zo=")</f>
        <v>#REF!</v>
      </c>
      <c r="BH1" t="e">
        <f>AND(Sheet1!#REF!,"AAAAAHX//zs=")</f>
        <v>#REF!</v>
      </c>
      <c r="BI1" t="e">
        <f>AND(Sheet1!#REF!,"AAAAAHX//zw=")</f>
        <v>#REF!</v>
      </c>
      <c r="BJ1" t="e">
        <f>AND(Sheet1!#REF!,"AAAAAHX//z0=")</f>
        <v>#REF!</v>
      </c>
      <c r="BK1" t="e">
        <f>AND(Sheet1!F9,"AAAAAHX//z4=")</f>
        <v>#VALUE!</v>
      </c>
      <c r="BL1">
        <f>IF(Sheet1!10:10,"AAAAAHX//z8=",0)</f>
        <v>0</v>
      </c>
      <c r="BM1" t="e">
        <f>AND(Sheet1!A9,"AAAAAHX//0A=")</f>
        <v>#VALUE!</v>
      </c>
      <c r="BN1" t="e">
        <f>AND(Sheet1!B9,"AAAAAHX//0E=")</f>
        <v>#VALUE!</v>
      </c>
      <c r="BO1" t="e">
        <f>AND(Sheet1!C9,"AAAAAHX//0I=")</f>
        <v>#VALUE!</v>
      </c>
      <c r="BP1" t="e">
        <f>AND(Sheet1!D9,"AAAAAHX//0M=")</f>
        <v>#VALUE!</v>
      </c>
      <c r="BQ1" t="e">
        <f>AND(Sheet1!E9,"AAAAAHX//0Q=")</f>
        <v>#VALUE!</v>
      </c>
      <c r="BR1" t="e">
        <f>AND(Sheet1!#REF!,"AAAAAHX//0U=")</f>
        <v>#REF!</v>
      </c>
      <c r="BS1">
        <f>IF(Sheet1!11:11,"AAAAAHX//0Y=",0)</f>
        <v>0</v>
      </c>
      <c r="BT1" t="e">
        <f>AND(Sheet1!#REF!,"AAAAAHX//0c=")</f>
        <v>#REF!</v>
      </c>
      <c r="BU1" t="e">
        <f>AND(Sheet1!#REF!,"AAAAAHX//0g=")</f>
        <v>#REF!</v>
      </c>
      <c r="BV1" t="e">
        <f>AND(Sheet1!#REF!,"AAAAAHX//0k=")</f>
        <v>#REF!</v>
      </c>
      <c r="BW1" t="e">
        <f>AND(Sheet1!#REF!,"AAAAAHX//0o=")</f>
        <v>#REF!</v>
      </c>
      <c r="BX1" t="e">
        <f>AND(Sheet1!#REF!,"AAAAAHX//0s=")</f>
        <v>#REF!</v>
      </c>
      <c r="BY1" t="e">
        <f>AND(Sheet1!#REF!,"AAAAAHX//0w=")</f>
        <v>#REF!</v>
      </c>
      <c r="BZ1">
        <f>IF(Sheet1!12:12,"AAAAAHX//00=",0)</f>
        <v>0</v>
      </c>
      <c r="CA1" t="e">
        <f>AND(Sheet1!#REF!,"AAAAAHX//04=")</f>
        <v>#REF!</v>
      </c>
      <c r="CB1" t="e">
        <f>AND(Sheet1!#REF!,"AAAAAHX//08=")</f>
        <v>#REF!</v>
      </c>
      <c r="CC1" t="e">
        <f>AND(Sheet1!#REF!,"AAAAAHX//1A=")</f>
        <v>#REF!</v>
      </c>
      <c r="CD1" t="e">
        <f>AND(Sheet1!#REF!,"AAAAAHX//1E=")</f>
        <v>#REF!</v>
      </c>
      <c r="CE1" t="e">
        <f>AND(Sheet1!#REF!,"AAAAAHX//1I=")</f>
        <v>#REF!</v>
      </c>
      <c r="CF1" t="e">
        <f>AND(Sheet1!#REF!,"AAAAAHX//1M=")</f>
        <v>#REF!</v>
      </c>
      <c r="CG1">
        <f>IF(Sheet1!13:13,"AAAAAHX//1Q=",0)</f>
        <v>0</v>
      </c>
      <c r="CH1" t="e">
        <f>AND(Sheet1!#REF!,"AAAAAHX//1U=")</f>
        <v>#REF!</v>
      </c>
      <c r="CI1" t="e">
        <f>AND(Sheet1!#REF!,"AAAAAHX//1Y=")</f>
        <v>#REF!</v>
      </c>
      <c r="CJ1" t="e">
        <f>AND(Sheet1!#REF!,"AAAAAHX//1c=")</f>
        <v>#REF!</v>
      </c>
      <c r="CK1" t="e">
        <f>AND(Sheet1!#REF!,"AAAAAHX//1g=")</f>
        <v>#REF!</v>
      </c>
      <c r="CL1" t="e">
        <f>AND(Sheet1!#REF!,"AAAAAHX//1k=")</f>
        <v>#REF!</v>
      </c>
      <c r="CM1" t="e">
        <f>AND(Sheet1!#REF!,"AAAAAHX//1o=")</f>
        <v>#REF!</v>
      </c>
      <c r="CN1">
        <f>IF(Sheet1!14:14,"AAAAAHX//1s=",0)</f>
        <v>0</v>
      </c>
      <c r="CO1" t="e">
        <f>AND(Sheet1!A13,"AAAAAHX//1w=")</f>
        <v>#VALUE!</v>
      </c>
      <c r="CP1" t="e">
        <f>AND(Sheet1!B13,"AAAAAHX//10=")</f>
        <v>#VALUE!</v>
      </c>
      <c r="CQ1" t="e">
        <f>AND(Sheet1!C13,"AAAAAHX//14=")</f>
        <v>#VALUE!</v>
      </c>
      <c r="CR1" t="e">
        <f>AND(Sheet1!D13,"AAAAAHX//18=")</f>
        <v>#VALUE!</v>
      </c>
      <c r="CS1" t="e">
        <f>AND(Sheet1!E13,"AAAAAHX//2A=")</f>
        <v>#VALUE!</v>
      </c>
      <c r="CT1" t="e">
        <f>AND(Sheet1!F13,"AAAAAHX//2E=")</f>
        <v>#VALUE!</v>
      </c>
      <c r="CU1" t="e">
        <f>IF(Sheet1!A:A,"AAAAAHX//2I=",0)</f>
        <v>#VALUE!</v>
      </c>
      <c r="CV1" t="e">
        <f>IF(Sheet1!B:B,"AAAAAHX//2M=",0)</f>
        <v>#VALUE!</v>
      </c>
      <c r="CW1" t="e">
        <f>IF(Sheet1!C:C,"AAAAAHX//2Q=",0)</f>
        <v>#VALUE!</v>
      </c>
      <c r="CX1" t="e">
        <f>IF(Sheet1!D:D,"AAAAAHX//2U=",0)</f>
        <v>#VALUE!</v>
      </c>
      <c r="CY1" t="e">
        <f>IF(Sheet1!E:E,"AAAAAHX//2Y=",0)</f>
        <v>#VALUE!</v>
      </c>
      <c r="CZ1" t="e">
        <f>IF(Sheet1!F:F,"AAAAAHX//2c=",0)</f>
        <v>#VALUE!</v>
      </c>
      <c r="DA1">
        <f>IF(Sheet2!1:1,"AAAAAHX//2g=",0)</f>
        <v>0</v>
      </c>
      <c r="DB1" t="e">
        <f>AND(Sheet2!A1,"AAAAAHX//2k=")</f>
        <v>#VALUE!</v>
      </c>
      <c r="DC1" t="e">
        <f>IF(Sheet2!A:A,"AAAAAHX//2o=",0)</f>
        <v>#VALUE!</v>
      </c>
      <c r="DD1">
        <f>IF(Sheet3!1:1,"AAAAAHX//2s=",0)</f>
        <v>0</v>
      </c>
      <c r="DE1" t="e">
        <f>AND(Sheet3!A1,"AAAAAHX//2w=")</f>
        <v>#VALUE!</v>
      </c>
      <c r="DF1">
        <f>IF(Sheet3!A:A,"AAAAAHX//20=",0)</f>
        <v>0</v>
      </c>
      <c r="DG1" t="s">
        <v>0</v>
      </c>
    </row>
    <row r="2" spans="1:256">
      <c r="A2" t="str">
        <f>IF(Sheet1!15:15,"AAAAAF/vIwA=",0)</f>
        <v>AAAAAF/vIwA=</v>
      </c>
      <c r="B2" t="e">
        <f>AND(Sheet1!A10,"AAAAAF/vIwE=")</f>
        <v>#VALUE!</v>
      </c>
      <c r="C2" t="e">
        <f>AND(Sheet1!B10,"AAAAAF/vIwI=")</f>
        <v>#VALUE!</v>
      </c>
      <c r="D2" t="e">
        <f>AND(Sheet1!C10,"AAAAAF/vIwM=")</f>
        <v>#VALUE!</v>
      </c>
      <c r="E2" t="e">
        <f>AND(Sheet1!D10,"AAAAAF/vIwQ=")</f>
        <v>#VALUE!</v>
      </c>
      <c r="F2" t="e">
        <f>AND(Sheet1!E10,"AAAAAF/vIwU=")</f>
        <v>#VALUE!</v>
      </c>
      <c r="G2" t="str">
        <f>IF(Sheet1!16:16,"AAAAAF/vIwY=",0)</f>
        <v>AAAAAF/vIwY=</v>
      </c>
      <c r="H2" t="e">
        <f>AND(Sheet1!A11,"AAAAAF/vIwc=")</f>
        <v>#VALUE!</v>
      </c>
      <c r="I2" t="e">
        <f>AND(Sheet1!B11,"AAAAAF/vIwg=")</f>
        <v>#VALUE!</v>
      </c>
      <c r="J2" t="e">
        <f>AND(Sheet1!C11,"AAAAAF/vIwk=")</f>
        <v>#VALUE!</v>
      </c>
      <c r="K2" t="e">
        <f>AND(Sheet1!D11,"AAAAAF/vIwo=")</f>
        <v>#VALUE!</v>
      </c>
      <c r="L2" t="e">
        <f>AND(Sheet1!E11,"AAAAAF/vIws=")</f>
        <v>#VALUE!</v>
      </c>
    </row>
    <row r="3" spans="1:256">
      <c r="A3" t="e">
        <f>AND(Sheet1!G1,"AAAAAH7y8AA=")</f>
        <v>#VALUE!</v>
      </c>
      <c r="B3" t="e">
        <f>AND(Sheet1!H1,"AAAAAH7y8AE=")</f>
        <v>#VALUE!</v>
      </c>
      <c r="C3" t="e">
        <f>AND(Sheet1!I1,"AAAAAH7y8AI=")</f>
        <v>#VALUE!</v>
      </c>
      <c r="D3" t="e">
        <f>AND(Sheet1!J1,"AAAAAH7y8AM=")</f>
        <v>#VALUE!</v>
      </c>
      <c r="E3" t="e">
        <f>AND(Sheet1!K1,"AAAAAH7y8AQ=")</f>
        <v>#VALUE!</v>
      </c>
      <c r="F3" t="e">
        <f>AND(Sheet1!L1,"AAAAAH7y8AU=")</f>
        <v>#VALUE!</v>
      </c>
      <c r="G3" t="e">
        <f>AND(Sheet1!M1,"AAAAAH7y8AY=")</f>
        <v>#VALUE!</v>
      </c>
      <c r="H3" t="e">
        <f>AND(Sheet1!N1,"AAAAAH7y8Ac=")</f>
        <v>#VALUE!</v>
      </c>
      <c r="I3" t="e">
        <f>AND(Sheet1!O1,"AAAAAH7y8Ag=")</f>
        <v>#VALUE!</v>
      </c>
      <c r="J3" t="e">
        <f>AND(Sheet1!P1,"AAAAAH7y8Ak=")</f>
        <v>#VALUE!</v>
      </c>
      <c r="K3" t="e">
        <f>AND(Sheet1!Q1,"AAAAAH7y8Ao=")</f>
        <v>#VALUE!</v>
      </c>
      <c r="L3" t="e">
        <f>AND(Sheet1!R1,"AAAAAH7y8As=")</f>
        <v>#VALUE!</v>
      </c>
      <c r="M3" t="e">
        <f>AND(Sheet1!G2,"AAAAAH7y8Aw=")</f>
        <v>#VALUE!</v>
      </c>
      <c r="N3" t="e">
        <f>AND(Sheet1!H2,"AAAAAH7y8A0=")</f>
        <v>#VALUE!</v>
      </c>
      <c r="O3" t="e">
        <f>AND(Sheet1!I2,"AAAAAH7y8A4=")</f>
        <v>#VALUE!</v>
      </c>
      <c r="P3" t="e">
        <f>AND(Sheet1!J2,"AAAAAH7y8A8=")</f>
        <v>#VALUE!</v>
      </c>
      <c r="Q3" t="e">
        <f>AND(Sheet1!K2,"AAAAAH7y8BA=")</f>
        <v>#VALUE!</v>
      </c>
      <c r="R3" t="e">
        <f>AND(Sheet1!L2,"AAAAAH7y8BE=")</f>
        <v>#VALUE!</v>
      </c>
      <c r="S3" t="e">
        <f>AND(Sheet1!M2,"AAAAAH7y8BI=")</f>
        <v>#VALUE!</v>
      </c>
      <c r="T3" t="e">
        <f>AND(Sheet1!N2,"AAAAAH7y8BM=")</f>
        <v>#VALUE!</v>
      </c>
      <c r="U3" t="e">
        <f>AND(Sheet1!O2,"AAAAAH7y8BQ=")</f>
        <v>#VALUE!</v>
      </c>
      <c r="V3" t="e">
        <f>AND(Sheet1!P2,"AAAAAH7y8BU=")</f>
        <v>#VALUE!</v>
      </c>
      <c r="W3" t="e">
        <f>AND(Sheet1!Q2,"AAAAAH7y8BY=")</f>
        <v>#VALUE!</v>
      </c>
      <c r="X3" t="e">
        <f>AND(Sheet1!R2,"AAAAAH7y8Bc=")</f>
        <v>#VALUE!</v>
      </c>
      <c r="Y3" t="e">
        <f>AND(Sheet1!G3,"AAAAAH7y8Bg=")</f>
        <v>#VALUE!</v>
      </c>
      <c r="Z3" t="e">
        <f>AND(Sheet1!H3,"AAAAAH7y8Bk=")</f>
        <v>#VALUE!</v>
      </c>
      <c r="AA3" t="e">
        <f>AND(Sheet1!I3,"AAAAAH7y8Bo=")</f>
        <v>#VALUE!</v>
      </c>
      <c r="AB3" t="e">
        <f>AND(Sheet1!J3,"AAAAAH7y8Bs=")</f>
        <v>#VALUE!</v>
      </c>
      <c r="AC3" t="e">
        <f>AND(Sheet1!K3,"AAAAAH7y8Bw=")</f>
        <v>#VALUE!</v>
      </c>
      <c r="AD3" t="e">
        <f>AND(Sheet1!L3,"AAAAAH7y8B0=")</f>
        <v>#VALUE!</v>
      </c>
      <c r="AE3" t="e">
        <f>AND(Sheet1!M3,"AAAAAH7y8B4=")</f>
        <v>#VALUE!</v>
      </c>
      <c r="AF3" t="e">
        <f>AND(Sheet1!N3,"AAAAAH7y8B8=")</f>
        <v>#VALUE!</v>
      </c>
      <c r="AG3" t="e">
        <f>AND(Sheet1!O3,"AAAAAH7y8CA=")</f>
        <v>#VALUE!</v>
      </c>
      <c r="AH3" t="e">
        <f>AND(Sheet1!P3,"AAAAAH7y8CE=")</f>
        <v>#VALUE!</v>
      </c>
      <c r="AI3" t="e">
        <f>AND(Sheet1!Q3,"AAAAAH7y8CI=")</f>
        <v>#VALUE!</v>
      </c>
      <c r="AJ3" t="e">
        <f>AND(Sheet1!R3,"AAAAAH7y8CM=")</f>
        <v>#VALUE!</v>
      </c>
      <c r="AK3" t="e">
        <f>AND(Sheet1!G4,"AAAAAH7y8CQ=")</f>
        <v>#VALUE!</v>
      </c>
      <c r="AL3" t="e">
        <f>AND(Sheet1!H4,"AAAAAH7y8CU=")</f>
        <v>#VALUE!</v>
      </c>
      <c r="AM3" t="e">
        <f>AND(Sheet1!I4,"AAAAAH7y8CY=")</f>
        <v>#VALUE!</v>
      </c>
      <c r="AN3" t="e">
        <f>AND(Sheet1!J4,"AAAAAH7y8Cc=")</f>
        <v>#VALUE!</v>
      </c>
      <c r="AO3" t="e">
        <f>AND(Sheet1!K4,"AAAAAH7y8Cg=")</f>
        <v>#VALUE!</v>
      </c>
      <c r="AP3" t="e">
        <f>AND(Sheet1!L4,"AAAAAH7y8Ck=")</f>
        <v>#VALUE!</v>
      </c>
      <c r="AQ3" t="e">
        <f>AND(Sheet1!M4,"AAAAAH7y8Co=")</f>
        <v>#VALUE!</v>
      </c>
      <c r="AR3" t="e">
        <f>AND(Sheet1!N4,"AAAAAH7y8Cs=")</f>
        <v>#VALUE!</v>
      </c>
      <c r="AS3" t="e">
        <f>AND(Sheet1!O4,"AAAAAH7y8Cw=")</f>
        <v>#VALUE!</v>
      </c>
      <c r="AT3" t="e">
        <f>AND(Sheet1!P4,"AAAAAH7y8C0=")</f>
        <v>#VALUE!</v>
      </c>
      <c r="AU3" t="e">
        <f>AND(Sheet1!Q4,"AAAAAH7y8C4=")</f>
        <v>#VALUE!</v>
      </c>
      <c r="AV3" t="e">
        <f>AND(Sheet1!R4,"AAAAAH7y8C8=")</f>
        <v>#VALUE!</v>
      </c>
      <c r="AW3" t="e">
        <f>AND(Sheet1!G5,"AAAAAH7y8DA=")</f>
        <v>#VALUE!</v>
      </c>
      <c r="AX3" t="e">
        <f>AND(Sheet1!H5,"AAAAAH7y8DE=")</f>
        <v>#VALUE!</v>
      </c>
      <c r="AY3" t="e">
        <f>AND(Sheet1!I5,"AAAAAH7y8DI=")</f>
        <v>#VALUE!</v>
      </c>
      <c r="AZ3" t="e">
        <f>AND(Sheet1!J5,"AAAAAH7y8DM=")</f>
        <v>#VALUE!</v>
      </c>
      <c r="BA3" t="e">
        <f>AND(Sheet1!K5,"AAAAAH7y8DQ=")</f>
        <v>#VALUE!</v>
      </c>
      <c r="BB3" t="e">
        <f>AND(Sheet1!L5,"AAAAAH7y8DU=")</f>
        <v>#VALUE!</v>
      </c>
      <c r="BC3" t="e">
        <f>AND(Sheet1!M5,"AAAAAH7y8DY=")</f>
        <v>#VALUE!</v>
      </c>
      <c r="BD3" t="e">
        <f>AND(Sheet1!N5,"AAAAAH7y8Dc=")</f>
        <v>#VALUE!</v>
      </c>
      <c r="BE3" t="e">
        <f>AND(Sheet1!O5,"AAAAAH7y8Dg=")</f>
        <v>#VALUE!</v>
      </c>
      <c r="BF3" t="e">
        <f>AND(Sheet1!P5,"AAAAAH7y8Dk=")</f>
        <v>#VALUE!</v>
      </c>
      <c r="BG3" t="e">
        <f>AND(Sheet1!Q5,"AAAAAH7y8Do=")</f>
        <v>#VALUE!</v>
      </c>
      <c r="BH3" t="e">
        <f>AND(Sheet1!R5,"AAAAAH7y8Ds=")</f>
        <v>#VALUE!</v>
      </c>
      <c r="BI3" t="e">
        <f>AND(Sheet1!G6,"AAAAAH7y8Dw=")</f>
        <v>#VALUE!</v>
      </c>
      <c r="BJ3" t="e">
        <f>AND(Sheet1!H6,"AAAAAH7y8D0=")</f>
        <v>#VALUE!</v>
      </c>
      <c r="BK3" t="e">
        <f>AND(Sheet1!I6,"AAAAAH7y8D4=")</f>
        <v>#VALUE!</v>
      </c>
      <c r="BL3" t="e">
        <f>AND(Sheet1!J6,"AAAAAH7y8D8=")</f>
        <v>#VALUE!</v>
      </c>
      <c r="BM3" t="e">
        <f>AND(Sheet1!K6,"AAAAAH7y8EA=")</f>
        <v>#VALUE!</v>
      </c>
      <c r="BN3" t="e">
        <f>AND(Sheet1!L6,"AAAAAH7y8EE=")</f>
        <v>#VALUE!</v>
      </c>
      <c r="BO3" t="e">
        <f>AND(Sheet1!M6,"AAAAAH7y8EI=")</f>
        <v>#VALUE!</v>
      </c>
      <c r="BP3" t="e">
        <f>AND(Sheet1!N6,"AAAAAH7y8EM=")</f>
        <v>#VALUE!</v>
      </c>
      <c r="BQ3" t="e">
        <f>AND(Sheet1!O6,"AAAAAH7y8EQ=")</f>
        <v>#VALUE!</v>
      </c>
      <c r="BR3" t="e">
        <f>AND(Sheet1!P6,"AAAAAH7y8EU=")</f>
        <v>#VALUE!</v>
      </c>
      <c r="BS3" t="e">
        <f>AND(Sheet1!Q6,"AAAAAH7y8EY=")</f>
        <v>#VALUE!</v>
      </c>
      <c r="BT3" t="e">
        <f>AND(Sheet1!R6,"AAAAAH7y8Ec=")</f>
        <v>#VALUE!</v>
      </c>
      <c r="BU3" t="e">
        <f>AND(Sheet1!G7,"AAAAAH7y8Eg=")</f>
        <v>#VALUE!</v>
      </c>
      <c r="BV3" t="e">
        <f>AND(Sheet1!H7,"AAAAAH7y8Ek=")</f>
        <v>#VALUE!</v>
      </c>
      <c r="BW3" t="e">
        <f>AND(Sheet1!I7,"AAAAAH7y8Eo=")</f>
        <v>#VALUE!</v>
      </c>
      <c r="BX3" t="e">
        <f>AND(Sheet1!J7,"AAAAAH7y8Es=")</f>
        <v>#VALUE!</v>
      </c>
      <c r="BY3" t="e">
        <f>AND(Sheet1!K7,"AAAAAH7y8Ew=")</f>
        <v>#VALUE!</v>
      </c>
      <c r="BZ3" t="e">
        <f>AND(Sheet1!L7,"AAAAAH7y8E0=")</f>
        <v>#VALUE!</v>
      </c>
      <c r="CA3" t="e">
        <f>AND(Sheet1!M7,"AAAAAH7y8E4=")</f>
        <v>#VALUE!</v>
      </c>
      <c r="CB3" t="e">
        <f>AND(Sheet1!N7,"AAAAAH7y8E8=")</f>
        <v>#VALUE!</v>
      </c>
      <c r="CC3" t="e">
        <f>AND(Sheet1!O7,"AAAAAH7y8FA=")</f>
        <v>#VALUE!</v>
      </c>
      <c r="CD3" t="e">
        <f>AND(Sheet1!P7,"AAAAAH7y8FE=")</f>
        <v>#VALUE!</v>
      </c>
      <c r="CE3" t="e">
        <f>AND(Sheet1!Q7,"AAAAAH7y8FI=")</f>
        <v>#VALUE!</v>
      </c>
      <c r="CF3" t="e">
        <f>AND(Sheet1!R7,"AAAAAH7y8FM=")</f>
        <v>#VALUE!</v>
      </c>
      <c r="CG3" t="e">
        <f>AND(Sheet1!G8,"AAAAAH7y8FQ=")</f>
        <v>#VALUE!</v>
      </c>
      <c r="CH3" t="e">
        <f>AND(Sheet1!H8,"AAAAAH7y8FU=")</f>
        <v>#VALUE!</v>
      </c>
      <c r="CI3" t="e">
        <f>AND(Sheet1!I8,"AAAAAH7y8FY=")</f>
        <v>#VALUE!</v>
      </c>
      <c r="CJ3" t="e">
        <f>AND(Sheet1!J8,"AAAAAH7y8Fc=")</f>
        <v>#VALUE!</v>
      </c>
      <c r="CK3" t="e">
        <f>AND(Sheet1!K8,"AAAAAH7y8Fg=")</f>
        <v>#VALUE!</v>
      </c>
      <c r="CL3" t="e">
        <f>AND(Sheet1!L8,"AAAAAH7y8Fk=")</f>
        <v>#VALUE!</v>
      </c>
      <c r="CM3" t="e">
        <f>AND(Sheet1!M8,"AAAAAH7y8Fo=")</f>
        <v>#VALUE!</v>
      </c>
      <c r="CN3" t="e">
        <f>AND(Sheet1!N8,"AAAAAH7y8Fs=")</f>
        <v>#VALUE!</v>
      </c>
      <c r="CO3" t="e">
        <f>AND(Sheet1!O8,"AAAAAH7y8Fw=")</f>
        <v>#VALUE!</v>
      </c>
      <c r="CP3" t="e">
        <f>AND(Sheet1!P8,"AAAAAH7y8F0=")</f>
        <v>#VALUE!</v>
      </c>
      <c r="CQ3" t="e">
        <f>AND(Sheet1!Q8,"AAAAAH7y8F4=")</f>
        <v>#VALUE!</v>
      </c>
      <c r="CR3" t="e">
        <f>AND(Sheet1!R8,"AAAAAH7y8F8=")</f>
        <v>#VALUE!</v>
      </c>
      <c r="CS3" t="e">
        <f>AND(Sheet1!G9,"AAAAAH7y8GA=")</f>
        <v>#VALUE!</v>
      </c>
      <c r="CT3" t="e">
        <f>AND(Sheet1!F10,"AAAAAH7y8GE=")</f>
        <v>#VALUE!</v>
      </c>
      <c r="CU3" t="e">
        <f>AND(Sheet1!G10,"AAAAAH7y8GI=")</f>
        <v>#VALUE!</v>
      </c>
      <c r="CV3" t="e">
        <f>AND(Sheet1!F11,"AAAAAH7y8GM=")</f>
        <v>#VALUE!</v>
      </c>
      <c r="CW3" t="e">
        <f>AND(Sheet1!G11,"AAAAAH7y8GQ=")</f>
        <v>#VALUE!</v>
      </c>
      <c r="CX3" t="e">
        <f>AND(Sheet1!A12,"AAAAAH7y8GU=")</f>
        <v>#VALUE!</v>
      </c>
      <c r="CY3" t="e">
        <f>AND(Sheet1!B12,"AAAAAH7y8GY=")</f>
        <v>#VALUE!</v>
      </c>
      <c r="CZ3" t="e">
        <f>AND(Sheet1!C12,"AAAAAH7y8Gc=")</f>
        <v>#VALUE!</v>
      </c>
      <c r="DA3" t="e">
        <f>AND(Sheet1!D12,"AAAAAH7y8Gg=")</f>
        <v>#VALUE!</v>
      </c>
      <c r="DB3" t="e">
        <f>AND(Sheet1!E12,"AAAAAH7y8Gk=")</f>
        <v>#VALUE!</v>
      </c>
      <c r="DC3" t="e">
        <f>AND(Sheet1!F12,"AAAAAH7y8Go=")</f>
        <v>#VALUE!</v>
      </c>
      <c r="DD3" t="e">
        <f>AND(Sheet1!G12,"AAAAAH7y8Gs=")</f>
        <v>#VALUE!</v>
      </c>
      <c r="DE3" t="e">
        <f>AND(Sheet1!G13,"AAAAAH7y8Gw=")</f>
        <v>#VALUE!</v>
      </c>
      <c r="DF3" t="e">
        <f>AND(Sheet1!A14,"AAAAAH7y8G0=")</f>
        <v>#VALUE!</v>
      </c>
      <c r="DG3" t="e">
        <f>AND(Sheet1!B14,"AAAAAH7y8G4=")</f>
        <v>#VALUE!</v>
      </c>
      <c r="DH3" t="e">
        <f>AND(Sheet1!C14,"AAAAAH7y8G8=")</f>
        <v>#VALUE!</v>
      </c>
      <c r="DI3" t="e">
        <f>AND(Sheet1!D14,"AAAAAH7y8HA=")</f>
        <v>#VALUE!</v>
      </c>
      <c r="DJ3" t="e">
        <f>AND(Sheet1!E14,"AAAAAH7y8HE=")</f>
        <v>#VALUE!</v>
      </c>
      <c r="DK3" t="e">
        <f>AND(Sheet1!F14,"AAAAAH7y8HI=")</f>
        <v>#VALUE!</v>
      </c>
      <c r="DL3" t="e">
        <f>AND(Sheet1!G14,"AAAAAH7y8HM=")</f>
        <v>#VALUE!</v>
      </c>
      <c r="DM3" t="e">
        <f>AND(Sheet1!A15,"AAAAAH7y8HQ=")</f>
        <v>#VALUE!</v>
      </c>
      <c r="DN3" t="e">
        <f>AND(Sheet1!B15,"AAAAAH7y8HU=")</f>
        <v>#VALUE!</v>
      </c>
      <c r="DO3" t="e">
        <f>AND(Sheet1!C15,"AAAAAH7y8HY=")</f>
        <v>#VALUE!</v>
      </c>
      <c r="DP3" t="e">
        <f>AND(Sheet1!D15,"AAAAAH7y8Hc=")</f>
        <v>#VALUE!</v>
      </c>
      <c r="DQ3" t="e">
        <f>AND(Sheet1!E15,"AAAAAH7y8Hg=")</f>
        <v>#VALUE!</v>
      </c>
      <c r="DR3" t="e">
        <f>AND(Sheet1!F15,"AAAAAH7y8Hk=")</f>
        <v>#VALUE!</v>
      </c>
      <c r="DS3" t="e">
        <f>AND(Sheet1!G15,"AAAAAH7y8Ho=")</f>
        <v>#VALUE!</v>
      </c>
      <c r="DT3" t="e">
        <f>AND(Sheet1!A16,"AAAAAH7y8Hs=")</f>
        <v>#VALUE!</v>
      </c>
      <c r="DU3" t="e">
        <f>AND(Sheet1!B16,"AAAAAH7y8Hw=")</f>
        <v>#VALUE!</v>
      </c>
      <c r="DV3" t="e">
        <f>AND(Sheet1!C16,"AAAAAH7y8H0=")</f>
        <v>#VALUE!</v>
      </c>
      <c r="DW3" t="e">
        <f>AND(Sheet1!D16,"AAAAAH7y8H4=")</f>
        <v>#VALUE!</v>
      </c>
      <c r="DX3" t="e">
        <f>AND(Sheet1!E16,"AAAAAH7y8H8=")</f>
        <v>#VALUE!</v>
      </c>
      <c r="DY3" t="e">
        <f>AND(Sheet1!F16,"AAAAAH7y8IA=")</f>
        <v>#VALUE!</v>
      </c>
      <c r="DZ3" t="e">
        <f>AND(Sheet1!G16,"AAAAAH7y8IE=")</f>
        <v>#VALUE!</v>
      </c>
      <c r="EA3">
        <f>IF(Sheet1!17:17,"AAAAAH7y8II=",0)</f>
        <v>0</v>
      </c>
      <c r="EB3" t="e">
        <f>AND(Sheet1!A17,"AAAAAH7y8IM=")</f>
        <v>#VALUE!</v>
      </c>
      <c r="EC3" t="e">
        <f>AND(Sheet1!B17,"AAAAAH7y8IQ=")</f>
        <v>#VALUE!</v>
      </c>
      <c r="ED3" t="e">
        <f>AND(Sheet1!C17,"AAAAAH7y8IU=")</f>
        <v>#VALUE!</v>
      </c>
      <c r="EE3" t="e">
        <f>AND(Sheet1!D17,"AAAAAH7y8IY=")</f>
        <v>#VALUE!</v>
      </c>
      <c r="EF3" t="e">
        <f>AND(Sheet1!E17,"AAAAAH7y8Ic=")</f>
        <v>#VALUE!</v>
      </c>
      <c r="EG3" t="e">
        <f>AND(Sheet1!F17,"AAAAAH7y8Ig=")</f>
        <v>#VALUE!</v>
      </c>
      <c r="EH3" t="e">
        <f>AND(Sheet1!G17,"AAAAAH7y8Ik=")</f>
        <v>#VALUE!</v>
      </c>
      <c r="EI3">
        <f>IF(Sheet1!18:18,"AAAAAH7y8Io=",0)</f>
        <v>0</v>
      </c>
      <c r="EJ3" t="e">
        <f>AND(Sheet1!A18,"AAAAAH7y8Is=")</f>
        <v>#VALUE!</v>
      </c>
      <c r="EK3" t="e">
        <f>AND(Sheet1!B18,"AAAAAH7y8Iw=")</f>
        <v>#VALUE!</v>
      </c>
      <c r="EL3" t="e">
        <f>AND(Sheet1!C18,"AAAAAH7y8I0=")</f>
        <v>#VALUE!</v>
      </c>
      <c r="EM3" t="e">
        <f>AND(Sheet1!D18,"AAAAAH7y8I4=")</f>
        <v>#VALUE!</v>
      </c>
      <c r="EN3" t="e">
        <f>AND(Sheet1!E18,"AAAAAH7y8I8=")</f>
        <v>#VALUE!</v>
      </c>
      <c r="EO3" t="e">
        <f>AND(Sheet1!F18,"AAAAAH7y8JA=")</f>
        <v>#VALUE!</v>
      </c>
      <c r="EP3" t="e">
        <f>AND(Sheet1!G18,"AAAAAH7y8JE=")</f>
        <v>#VALUE!</v>
      </c>
      <c r="EQ3">
        <f>IF(Sheet1!19:19,"AAAAAH7y8JI=",0)</f>
        <v>0</v>
      </c>
      <c r="ER3" t="e">
        <f>AND(Sheet1!A19,"AAAAAH7y8JM=")</f>
        <v>#VALUE!</v>
      </c>
      <c r="ES3" t="e">
        <f>AND(Sheet1!B19,"AAAAAH7y8JQ=")</f>
        <v>#VALUE!</v>
      </c>
      <c r="ET3" t="e">
        <f>AND(Sheet1!C19,"AAAAAH7y8JU=")</f>
        <v>#VALUE!</v>
      </c>
      <c r="EU3" t="e">
        <f>AND(Sheet1!D19,"AAAAAH7y8JY=")</f>
        <v>#VALUE!</v>
      </c>
      <c r="EV3" t="e">
        <f>AND(Sheet1!E19,"AAAAAH7y8Jc=")</f>
        <v>#VALUE!</v>
      </c>
      <c r="EW3" t="e">
        <f>AND(Sheet1!F19,"AAAAAH7y8Jg=")</f>
        <v>#VALUE!</v>
      </c>
      <c r="EX3" t="e">
        <f>AND(Sheet1!G19,"AAAAAH7y8Jk=")</f>
        <v>#VALUE!</v>
      </c>
      <c r="EY3">
        <f>IF(Sheet1!20:20,"AAAAAH7y8Jo=",0)</f>
        <v>0</v>
      </c>
      <c r="EZ3" t="e">
        <f>AND(Sheet1!A20,"AAAAAH7y8Js=")</f>
        <v>#VALUE!</v>
      </c>
      <c r="FA3" t="e">
        <f>AND(Sheet1!B20,"AAAAAH7y8Jw=")</f>
        <v>#VALUE!</v>
      </c>
      <c r="FB3" t="e">
        <f>AND(Sheet1!C20,"AAAAAH7y8J0=")</f>
        <v>#VALUE!</v>
      </c>
      <c r="FC3" t="e">
        <f>AND(Sheet1!D20,"AAAAAH7y8J4=")</f>
        <v>#VALUE!</v>
      </c>
      <c r="FD3" t="e">
        <f>AND(Sheet1!E20,"AAAAAH7y8J8=")</f>
        <v>#VALUE!</v>
      </c>
      <c r="FE3" t="e">
        <f>AND(Sheet1!F20,"AAAAAH7y8KA=")</f>
        <v>#VALUE!</v>
      </c>
      <c r="FF3" t="e">
        <f>AND(Sheet1!G20,"AAAAAH7y8KE=")</f>
        <v>#VALUE!</v>
      </c>
      <c r="FG3">
        <f>IF(Sheet1!21:21,"AAAAAH7y8KI=",0)</f>
        <v>0</v>
      </c>
      <c r="FH3" t="e">
        <f>AND(Sheet1!A21,"AAAAAH7y8KM=")</f>
        <v>#VALUE!</v>
      </c>
      <c r="FI3" t="e">
        <f>AND(Sheet1!B21,"AAAAAH7y8KQ=")</f>
        <v>#VALUE!</v>
      </c>
      <c r="FJ3" t="e">
        <f>AND(Sheet1!C21,"AAAAAH7y8KU=")</f>
        <v>#VALUE!</v>
      </c>
      <c r="FK3" t="e">
        <f>AND(Sheet1!D21,"AAAAAH7y8KY=")</f>
        <v>#VALUE!</v>
      </c>
      <c r="FL3" t="e">
        <f>AND(Sheet1!E21,"AAAAAH7y8Kc=")</f>
        <v>#VALUE!</v>
      </c>
      <c r="FM3" t="e">
        <f>AND(Sheet1!F21,"AAAAAH7y8Kg=")</f>
        <v>#VALUE!</v>
      </c>
      <c r="FN3" t="e">
        <f>AND(Sheet1!G21,"AAAAAH7y8Kk=")</f>
        <v>#VALUE!</v>
      </c>
      <c r="FO3">
        <f>IF(Sheet1!22:22,"AAAAAH7y8Ko=",0)</f>
        <v>0</v>
      </c>
      <c r="FP3" t="e">
        <f>AND(Sheet1!A22,"AAAAAH7y8Ks=")</f>
        <v>#VALUE!</v>
      </c>
      <c r="FQ3" t="e">
        <f>AND(Sheet1!B22,"AAAAAH7y8Kw=")</f>
        <v>#VALUE!</v>
      </c>
      <c r="FR3" t="e">
        <f>AND(Sheet1!C22,"AAAAAH7y8K0=")</f>
        <v>#VALUE!</v>
      </c>
      <c r="FS3" t="e">
        <f>AND(Sheet1!D22,"AAAAAH7y8K4=")</f>
        <v>#VALUE!</v>
      </c>
      <c r="FT3" t="e">
        <f>AND(Sheet1!E22,"AAAAAH7y8K8=")</f>
        <v>#VALUE!</v>
      </c>
      <c r="FU3" t="e">
        <f>AND(Sheet1!F22,"AAAAAH7y8LA=")</f>
        <v>#VALUE!</v>
      </c>
      <c r="FV3" t="e">
        <f>AND(Sheet1!G22,"AAAAAH7y8LE=")</f>
        <v>#VALUE!</v>
      </c>
      <c r="FW3">
        <f>IF(Sheet1!23:23,"AAAAAH7y8LI=",0)</f>
        <v>0</v>
      </c>
      <c r="FX3" t="e">
        <f>AND(Sheet1!A23,"AAAAAH7y8LM=")</f>
        <v>#VALUE!</v>
      </c>
      <c r="FY3" t="e">
        <f>AND(Sheet1!B23,"AAAAAH7y8LQ=")</f>
        <v>#VALUE!</v>
      </c>
      <c r="FZ3" t="e">
        <f>AND(Sheet1!C23,"AAAAAH7y8LU=")</f>
        <v>#VALUE!</v>
      </c>
      <c r="GA3" t="e">
        <f>AND(Sheet1!D23,"AAAAAH7y8LY=")</f>
        <v>#VALUE!</v>
      </c>
      <c r="GB3" t="e">
        <f>AND(Sheet1!E23,"AAAAAH7y8Lc=")</f>
        <v>#VALUE!</v>
      </c>
      <c r="GC3" t="e">
        <f>AND(Sheet1!F23,"AAAAAH7y8Lg=")</f>
        <v>#VALUE!</v>
      </c>
      <c r="GD3" t="e">
        <f>AND(Sheet1!G23,"AAAAAH7y8Lk=")</f>
        <v>#VALUE!</v>
      </c>
      <c r="GE3">
        <f>IF(Sheet1!24:24,"AAAAAH7y8Lo=",0)</f>
        <v>0</v>
      </c>
      <c r="GF3" t="e">
        <f>AND(Sheet1!A24,"AAAAAH7y8Ls=")</f>
        <v>#VALUE!</v>
      </c>
      <c r="GG3" t="e">
        <f>AND(Sheet1!B24,"AAAAAH7y8Lw=")</f>
        <v>#VALUE!</v>
      </c>
      <c r="GH3" t="e">
        <f>AND(Sheet1!C24,"AAAAAH7y8L0=")</f>
        <v>#VALUE!</v>
      </c>
      <c r="GI3" t="e">
        <f>AND(Sheet1!D24,"AAAAAH7y8L4=")</f>
        <v>#VALUE!</v>
      </c>
      <c r="GJ3" t="e">
        <f>AND(Sheet1!E24,"AAAAAH7y8L8=")</f>
        <v>#VALUE!</v>
      </c>
      <c r="GK3" t="e">
        <f>AND(Sheet1!F24,"AAAAAH7y8MA=")</f>
        <v>#VALUE!</v>
      </c>
      <c r="GL3" t="e">
        <f>AND(Sheet1!G24,"AAAAAH7y8ME=")</f>
        <v>#VALUE!</v>
      </c>
      <c r="GM3">
        <f>IF(Sheet1!25:25,"AAAAAH7y8MI=",0)</f>
        <v>0</v>
      </c>
      <c r="GN3" t="e">
        <f>AND(Sheet1!A25,"AAAAAH7y8MM=")</f>
        <v>#VALUE!</v>
      </c>
      <c r="GO3" t="e">
        <f>AND(Sheet1!B25,"AAAAAH7y8MQ=")</f>
        <v>#VALUE!</v>
      </c>
      <c r="GP3" t="e">
        <f>AND(Sheet1!C25,"AAAAAH7y8MU=")</f>
        <v>#VALUE!</v>
      </c>
      <c r="GQ3" t="e">
        <f>AND(Sheet1!D25,"AAAAAH7y8MY=")</f>
        <v>#VALUE!</v>
      </c>
      <c r="GR3" t="e">
        <f>AND(Sheet1!E25,"AAAAAH7y8Mc=")</f>
        <v>#VALUE!</v>
      </c>
      <c r="GS3" t="e">
        <f>AND(Sheet1!F25,"AAAAAH7y8Mg=")</f>
        <v>#VALUE!</v>
      </c>
      <c r="GT3" t="e">
        <f>AND(Sheet1!G25,"AAAAAH7y8Mk=")</f>
        <v>#VALUE!</v>
      </c>
      <c r="GU3">
        <f>IF(Sheet1!26:26,"AAAAAH7y8Mo=",0)</f>
        <v>0</v>
      </c>
      <c r="GV3" t="e">
        <f>AND(Sheet1!A26,"AAAAAH7y8Ms=")</f>
        <v>#VALUE!</v>
      </c>
      <c r="GW3" t="e">
        <f>AND(Sheet1!B26,"AAAAAH7y8Mw=")</f>
        <v>#VALUE!</v>
      </c>
      <c r="GX3" t="e">
        <f>AND(Sheet1!C26,"AAAAAH7y8M0=")</f>
        <v>#VALUE!</v>
      </c>
      <c r="GY3" t="e">
        <f>AND(Sheet1!D26,"AAAAAH7y8M4=")</f>
        <v>#VALUE!</v>
      </c>
      <c r="GZ3" t="e">
        <f>AND(Sheet1!E26,"AAAAAH7y8M8=")</f>
        <v>#VALUE!</v>
      </c>
      <c r="HA3" t="e">
        <f>AND(Sheet1!F26,"AAAAAH7y8NA=")</f>
        <v>#VALUE!</v>
      </c>
      <c r="HB3" t="e">
        <f>AND(Sheet1!G26,"AAAAAH7y8NE=")</f>
        <v>#VALUE!</v>
      </c>
      <c r="HC3">
        <f>IF(Sheet1!27:27,"AAAAAH7y8NI=",0)</f>
        <v>0</v>
      </c>
      <c r="HD3" t="e">
        <f>AND(Sheet1!A27,"AAAAAH7y8NM=")</f>
        <v>#VALUE!</v>
      </c>
      <c r="HE3" t="e">
        <f>AND(Sheet1!B27,"AAAAAH7y8NQ=")</f>
        <v>#VALUE!</v>
      </c>
      <c r="HF3" t="e">
        <f>AND(Sheet1!C27,"AAAAAH7y8NU=")</f>
        <v>#VALUE!</v>
      </c>
      <c r="HG3" t="e">
        <f>AND(Sheet1!D27,"AAAAAH7y8NY=")</f>
        <v>#VALUE!</v>
      </c>
      <c r="HH3" t="e">
        <f>AND(Sheet1!E27,"AAAAAH7y8Nc=")</f>
        <v>#VALUE!</v>
      </c>
      <c r="HI3" t="e">
        <f>AND(Sheet1!F27,"AAAAAH7y8Ng=")</f>
        <v>#VALUE!</v>
      </c>
      <c r="HJ3" t="e">
        <f>AND(Sheet1!G27,"AAAAAH7y8Nk=")</f>
        <v>#VALUE!</v>
      </c>
      <c r="HK3">
        <f>IF(Sheet1!28:28,"AAAAAH7y8No=",0)</f>
        <v>0</v>
      </c>
      <c r="HL3" t="e">
        <f>AND(Sheet1!A28,"AAAAAH7y8Ns=")</f>
        <v>#VALUE!</v>
      </c>
      <c r="HM3" t="e">
        <f>AND(Sheet1!B28,"AAAAAH7y8Nw=")</f>
        <v>#VALUE!</v>
      </c>
      <c r="HN3" t="e">
        <f>AND(Sheet1!C28,"AAAAAH7y8N0=")</f>
        <v>#VALUE!</v>
      </c>
      <c r="HO3" t="e">
        <f>AND(Sheet1!D28,"AAAAAH7y8N4=")</f>
        <v>#VALUE!</v>
      </c>
      <c r="HP3" t="e">
        <f>AND(Sheet1!E28,"AAAAAH7y8N8=")</f>
        <v>#VALUE!</v>
      </c>
      <c r="HQ3" t="e">
        <f>AND(Sheet1!F28,"AAAAAH7y8OA=")</f>
        <v>#VALUE!</v>
      </c>
      <c r="HR3" t="e">
        <f>AND(Sheet1!G28,"AAAAAH7y8OE=")</f>
        <v>#VALUE!</v>
      </c>
      <c r="HS3">
        <f>IF(Sheet1!29:29,"AAAAAH7y8OI=",0)</f>
        <v>0</v>
      </c>
      <c r="HT3" t="e">
        <f>AND(Sheet1!A29,"AAAAAH7y8OM=")</f>
        <v>#VALUE!</v>
      </c>
      <c r="HU3" t="e">
        <f>AND(Sheet1!B29,"AAAAAH7y8OQ=")</f>
        <v>#VALUE!</v>
      </c>
      <c r="HV3" t="e">
        <f>AND(Sheet1!C29,"AAAAAH7y8OU=")</f>
        <v>#VALUE!</v>
      </c>
      <c r="HW3" t="e">
        <f>AND(Sheet1!D29,"AAAAAH7y8OY=")</f>
        <v>#VALUE!</v>
      </c>
      <c r="HX3" t="e">
        <f>AND(Sheet1!E29,"AAAAAH7y8Oc=")</f>
        <v>#VALUE!</v>
      </c>
      <c r="HY3" t="e">
        <f>AND(Sheet1!F29,"AAAAAH7y8Og=")</f>
        <v>#VALUE!</v>
      </c>
      <c r="HZ3" t="e">
        <f>AND(Sheet1!G29,"AAAAAH7y8Ok=")</f>
        <v>#VALUE!</v>
      </c>
      <c r="IA3">
        <f>IF(Sheet1!30:30,"AAAAAH7y8Oo=",0)</f>
        <v>0</v>
      </c>
      <c r="IB3" t="e">
        <f>AND(Sheet1!A30,"AAAAAH7y8Os=")</f>
        <v>#VALUE!</v>
      </c>
      <c r="IC3" t="e">
        <f>AND(Sheet1!B30,"AAAAAH7y8Ow=")</f>
        <v>#VALUE!</v>
      </c>
      <c r="ID3" t="e">
        <f>AND(Sheet1!C30,"AAAAAH7y8O0=")</f>
        <v>#VALUE!</v>
      </c>
      <c r="IE3" t="e">
        <f>AND(Sheet1!D30,"AAAAAH7y8O4=")</f>
        <v>#VALUE!</v>
      </c>
      <c r="IF3" t="e">
        <f>AND(Sheet1!E30,"AAAAAH7y8O8=")</f>
        <v>#VALUE!</v>
      </c>
      <c r="IG3" t="e">
        <f>AND(Sheet1!F30,"AAAAAH7y8PA=")</f>
        <v>#VALUE!</v>
      </c>
      <c r="IH3" t="e">
        <f>AND(Sheet1!G30,"AAAAAH7y8PE=")</f>
        <v>#VALUE!</v>
      </c>
      <c r="II3">
        <f>IF(Sheet1!31:31,"AAAAAH7y8PI=",0)</f>
        <v>0</v>
      </c>
      <c r="IJ3" t="e">
        <f>AND(Sheet1!A31,"AAAAAH7y8PM=")</f>
        <v>#VALUE!</v>
      </c>
      <c r="IK3" t="e">
        <f>AND(Sheet1!B31,"AAAAAH7y8PQ=")</f>
        <v>#VALUE!</v>
      </c>
      <c r="IL3" t="e">
        <f>AND(Sheet1!C31,"AAAAAH7y8PU=")</f>
        <v>#VALUE!</v>
      </c>
      <c r="IM3" t="e">
        <f>AND(Sheet1!D31,"AAAAAH7y8PY=")</f>
        <v>#VALUE!</v>
      </c>
      <c r="IN3" t="e">
        <f>AND(Sheet1!E31,"AAAAAH7y8Pc=")</f>
        <v>#VALUE!</v>
      </c>
      <c r="IO3" t="e">
        <f>AND(Sheet1!F31,"AAAAAH7y8Pg=")</f>
        <v>#VALUE!</v>
      </c>
      <c r="IP3" t="e">
        <f>AND(Sheet1!G31,"AAAAAH7y8Pk=")</f>
        <v>#VALUE!</v>
      </c>
      <c r="IQ3">
        <f>IF(Sheet1!32:32,"AAAAAH7y8Po=",0)</f>
        <v>0</v>
      </c>
      <c r="IR3" t="e">
        <f>AND(Sheet1!A32,"AAAAAH7y8Ps=")</f>
        <v>#VALUE!</v>
      </c>
      <c r="IS3" t="e">
        <f>AND(Sheet1!B32,"AAAAAH7y8Pw=")</f>
        <v>#VALUE!</v>
      </c>
      <c r="IT3" t="e">
        <f>AND(Sheet1!C32,"AAAAAH7y8P0=")</f>
        <v>#VALUE!</v>
      </c>
      <c r="IU3" t="e">
        <f>AND(Sheet1!D32,"AAAAAH7y8P4=")</f>
        <v>#VALUE!</v>
      </c>
      <c r="IV3" t="e">
        <f>AND(Sheet1!E32,"AAAAAH7y8P8=")</f>
        <v>#VALUE!</v>
      </c>
    </row>
    <row r="4" spans="1:256">
      <c r="A4" t="e">
        <f>AND(Sheet1!F32,"AAAAAD/v/QA=")</f>
        <v>#VALUE!</v>
      </c>
      <c r="B4" t="e">
        <f>AND(Sheet1!G32,"AAAAAD/v/QE=")</f>
        <v>#VALUE!</v>
      </c>
      <c r="C4" t="str">
        <f>IF(Sheet1!33:33,"AAAAAD/v/QI=",0)</f>
        <v>AAAAAD/v/QI=</v>
      </c>
      <c r="D4" t="e">
        <f>AND(Sheet1!A33,"AAAAAD/v/QM=")</f>
        <v>#VALUE!</v>
      </c>
      <c r="E4" t="e">
        <f>AND(Sheet1!B33,"AAAAAD/v/QQ=")</f>
        <v>#VALUE!</v>
      </c>
      <c r="F4" t="e">
        <f>AND(Sheet1!C33,"AAAAAD/v/QU=")</f>
        <v>#VALUE!</v>
      </c>
      <c r="G4" t="e">
        <f>AND(Sheet1!D33,"AAAAAD/v/QY=")</f>
        <v>#VALUE!</v>
      </c>
      <c r="H4" t="e">
        <f>AND(Sheet1!E33,"AAAAAD/v/Qc=")</f>
        <v>#VALUE!</v>
      </c>
      <c r="I4" t="e">
        <f>AND(Sheet1!F33,"AAAAAD/v/Qg=")</f>
        <v>#VALUE!</v>
      </c>
      <c r="J4" t="e">
        <f>AND(Sheet1!G33,"AAAAAD/v/Qk=")</f>
        <v>#VALUE!</v>
      </c>
      <c r="K4">
        <f>IF(Sheet1!34:34,"AAAAAD/v/Qo=",0)</f>
        <v>0</v>
      </c>
      <c r="L4" t="e">
        <f>AND(Sheet1!A34,"AAAAAD/v/Qs=")</f>
        <v>#VALUE!</v>
      </c>
      <c r="M4" t="e">
        <f>AND(Sheet1!B34,"AAAAAD/v/Qw=")</f>
        <v>#VALUE!</v>
      </c>
      <c r="N4" t="e">
        <f>AND(Sheet1!C34,"AAAAAD/v/Q0=")</f>
        <v>#VALUE!</v>
      </c>
      <c r="O4" t="e">
        <f>AND(Sheet1!D34,"AAAAAD/v/Q4=")</f>
        <v>#VALUE!</v>
      </c>
      <c r="P4" t="e">
        <f>AND(Sheet1!E34,"AAAAAD/v/Q8=")</f>
        <v>#VALUE!</v>
      </c>
      <c r="Q4" t="e">
        <f>AND(Sheet1!F34,"AAAAAD/v/RA=")</f>
        <v>#VALUE!</v>
      </c>
      <c r="R4" t="e">
        <f>AND(Sheet1!G34,"AAAAAD/v/RE=")</f>
        <v>#VALUE!</v>
      </c>
      <c r="S4">
        <f>IF(Sheet1!35:35,"AAAAAD/v/RI=",0)</f>
        <v>0</v>
      </c>
      <c r="T4" t="e">
        <f>AND(Sheet1!A35,"AAAAAD/v/RM=")</f>
        <v>#VALUE!</v>
      </c>
      <c r="U4" t="e">
        <f>AND(Sheet1!B35,"AAAAAD/v/RQ=")</f>
        <v>#VALUE!</v>
      </c>
      <c r="V4" t="e">
        <f>AND(Sheet1!C35,"AAAAAD/v/RU=")</f>
        <v>#VALUE!</v>
      </c>
      <c r="W4" t="e">
        <f>AND(Sheet1!D35,"AAAAAD/v/RY=")</f>
        <v>#VALUE!</v>
      </c>
      <c r="X4" t="e">
        <f>AND(Sheet1!E35,"AAAAAD/v/Rc=")</f>
        <v>#VALUE!</v>
      </c>
      <c r="Y4" t="e">
        <f>AND(Sheet1!F35,"AAAAAD/v/Rg=")</f>
        <v>#VALUE!</v>
      </c>
      <c r="Z4" t="e">
        <f>AND(Sheet1!G35,"AAAAAD/v/Rk=")</f>
        <v>#VALUE!</v>
      </c>
      <c r="AA4">
        <f>IF(Sheet1!36:36,"AAAAAD/v/Ro=",0)</f>
        <v>0</v>
      </c>
      <c r="AB4" t="e">
        <f>AND(Sheet1!A36,"AAAAAD/v/Rs=")</f>
        <v>#VALUE!</v>
      </c>
      <c r="AC4" t="e">
        <f>AND(Sheet1!B36,"AAAAAD/v/Rw=")</f>
        <v>#VALUE!</v>
      </c>
      <c r="AD4" t="e">
        <f>AND(Sheet1!C36,"AAAAAD/v/R0=")</f>
        <v>#VALUE!</v>
      </c>
      <c r="AE4" t="e">
        <f>AND(Sheet1!D36,"AAAAAD/v/R4=")</f>
        <v>#VALUE!</v>
      </c>
      <c r="AF4" t="e">
        <f>AND(Sheet1!E36,"AAAAAD/v/R8=")</f>
        <v>#VALUE!</v>
      </c>
      <c r="AG4" t="e">
        <f>AND(Sheet1!F36,"AAAAAD/v/SA=")</f>
        <v>#VALUE!</v>
      </c>
      <c r="AH4" t="e">
        <f>AND(Sheet1!G36,"AAAAAD/v/SE=")</f>
        <v>#VALUE!</v>
      </c>
      <c r="AI4">
        <f>IF(Sheet1!37:37,"AAAAAD/v/SI=",0)</f>
        <v>0</v>
      </c>
      <c r="AJ4" t="e">
        <f>AND(Sheet1!A37,"AAAAAD/v/SM=")</f>
        <v>#VALUE!</v>
      </c>
      <c r="AK4" t="e">
        <f>AND(Sheet1!B37,"AAAAAD/v/SQ=")</f>
        <v>#VALUE!</v>
      </c>
      <c r="AL4" t="e">
        <f>AND(Sheet1!C37,"AAAAAD/v/SU=")</f>
        <v>#VALUE!</v>
      </c>
      <c r="AM4" t="e">
        <f>AND(Sheet1!D37,"AAAAAD/v/SY=")</f>
        <v>#VALUE!</v>
      </c>
      <c r="AN4" t="e">
        <f>AND(Sheet1!E37,"AAAAAD/v/Sc=")</f>
        <v>#VALUE!</v>
      </c>
      <c r="AO4" t="e">
        <f>AND(Sheet1!F37,"AAAAAD/v/Sg=")</f>
        <v>#VALUE!</v>
      </c>
      <c r="AP4" t="e">
        <f>AND(Sheet1!G37,"AAAAAD/v/Sk=")</f>
        <v>#VALUE!</v>
      </c>
      <c r="AQ4">
        <f>IF(Sheet1!38:38,"AAAAAD/v/So=",0)</f>
        <v>0</v>
      </c>
      <c r="AR4" t="e">
        <f>AND(Sheet1!A38,"AAAAAD/v/Ss=")</f>
        <v>#VALUE!</v>
      </c>
      <c r="AS4" t="e">
        <f>AND(Sheet1!B38,"AAAAAD/v/Sw=")</f>
        <v>#VALUE!</v>
      </c>
      <c r="AT4" t="e">
        <f>AND(Sheet1!C38,"AAAAAD/v/S0=")</f>
        <v>#VALUE!</v>
      </c>
      <c r="AU4" t="e">
        <f>AND(Sheet1!D38,"AAAAAD/v/S4=")</f>
        <v>#VALUE!</v>
      </c>
      <c r="AV4" t="e">
        <f>AND(Sheet1!E38,"AAAAAD/v/S8=")</f>
        <v>#VALUE!</v>
      </c>
      <c r="AW4" t="e">
        <f>AND(Sheet1!F38,"AAAAAD/v/TA=")</f>
        <v>#VALUE!</v>
      </c>
      <c r="AX4" t="e">
        <f>AND(Sheet1!G38,"AAAAAD/v/TE=")</f>
        <v>#VALUE!</v>
      </c>
      <c r="AY4" t="str">
        <f>IF(Sheet1!G:G,"AAAAAD/v/TI=",0)</f>
        <v>AAAAAD/v/TI=</v>
      </c>
      <c r="AZ4" t="str">
        <f>IF(Sheet1!H:H,"AAAAAD/v/TM=",0)</f>
        <v>AAAAAD/v/TM=</v>
      </c>
      <c r="BA4">
        <f>IF(Sheet1!I:I,"AAAAAD/v/TQ=",0)</f>
        <v>0</v>
      </c>
      <c r="BB4">
        <f>IF(Sheet1!J:J,"AAAAAD/v/TU=",0)</f>
        <v>0</v>
      </c>
      <c r="BC4">
        <f>IF(Sheet1!K:K,"AAAAAD/v/TY=",0)</f>
        <v>0</v>
      </c>
      <c r="BD4">
        <f>IF(Sheet1!L:L,"AAAAAD/v/Tc=",0)</f>
        <v>0</v>
      </c>
      <c r="BE4">
        <f>IF(Sheet1!M:M,"AAAAAD/v/Tg=",0)</f>
        <v>0</v>
      </c>
      <c r="BF4">
        <f>IF(Sheet1!N:N,"AAAAAD/v/Tk=",0)</f>
        <v>0</v>
      </c>
      <c r="BG4">
        <f>IF(Sheet1!O:O,"AAAAAD/v/To=",0)</f>
        <v>0</v>
      </c>
      <c r="BH4">
        <f>IF(Sheet1!P:P,"AAAAAD/v/Ts=",0)</f>
        <v>0</v>
      </c>
      <c r="BI4">
        <f>IF(Sheet1!Q:Q,"AAAAAD/v/Tw=",0)</f>
        <v>0</v>
      </c>
      <c r="BJ4">
        <f>IF(Sheet1!R:R,"AAAAAD/v/T0=",0)</f>
        <v>0</v>
      </c>
    </row>
    <row r="5" spans="1:256">
      <c r="A5" t="str">
        <f>IF(Sheet1!39:39,"AAAAAH/NNAA=",0)</f>
        <v>AAAAAH/NNAA=</v>
      </c>
      <c r="B5" t="e">
        <f>AND(Sheet1!A39,"AAAAAH/NNAE=")</f>
        <v>#VALUE!</v>
      </c>
      <c r="C5" t="e">
        <f>AND(Sheet1!B39,"AAAAAH/NNAI=")</f>
        <v>#VALUE!</v>
      </c>
      <c r="D5" t="e">
        <f>AND(Sheet1!C39,"AAAAAH/NNAM=")</f>
        <v>#VALUE!</v>
      </c>
      <c r="E5" t="e">
        <f>AND(Sheet1!D39,"AAAAAH/NNAQ=")</f>
        <v>#VALUE!</v>
      </c>
      <c r="F5" t="e">
        <f>AND(Sheet1!E39,"AAAAAH/NNAU=")</f>
        <v>#VALUE!</v>
      </c>
      <c r="G5" t="e">
        <f>AND(Sheet1!F39,"AAAAAH/NNAY=")</f>
        <v>#VALUE!</v>
      </c>
      <c r="H5" t="e">
        <f>AND(Sheet1!G39,"AAAAAH/NNAc=")</f>
        <v>#VALUE!</v>
      </c>
      <c r="I5">
        <f>IF(Sheet1!40:40,"AAAAAH/NNAg=",0)</f>
        <v>0</v>
      </c>
      <c r="J5" t="e">
        <f>AND(Sheet1!A40,"AAAAAH/NNAk=")</f>
        <v>#VALUE!</v>
      </c>
      <c r="K5" t="e">
        <f>AND(Sheet1!B40,"AAAAAH/NNAo=")</f>
        <v>#VALUE!</v>
      </c>
      <c r="L5" t="e">
        <f>AND(Sheet1!C40,"AAAAAH/NNAs=")</f>
        <v>#VALUE!</v>
      </c>
      <c r="M5" t="e">
        <f>AND(Sheet1!D40,"AAAAAH/NNAw=")</f>
        <v>#VALUE!</v>
      </c>
      <c r="N5" t="e">
        <f>AND(Sheet1!E40,"AAAAAH/NNA0=")</f>
        <v>#VALUE!</v>
      </c>
      <c r="O5" t="e">
        <f>AND(Sheet1!F40,"AAAAAH/NNA4=")</f>
        <v>#VALUE!</v>
      </c>
      <c r="P5" t="e">
        <f>AND(Sheet1!G40,"AAAAAH/NNA8=")</f>
        <v>#VALUE!</v>
      </c>
    </row>
    <row r="6" spans="1:256">
      <c r="A6" t="e">
        <f>IF(#REF!,"AAAAAGCXrwA=",0)</f>
        <v>#REF!</v>
      </c>
      <c r="B6" t="e">
        <f>AND(#REF!,"AAAAAGCXrwE=")</f>
        <v>#REF!</v>
      </c>
      <c r="C6" t="e">
        <f>AND(#REF!,"AAAAAGCXrwI=")</f>
        <v>#REF!</v>
      </c>
      <c r="D6" t="e">
        <f>AND(#REF!,"AAAAAGCXrwM=")</f>
        <v>#REF!</v>
      </c>
      <c r="E6" t="e">
        <f>AND(#REF!,"AAAAAGCXrwQ=")</f>
        <v>#REF!</v>
      </c>
      <c r="F6" t="e">
        <f>AND(#REF!,"AAAAAGCXrwU=")</f>
        <v>#REF!</v>
      </c>
      <c r="G6" t="e">
        <f>AND(#REF!,"AAAAAGCXrwY=")</f>
        <v>#REF!</v>
      </c>
      <c r="H6" t="e">
        <f>AND(#REF!,"AAAAAGCXrwc=")</f>
        <v>#REF!</v>
      </c>
      <c r="I6" t="e">
        <f>IF(#REF!,"AAAAAGCXrwg=",0)</f>
        <v>#REF!</v>
      </c>
      <c r="J6" t="e">
        <f>AND(#REF!,"AAAAAGCXrwk=")</f>
        <v>#REF!</v>
      </c>
      <c r="K6" t="e">
        <f>AND(#REF!,"AAAAAGCXrwo=")</f>
        <v>#REF!</v>
      </c>
      <c r="L6" t="e">
        <f>AND(#REF!,"AAAAAGCXrws=")</f>
        <v>#REF!</v>
      </c>
      <c r="M6" t="e">
        <f>AND(#REF!,"AAAAAGCXrww=")</f>
        <v>#REF!</v>
      </c>
      <c r="N6" t="e">
        <f>AND(#REF!,"AAAAAGCXrw0=")</f>
        <v>#REF!</v>
      </c>
      <c r="O6" t="e">
        <f>AND(#REF!,"AAAAAGCXrw4=")</f>
        <v>#REF!</v>
      </c>
      <c r="P6" t="e">
        <f>AND(#REF!,"AAAAAGCXrw8=")</f>
        <v>#REF!</v>
      </c>
      <c r="Q6" t="e">
        <f>IF(#REF!,"AAAAAGCXrxA=",0)</f>
        <v>#REF!</v>
      </c>
      <c r="R6" t="e">
        <f>AND(#REF!,"AAAAAGCXrxE=")</f>
        <v>#REF!</v>
      </c>
      <c r="S6" t="e">
        <f>AND(#REF!,"AAAAAGCXrxI=")</f>
        <v>#REF!</v>
      </c>
      <c r="T6" t="e">
        <f>AND(#REF!,"AAAAAGCXrxM=")</f>
        <v>#REF!</v>
      </c>
      <c r="U6" t="e">
        <f>AND(#REF!,"AAAAAGCXrxQ=")</f>
        <v>#REF!</v>
      </c>
      <c r="V6" t="e">
        <f>AND(#REF!,"AAAAAGCXrxU=")</f>
        <v>#REF!</v>
      </c>
      <c r="W6" t="e">
        <f>AND(#REF!,"AAAAAGCXrxY=")</f>
        <v>#REF!</v>
      </c>
      <c r="X6" t="e">
        <f>AND(#REF!,"AAAAAGCXrxc=")</f>
        <v>#REF!</v>
      </c>
      <c r="Y6" t="e">
        <f>IF(#REF!,"AAAAAGCXrxg=",0)</f>
        <v>#REF!</v>
      </c>
      <c r="Z6" t="e">
        <f>AND(#REF!,"AAAAAGCXrxk=")</f>
        <v>#REF!</v>
      </c>
      <c r="AA6" t="e">
        <f>AND(#REF!,"AAAAAGCXrxo=")</f>
        <v>#REF!</v>
      </c>
      <c r="AB6" t="e">
        <f>AND(#REF!,"AAAAAGCXrxs=")</f>
        <v>#REF!</v>
      </c>
      <c r="AC6" t="e">
        <f>AND(#REF!,"AAAAAGCXrxw=")</f>
        <v>#REF!</v>
      </c>
      <c r="AD6" t="e">
        <f>AND(#REF!,"AAAAAGCXrx0=")</f>
        <v>#REF!</v>
      </c>
      <c r="AE6" t="e">
        <f>AND(#REF!,"AAAAAGCXrx4=")</f>
        <v>#REF!</v>
      </c>
      <c r="AF6" t="e">
        <f>AND(#REF!,"AAAAAGCXrx8=")</f>
        <v>#REF!</v>
      </c>
      <c r="AG6" t="e">
        <f>IF(#REF!,"AAAAAGCXryA=",0)</f>
        <v>#REF!</v>
      </c>
      <c r="AH6" t="e">
        <f>AND(#REF!,"AAAAAGCXryE=")</f>
        <v>#REF!</v>
      </c>
      <c r="AI6" t="e">
        <f>AND(#REF!,"AAAAAGCXryI=")</f>
        <v>#REF!</v>
      </c>
      <c r="AJ6" t="e">
        <f>AND(#REF!,"AAAAAGCXryM=")</f>
        <v>#REF!</v>
      </c>
      <c r="AK6" t="e">
        <f>AND(#REF!,"AAAAAGCXryQ=")</f>
        <v>#REF!</v>
      </c>
      <c r="AL6" t="e">
        <f>AND(#REF!,"AAAAAGCXryU=")</f>
        <v>#REF!</v>
      </c>
      <c r="AM6" t="e">
        <f>AND(#REF!,"AAAAAGCXryY=")</f>
        <v>#REF!</v>
      </c>
      <c r="AN6" t="e">
        <f>AND(#REF!,"AAAAAGCXryc=")</f>
        <v>#REF!</v>
      </c>
      <c r="AO6" t="e">
        <f>IF(#REF!,"AAAAAGCXryg=",0)</f>
        <v>#REF!</v>
      </c>
      <c r="AP6" t="e">
        <f>AND(#REF!,"AAAAAGCXryk=")</f>
        <v>#REF!</v>
      </c>
      <c r="AQ6" t="e">
        <f>AND(#REF!,"AAAAAGCXryo=")</f>
        <v>#REF!</v>
      </c>
      <c r="AR6" t="e">
        <f>AND(#REF!,"AAAAAGCXrys=")</f>
        <v>#REF!</v>
      </c>
      <c r="AS6" t="e">
        <f>AND(#REF!,"AAAAAGCXryw=")</f>
        <v>#REF!</v>
      </c>
      <c r="AT6" t="e">
        <f>AND(#REF!,"AAAAAGCXry0=")</f>
        <v>#REF!</v>
      </c>
      <c r="AU6" t="e">
        <f>AND(#REF!,"AAAAAGCXry4=")</f>
        <v>#REF!</v>
      </c>
      <c r="AV6" t="e">
        <f>AND(#REF!,"AAAAAGCXry8=")</f>
        <v>#REF!</v>
      </c>
      <c r="AW6" t="e">
        <f>IF(#REF!,"AAAAAGCXrzA=",0)</f>
        <v>#REF!</v>
      </c>
      <c r="AX6" t="e">
        <f>AND(#REF!,"AAAAAGCXrzE=")</f>
        <v>#REF!</v>
      </c>
      <c r="AY6" t="e">
        <f>AND(#REF!,"AAAAAGCXrzI=")</f>
        <v>#REF!</v>
      </c>
      <c r="AZ6" t="e">
        <f>AND(#REF!,"AAAAAGCXrzM=")</f>
        <v>#REF!</v>
      </c>
      <c r="BA6" t="e">
        <f>AND(#REF!,"AAAAAGCXrzQ=")</f>
        <v>#REF!</v>
      </c>
      <c r="BB6" t="e">
        <f>AND(#REF!,"AAAAAGCXrzU=")</f>
        <v>#REF!</v>
      </c>
      <c r="BC6" t="e">
        <f>AND(#REF!,"AAAAAGCXrzY=")</f>
        <v>#REF!</v>
      </c>
      <c r="BD6" t="e">
        <f>AND(#REF!,"AAAAAGCXrzc=")</f>
        <v>#REF!</v>
      </c>
      <c r="BE6" t="e">
        <f>IF(#REF!,"AAAAAGCXrzg=",0)</f>
        <v>#REF!</v>
      </c>
      <c r="BF6" t="e">
        <f>AND(#REF!,"AAAAAGCXrzk=")</f>
        <v>#REF!</v>
      </c>
      <c r="BG6" t="e">
        <f>AND(#REF!,"AAAAAGCXrzo=")</f>
        <v>#REF!</v>
      </c>
      <c r="BH6" t="e">
        <f>AND(#REF!,"AAAAAGCXrzs=")</f>
        <v>#REF!</v>
      </c>
      <c r="BI6" t="e">
        <f>AND(#REF!,"AAAAAGCXrzw=")</f>
        <v>#REF!</v>
      </c>
      <c r="BJ6" t="e">
        <f>AND(#REF!,"AAAAAGCXrz0=")</f>
        <v>#REF!</v>
      </c>
      <c r="BK6" t="e">
        <f>AND(#REF!,"AAAAAGCXrz4=")</f>
        <v>#REF!</v>
      </c>
      <c r="BL6" t="e">
        <f>AND(#REF!,"AAAAAGCXrz8=")</f>
        <v>#REF!</v>
      </c>
      <c r="BM6" t="e">
        <f>IF(#REF!,"AAAAAGCXr0A=",0)</f>
        <v>#REF!</v>
      </c>
      <c r="BN6" t="e">
        <f>AND(#REF!,"AAAAAGCXr0E=")</f>
        <v>#REF!</v>
      </c>
      <c r="BO6" t="e">
        <f>AND(#REF!,"AAAAAGCXr0I=")</f>
        <v>#REF!</v>
      </c>
      <c r="BP6" t="e">
        <f>AND(#REF!,"AAAAAGCXr0M=")</f>
        <v>#REF!</v>
      </c>
      <c r="BQ6" t="e">
        <f>AND(#REF!,"AAAAAGCXr0Q=")</f>
        <v>#REF!</v>
      </c>
      <c r="BR6" t="e">
        <f>AND(#REF!,"AAAAAGCXr0U=")</f>
        <v>#REF!</v>
      </c>
      <c r="BS6" t="e">
        <f>AND(#REF!,"AAAAAGCXr0Y=")</f>
        <v>#REF!</v>
      </c>
      <c r="BT6" t="e">
        <f>AND(#REF!,"AAAAAGCXr0c=")</f>
        <v>#REF!</v>
      </c>
      <c r="BU6" t="e">
        <f>IF(#REF!,"AAAAAGCXr0g=",0)</f>
        <v>#REF!</v>
      </c>
      <c r="BV6" t="e">
        <f>AND(#REF!,"AAAAAGCXr0k=")</f>
        <v>#REF!</v>
      </c>
      <c r="BW6" t="e">
        <f>AND(#REF!,"AAAAAGCXr0o=")</f>
        <v>#REF!</v>
      </c>
      <c r="BX6" t="e">
        <f>AND(#REF!,"AAAAAGCXr0s=")</f>
        <v>#REF!</v>
      </c>
      <c r="BY6" t="e">
        <f>AND(#REF!,"AAAAAGCXr0w=")</f>
        <v>#REF!</v>
      </c>
      <c r="BZ6" t="e">
        <f>AND(#REF!,"AAAAAGCXr00=")</f>
        <v>#REF!</v>
      </c>
      <c r="CA6" t="e">
        <f>AND(#REF!,"AAAAAGCXr04=")</f>
        <v>#REF!</v>
      </c>
      <c r="CB6" t="e">
        <f>AND(#REF!,"AAAAAGCXr08=")</f>
        <v>#REF!</v>
      </c>
      <c r="CC6" t="e">
        <f>IF(#REF!,"AAAAAGCXr1A=",0)</f>
        <v>#REF!</v>
      </c>
      <c r="CD6" t="e">
        <f>AND(#REF!,"AAAAAGCXr1E=")</f>
        <v>#REF!</v>
      </c>
      <c r="CE6" t="e">
        <f>AND(#REF!,"AAAAAGCXr1I=")</f>
        <v>#REF!</v>
      </c>
      <c r="CF6" t="e">
        <f>AND(#REF!,"AAAAAGCXr1M=")</f>
        <v>#REF!</v>
      </c>
      <c r="CG6" t="e">
        <f>AND(#REF!,"AAAAAGCXr1Q=")</f>
        <v>#REF!</v>
      </c>
      <c r="CH6" t="e">
        <f>AND(#REF!,"AAAAAGCXr1U=")</f>
        <v>#REF!</v>
      </c>
      <c r="CI6" t="e">
        <f>AND(#REF!,"AAAAAGCXr1Y=")</f>
        <v>#REF!</v>
      </c>
      <c r="CJ6" t="e">
        <f>AND(#REF!,"AAAAAGCXr1c=")</f>
        <v>#REF!</v>
      </c>
      <c r="CK6" t="e">
        <f>IF(#REF!,"AAAAAGCXr1g=",0)</f>
        <v>#REF!</v>
      </c>
      <c r="CL6" t="e">
        <f>AND(#REF!,"AAAAAGCXr1k=")</f>
        <v>#REF!</v>
      </c>
      <c r="CM6" t="e">
        <f>AND(#REF!,"AAAAAGCXr1o=")</f>
        <v>#REF!</v>
      </c>
      <c r="CN6" t="e">
        <f>AND(#REF!,"AAAAAGCXr1s=")</f>
        <v>#REF!</v>
      </c>
      <c r="CO6" t="e">
        <f>AND(#REF!,"AAAAAGCXr1w=")</f>
        <v>#REF!</v>
      </c>
      <c r="CP6" t="e">
        <f>AND(#REF!,"AAAAAGCXr10=")</f>
        <v>#REF!</v>
      </c>
      <c r="CQ6" t="e">
        <f>AND(#REF!,"AAAAAGCXr14=")</f>
        <v>#REF!</v>
      </c>
      <c r="CR6" t="e">
        <f>AND(#REF!,"AAAAAGCXr18=")</f>
        <v>#REF!</v>
      </c>
      <c r="CS6" t="e">
        <f>IF(#REF!,"AAAAAGCXr2A=",0)</f>
        <v>#REF!</v>
      </c>
      <c r="CT6" t="e">
        <f>AND(#REF!,"AAAAAGCXr2E=")</f>
        <v>#REF!</v>
      </c>
      <c r="CU6" t="e">
        <f>AND(#REF!,"AAAAAGCXr2I=")</f>
        <v>#REF!</v>
      </c>
      <c r="CV6" t="e">
        <f>AND(#REF!,"AAAAAGCXr2M=")</f>
        <v>#REF!</v>
      </c>
      <c r="CW6" t="e">
        <f>IF(#REF!,"AAAAAGCXr2Q=",0)</f>
        <v>#REF!</v>
      </c>
      <c r="CX6" t="e">
        <f>AND(#REF!,"AAAAAGCXr2U=")</f>
        <v>#REF!</v>
      </c>
      <c r="CY6" t="e">
        <f>AND(#REF!,"AAAAAGCXr2Y=")</f>
        <v>#REF!</v>
      </c>
      <c r="CZ6" t="e">
        <f>AND(#REF!,"AAAAAGCXr2c=")</f>
        <v>#REF!</v>
      </c>
      <c r="DA6" t="e">
        <f>IF(#REF!,"AAAAAGCXr2g=",0)</f>
        <v>#REF!</v>
      </c>
      <c r="DB6" t="e">
        <f>IF(#REF!,"AAAAAGCXr2k=",0)</f>
        <v>#REF!</v>
      </c>
      <c r="DC6" t="e">
        <f>IF(#REF!,"AAAAAGCXr2o=",0)</f>
        <v>#REF!</v>
      </c>
      <c r="DD6" t="e">
        <f>IF(#REF!,"AAAAAGCXr2s=",0)</f>
        <v>#REF!</v>
      </c>
      <c r="DE6" t="e">
        <f>IF(#REF!,"AAAAAGCXr2w=",0)</f>
        <v>#REF!</v>
      </c>
      <c r="DF6" t="e">
        <f>IF(#REF!,"AAAAAGCXr20=",0)</f>
        <v>#REF!</v>
      </c>
      <c r="DG6" t="e">
        <f>IF(#REF!,"AAAAAGCXr24=",0)</f>
        <v>#REF!</v>
      </c>
      <c r="DH6" t="e">
        <f>IF(#REF!,"AAAAAGCXr28=",0)</f>
        <v>#REF!</v>
      </c>
      <c r="DI6" t="e">
        <f>AND(#REF!,"AAAAAGCXr3A=")</f>
        <v>#REF!</v>
      </c>
      <c r="DJ6" t="e">
        <f>AND(#REF!,"AAAAAGCXr3E=")</f>
        <v>#REF!</v>
      </c>
      <c r="DK6" t="e">
        <f>AND(#REF!,"AAAAAGCXr3I=")</f>
        <v>#REF!</v>
      </c>
      <c r="DL6" t="e">
        <f>AND(#REF!,"AAAAAGCXr3M=")</f>
        <v>#REF!</v>
      </c>
      <c r="DM6" t="e">
        <f>IF(#REF!,"AAAAAGCXr3Q=",0)</f>
        <v>#REF!</v>
      </c>
      <c r="DN6" t="e">
        <f>AND(#REF!,"AAAAAGCXr3U=")</f>
        <v>#REF!</v>
      </c>
      <c r="DO6" t="e">
        <f>AND(#REF!,"AAAAAGCXr3Y=")</f>
        <v>#REF!</v>
      </c>
      <c r="DP6" t="e">
        <f>AND(#REF!,"AAAAAGCXr3c=")</f>
        <v>#REF!</v>
      </c>
      <c r="DQ6" t="e">
        <f>AND(#REF!,"AAAAAGCXr3g=")</f>
        <v>#REF!</v>
      </c>
      <c r="DR6" t="e">
        <f>IF(#REF!,"AAAAAGCXr3k=",0)</f>
        <v>#REF!</v>
      </c>
      <c r="DS6" t="e">
        <f>AND(#REF!,"AAAAAGCXr3o=")</f>
        <v>#REF!</v>
      </c>
      <c r="DT6" t="e">
        <f>AND(#REF!,"AAAAAGCXr3s=")</f>
        <v>#REF!</v>
      </c>
      <c r="DU6" t="e">
        <f>AND(#REF!,"AAAAAGCXr3w=")</f>
        <v>#REF!</v>
      </c>
      <c r="DV6" t="e">
        <f>AND(#REF!,"AAAAAGCXr30=")</f>
        <v>#REF!</v>
      </c>
      <c r="DW6" t="e">
        <f>IF(#REF!,"AAAAAGCXr34=",0)</f>
        <v>#REF!</v>
      </c>
      <c r="DX6" t="e">
        <f>AND(#REF!,"AAAAAGCXr38=")</f>
        <v>#REF!</v>
      </c>
      <c r="DY6" t="e">
        <f>AND(#REF!,"AAAAAGCXr4A=")</f>
        <v>#REF!</v>
      </c>
      <c r="DZ6" t="e">
        <f>AND(#REF!,"AAAAAGCXr4E=")</f>
        <v>#REF!</v>
      </c>
      <c r="EA6" t="e">
        <f>AND(#REF!,"AAAAAGCXr4I=")</f>
        <v>#REF!</v>
      </c>
      <c r="EB6" t="e">
        <f>IF(#REF!,"AAAAAGCXr4M=",0)</f>
        <v>#REF!</v>
      </c>
      <c r="EC6" t="e">
        <f>AND(#REF!,"AAAAAGCXr4Q=")</f>
        <v>#REF!</v>
      </c>
      <c r="ED6" t="e">
        <f>AND(#REF!,"AAAAAGCXr4U=")</f>
        <v>#REF!</v>
      </c>
      <c r="EE6" t="e">
        <f>AND(#REF!,"AAAAAGCXr4Y=")</f>
        <v>#REF!</v>
      </c>
      <c r="EF6" t="e">
        <f>AND(#REF!,"AAAAAGCXr4c=")</f>
        <v>#REF!</v>
      </c>
      <c r="EG6" t="e">
        <f>IF(#REF!,"AAAAAGCXr4g=",0)</f>
        <v>#REF!</v>
      </c>
      <c r="EH6" t="e">
        <f>AND(#REF!,"AAAAAGCXr4k=")</f>
        <v>#REF!</v>
      </c>
      <c r="EI6" t="e">
        <f>AND(#REF!,"AAAAAGCXr4o=")</f>
        <v>#REF!</v>
      </c>
      <c r="EJ6" t="e">
        <f>AND(#REF!,"AAAAAGCXr4s=")</f>
        <v>#REF!</v>
      </c>
      <c r="EK6" t="e">
        <f>AND(#REF!,"AAAAAGCXr4w=")</f>
        <v>#REF!</v>
      </c>
      <c r="EL6" t="e">
        <f>IF(#REF!,"AAAAAGCXr40=",0)</f>
        <v>#REF!</v>
      </c>
      <c r="EM6" t="e">
        <f>AND(#REF!,"AAAAAGCXr44=")</f>
        <v>#REF!</v>
      </c>
      <c r="EN6" t="e">
        <f>AND(#REF!,"AAAAAGCXr48=")</f>
        <v>#REF!</v>
      </c>
      <c r="EO6" t="e">
        <f>AND(#REF!,"AAAAAGCXr5A=")</f>
        <v>#REF!</v>
      </c>
      <c r="EP6" t="e">
        <f>AND(#REF!,"AAAAAGCXr5E=")</f>
        <v>#REF!</v>
      </c>
      <c r="EQ6" t="e">
        <f>IF(#REF!,"AAAAAGCXr5I=",0)</f>
        <v>#REF!</v>
      </c>
      <c r="ER6" t="e">
        <f>AND(#REF!,"AAAAAGCXr5M=")</f>
        <v>#REF!</v>
      </c>
      <c r="ES6" t="e">
        <f>AND(#REF!,"AAAAAGCXr5Q=")</f>
        <v>#REF!</v>
      </c>
      <c r="ET6" t="e">
        <f>AND(#REF!,"AAAAAGCXr5U=")</f>
        <v>#REF!</v>
      </c>
      <c r="EU6" t="e">
        <f>AND(#REF!,"AAAAAGCXr5Y=")</f>
        <v>#REF!</v>
      </c>
      <c r="EV6" t="e">
        <f>IF(#REF!,"AAAAAGCXr5c=",0)</f>
        <v>#REF!</v>
      </c>
      <c r="EW6" t="e">
        <f>AND(#REF!,"AAAAAGCXr5g=")</f>
        <v>#REF!</v>
      </c>
      <c r="EX6" t="e">
        <f>AND(#REF!,"AAAAAGCXr5k=")</f>
        <v>#REF!</v>
      </c>
      <c r="EY6" t="e">
        <f>AND(#REF!,"AAAAAGCXr5o=")</f>
        <v>#REF!</v>
      </c>
      <c r="EZ6" t="e">
        <f>AND(#REF!,"AAAAAGCXr5s=")</f>
        <v>#REF!</v>
      </c>
      <c r="FA6" t="e">
        <f>IF(#REF!,"AAAAAGCXr5w=",0)</f>
        <v>#REF!</v>
      </c>
      <c r="FB6" t="e">
        <f>AND(#REF!,"AAAAAGCXr50=")</f>
        <v>#REF!</v>
      </c>
      <c r="FC6" t="e">
        <f>AND(#REF!,"AAAAAGCXr54=")</f>
        <v>#REF!</v>
      </c>
      <c r="FD6" t="e">
        <f>AND(#REF!,"AAAAAGCXr58=")</f>
        <v>#REF!</v>
      </c>
      <c r="FE6" t="e">
        <f>AND(#REF!,"AAAAAGCXr6A=")</f>
        <v>#REF!</v>
      </c>
      <c r="FF6" t="e">
        <f>IF(#REF!,"AAAAAGCXr6E=",0)</f>
        <v>#REF!</v>
      </c>
      <c r="FG6" t="e">
        <f>AND(#REF!,"AAAAAGCXr6I=")</f>
        <v>#REF!</v>
      </c>
      <c r="FH6" t="e">
        <f>AND(#REF!,"AAAAAGCXr6M=")</f>
        <v>#REF!</v>
      </c>
      <c r="FI6" t="e">
        <f>AND(#REF!,"AAAAAGCXr6Q=")</f>
        <v>#REF!</v>
      </c>
      <c r="FJ6" t="e">
        <f>AND(#REF!,"AAAAAGCXr6U=")</f>
        <v>#REF!</v>
      </c>
      <c r="FK6" t="e">
        <f>IF(#REF!,"AAAAAGCXr6Y=",0)</f>
        <v>#REF!</v>
      </c>
      <c r="FL6" t="e">
        <f>AND(#REF!,"AAAAAGCXr6c=")</f>
        <v>#REF!</v>
      </c>
      <c r="FM6" t="e">
        <f>AND(#REF!,"AAAAAGCXr6g=")</f>
        <v>#REF!</v>
      </c>
      <c r="FN6" t="e">
        <f>AND(#REF!,"AAAAAGCXr6k=")</f>
        <v>#REF!</v>
      </c>
      <c r="FO6" t="e">
        <f>AND(#REF!,"AAAAAGCXr6o=")</f>
        <v>#REF!</v>
      </c>
      <c r="FP6" t="e">
        <f>IF(#REF!,"AAAAAGCXr6s=",0)</f>
        <v>#REF!</v>
      </c>
      <c r="FQ6" t="e">
        <f>AND(#REF!,"AAAAAGCXr6w=")</f>
        <v>#REF!</v>
      </c>
      <c r="FR6" t="e">
        <f>AND(#REF!,"AAAAAGCXr60=")</f>
        <v>#REF!</v>
      </c>
      <c r="FS6" t="e">
        <f>AND(#REF!,"AAAAAGCXr64=")</f>
        <v>#REF!</v>
      </c>
      <c r="FT6" t="e">
        <f>AND(#REF!,"AAAAAGCXr68=")</f>
        <v>#REF!</v>
      </c>
      <c r="FU6" t="e">
        <f>IF(#REF!,"AAAAAGCXr7A=",0)</f>
        <v>#REF!</v>
      </c>
      <c r="FV6" t="e">
        <f>AND(#REF!,"AAAAAGCXr7E=")</f>
        <v>#REF!</v>
      </c>
      <c r="FW6" t="e">
        <f>AND(#REF!,"AAAAAGCXr7I=")</f>
        <v>#REF!</v>
      </c>
      <c r="FX6" t="e">
        <f>AND(#REF!,"AAAAAGCXr7M=")</f>
        <v>#REF!</v>
      </c>
      <c r="FY6" t="e">
        <f>AND(#REF!,"AAAAAGCXr7Q=")</f>
        <v>#REF!</v>
      </c>
      <c r="FZ6" t="e">
        <f>IF(#REF!,"AAAAAGCXr7U=",0)</f>
        <v>#REF!</v>
      </c>
      <c r="GA6" t="e">
        <f>AND(#REF!,"AAAAAGCXr7Y=")</f>
        <v>#REF!</v>
      </c>
      <c r="GB6" t="e">
        <f>AND(#REF!,"AAAAAGCXr7c=")</f>
        <v>#REF!</v>
      </c>
      <c r="GC6" t="e">
        <f>AND(#REF!,"AAAAAGCXr7g=")</f>
        <v>#REF!</v>
      </c>
      <c r="GD6" t="e">
        <f>AND(#REF!,"AAAAAGCXr7k=")</f>
        <v>#REF!</v>
      </c>
      <c r="GE6" t="e">
        <f>IF(#REF!,"AAAAAGCXr7o=",0)</f>
        <v>#REF!</v>
      </c>
      <c r="GF6" t="e">
        <f>AND(#REF!,"AAAAAGCXr7s=")</f>
        <v>#REF!</v>
      </c>
      <c r="GG6" t="e">
        <f>AND(#REF!,"AAAAAGCXr7w=")</f>
        <v>#REF!</v>
      </c>
      <c r="GH6" t="e">
        <f>AND(#REF!,"AAAAAGCXr70=")</f>
        <v>#REF!</v>
      </c>
      <c r="GI6" t="e">
        <f>AND(#REF!,"AAAAAGCXr74=")</f>
        <v>#REF!</v>
      </c>
      <c r="GJ6" t="e">
        <f>IF(#REF!,"AAAAAGCXr78=",0)</f>
        <v>#REF!</v>
      </c>
      <c r="GK6" t="e">
        <f>AND(#REF!,"AAAAAGCXr8A=")</f>
        <v>#REF!</v>
      </c>
      <c r="GL6" t="e">
        <f>AND(#REF!,"AAAAAGCXr8E=")</f>
        <v>#REF!</v>
      </c>
      <c r="GM6" t="e">
        <f>AND(#REF!,"AAAAAGCXr8I=")</f>
        <v>#REF!</v>
      </c>
      <c r="GN6" t="e">
        <f>AND(#REF!,"AAAAAGCXr8M=")</f>
        <v>#REF!</v>
      </c>
      <c r="GO6" t="e">
        <f>IF(#REF!,"AAAAAGCXr8Q=",0)</f>
        <v>#REF!</v>
      </c>
      <c r="GP6" t="e">
        <f>AND(#REF!,"AAAAAGCXr8U=")</f>
        <v>#REF!</v>
      </c>
      <c r="GQ6" t="e">
        <f>AND(#REF!,"AAAAAGCXr8Y=")</f>
        <v>#REF!</v>
      </c>
      <c r="GR6" t="e">
        <f>AND(#REF!,"AAAAAGCXr8c=")</f>
        <v>#REF!</v>
      </c>
      <c r="GS6" t="e">
        <f>AND(#REF!,"AAAAAGCXr8g=")</f>
        <v>#REF!</v>
      </c>
      <c r="GT6" t="e">
        <f>IF(#REF!,"AAAAAGCXr8k=",0)</f>
        <v>#REF!</v>
      </c>
      <c r="GU6" t="e">
        <f>IF(#REF!,"AAAAAGCXr8o=",0)</f>
        <v>#REF!</v>
      </c>
      <c r="GV6" t="e">
        <f>IF(#REF!,"AAAAAGCXr8s=",0)</f>
        <v>#REF!</v>
      </c>
      <c r="GW6" t="e">
        <f>IF(#REF!,"AAAAAGCXr8w=",0)</f>
        <v>#REF!</v>
      </c>
    </row>
    <row r="7" spans="1:256">
      <c r="A7" t="e">
        <f>IF(Sheet10!1:1,"AAAAAH77/QA=",0)</f>
        <v>#VALUE!</v>
      </c>
      <c r="B7" t="e">
        <f>AND(Sheet10!A1,"AAAAAH77/QE=")</f>
        <v>#VALUE!</v>
      </c>
      <c r="C7" t="e">
        <f>AND(Sheet10!B1,"AAAAAH77/QI=")</f>
        <v>#VALUE!</v>
      </c>
      <c r="D7" t="e">
        <f>AND(Sheet10!C1,"AAAAAH77/QM=")</f>
        <v>#VALUE!</v>
      </c>
      <c r="E7" t="e">
        <f>AND(Sheet10!D1,"AAAAAH77/QQ=")</f>
        <v>#VALUE!</v>
      </c>
      <c r="F7" t="e">
        <f>AND(Sheet10!E1,"AAAAAH77/QU=")</f>
        <v>#VALUE!</v>
      </c>
      <c r="G7" t="e">
        <f>AND(Sheet10!F1,"AAAAAH77/QY=")</f>
        <v>#VALUE!</v>
      </c>
      <c r="H7" t="e">
        <f>AND(Sheet10!G1,"AAAAAH77/Qc=")</f>
        <v>#VALUE!</v>
      </c>
      <c r="I7">
        <f>IF(Sheet10!2:2,"AAAAAH77/Qg=",0)</f>
        <v>0</v>
      </c>
      <c r="J7" t="e">
        <f>AND(Sheet10!A2,"AAAAAH77/Qk=")</f>
        <v>#VALUE!</v>
      </c>
      <c r="K7" t="e">
        <f>AND(Sheet10!B2,"AAAAAH77/Qo=")</f>
        <v>#VALUE!</v>
      </c>
      <c r="L7" t="e">
        <f>AND(Sheet10!C2,"AAAAAH77/Qs=")</f>
        <v>#VALUE!</v>
      </c>
      <c r="M7" t="e">
        <f>AND(Sheet10!D2,"AAAAAH77/Qw=")</f>
        <v>#VALUE!</v>
      </c>
      <c r="N7" t="e">
        <f>AND(Sheet10!E2,"AAAAAH77/Q0=")</f>
        <v>#VALUE!</v>
      </c>
      <c r="O7" t="e">
        <f>AND(Sheet10!F2,"AAAAAH77/Q4=")</f>
        <v>#VALUE!</v>
      </c>
      <c r="P7" t="e">
        <f>AND(Sheet10!G2,"AAAAAH77/Q8=")</f>
        <v>#VALUE!</v>
      </c>
      <c r="Q7">
        <f>IF(Sheet10!3:3,"AAAAAH77/RA=",0)</f>
        <v>0</v>
      </c>
      <c r="R7" t="e">
        <f>AND(Sheet10!A3,"AAAAAH77/RE=")</f>
        <v>#VALUE!</v>
      </c>
      <c r="S7" t="e">
        <f>AND(Sheet10!B3,"AAAAAH77/RI=")</f>
        <v>#VALUE!</v>
      </c>
      <c r="T7" t="e">
        <f>AND(Sheet10!C3,"AAAAAH77/RM=")</f>
        <v>#VALUE!</v>
      </c>
      <c r="U7" t="e">
        <f>AND(Sheet10!D3,"AAAAAH77/RQ=")</f>
        <v>#VALUE!</v>
      </c>
      <c r="V7" t="e">
        <f>AND(Sheet10!E3,"AAAAAH77/RU=")</f>
        <v>#VALUE!</v>
      </c>
      <c r="W7" t="e">
        <f>AND(Sheet10!F3,"AAAAAH77/RY=")</f>
        <v>#VALUE!</v>
      </c>
      <c r="X7" t="e">
        <f>AND(Sheet10!G3,"AAAAAH77/Rc=")</f>
        <v>#VALUE!</v>
      </c>
      <c r="Y7">
        <f>IF(Sheet10!4:4,"AAAAAH77/Rg=",0)</f>
        <v>0</v>
      </c>
      <c r="Z7" t="e">
        <f>AND(Sheet10!A4,"AAAAAH77/Rk=")</f>
        <v>#VALUE!</v>
      </c>
      <c r="AA7" t="e">
        <f>AND(Sheet10!B4,"AAAAAH77/Ro=")</f>
        <v>#VALUE!</v>
      </c>
      <c r="AB7" t="e">
        <f>AND(Sheet10!C4,"AAAAAH77/Rs=")</f>
        <v>#VALUE!</v>
      </c>
      <c r="AC7" t="e">
        <f>AND(Sheet10!D4,"AAAAAH77/Rw=")</f>
        <v>#VALUE!</v>
      </c>
      <c r="AD7" t="e">
        <f>AND(Sheet10!E4,"AAAAAH77/R0=")</f>
        <v>#VALUE!</v>
      </c>
      <c r="AE7" t="e">
        <f>AND(Sheet10!F4,"AAAAAH77/R4=")</f>
        <v>#VALUE!</v>
      </c>
      <c r="AF7" t="e">
        <f>AND(Sheet10!G4,"AAAAAH77/R8=")</f>
        <v>#VALUE!</v>
      </c>
      <c r="AG7">
        <f>IF(Sheet10!5:5,"AAAAAH77/SA=",0)</f>
        <v>0</v>
      </c>
      <c r="AH7" t="e">
        <f>AND(Sheet10!A5,"AAAAAH77/SE=")</f>
        <v>#VALUE!</v>
      </c>
      <c r="AI7" t="e">
        <f>AND(Sheet10!B5,"AAAAAH77/SI=")</f>
        <v>#VALUE!</v>
      </c>
      <c r="AJ7" t="e">
        <f>AND(Sheet10!C5,"AAAAAH77/SM=")</f>
        <v>#VALUE!</v>
      </c>
      <c r="AK7" t="e">
        <f>AND(Sheet10!D5,"AAAAAH77/SQ=")</f>
        <v>#VALUE!</v>
      </c>
      <c r="AL7" t="e">
        <f>AND(Sheet10!E5,"AAAAAH77/SU=")</f>
        <v>#VALUE!</v>
      </c>
      <c r="AM7" t="e">
        <f>AND(Sheet10!F5,"AAAAAH77/SY=")</f>
        <v>#VALUE!</v>
      </c>
      <c r="AN7" t="e">
        <f>AND(Sheet10!G5,"AAAAAH77/Sc=")</f>
        <v>#VALUE!</v>
      </c>
      <c r="AO7">
        <f>IF(Sheet10!6:6,"AAAAAH77/Sg=",0)</f>
        <v>0</v>
      </c>
      <c r="AP7" t="e">
        <f>AND(Sheet10!A6,"AAAAAH77/Sk=")</f>
        <v>#VALUE!</v>
      </c>
      <c r="AQ7" t="e">
        <f>AND(Sheet10!B6,"AAAAAH77/So=")</f>
        <v>#VALUE!</v>
      </c>
      <c r="AR7" t="e">
        <f>AND(Sheet10!C6,"AAAAAH77/Ss=")</f>
        <v>#VALUE!</v>
      </c>
      <c r="AS7" t="e">
        <f>AND(Sheet10!D6,"AAAAAH77/Sw=")</f>
        <v>#VALUE!</v>
      </c>
      <c r="AT7" t="e">
        <f>AND(Sheet10!E6,"AAAAAH77/S0=")</f>
        <v>#VALUE!</v>
      </c>
      <c r="AU7" t="e">
        <f>AND(Sheet10!F6,"AAAAAH77/S4=")</f>
        <v>#VALUE!</v>
      </c>
      <c r="AV7" t="e">
        <f>AND(Sheet10!G6,"AAAAAH77/S8=")</f>
        <v>#VALUE!</v>
      </c>
      <c r="AW7">
        <f>IF(Sheet10!7:7,"AAAAAH77/TA=",0)</f>
        <v>0</v>
      </c>
      <c r="AX7" t="e">
        <f>AND(Sheet10!A7,"AAAAAH77/TE=")</f>
        <v>#VALUE!</v>
      </c>
      <c r="AY7" t="e">
        <f>AND(Sheet10!B7,"AAAAAH77/TI=")</f>
        <v>#VALUE!</v>
      </c>
      <c r="AZ7" t="e">
        <f>AND(Sheet10!C7,"AAAAAH77/TM=")</f>
        <v>#VALUE!</v>
      </c>
      <c r="BA7" t="e">
        <f>AND(Sheet10!D7,"AAAAAH77/TQ=")</f>
        <v>#VALUE!</v>
      </c>
      <c r="BB7" t="e">
        <f>AND(Sheet10!E7,"AAAAAH77/TU=")</f>
        <v>#VALUE!</v>
      </c>
      <c r="BC7" t="e">
        <f>AND(Sheet10!F7,"AAAAAH77/TY=")</f>
        <v>#VALUE!</v>
      </c>
      <c r="BD7" t="e">
        <f>AND(Sheet10!G7,"AAAAAH77/Tc=")</f>
        <v>#VALUE!</v>
      </c>
      <c r="BE7">
        <f>IF(Sheet10!8:8,"AAAAAH77/Tg=",0)</f>
        <v>0</v>
      </c>
      <c r="BF7" t="e">
        <f>AND(Sheet10!A8,"AAAAAH77/Tk=")</f>
        <v>#VALUE!</v>
      </c>
      <c r="BG7" t="e">
        <f>AND(Sheet10!B8,"AAAAAH77/To=")</f>
        <v>#VALUE!</v>
      </c>
      <c r="BH7" t="e">
        <f>AND(Sheet10!C8,"AAAAAH77/Ts=")</f>
        <v>#VALUE!</v>
      </c>
      <c r="BI7" t="e">
        <f>AND(Sheet10!D8,"AAAAAH77/Tw=")</f>
        <v>#VALUE!</v>
      </c>
      <c r="BJ7" t="e">
        <f>AND(Sheet10!E8,"AAAAAH77/T0=")</f>
        <v>#VALUE!</v>
      </c>
      <c r="BK7" t="e">
        <f>AND(Sheet10!F8,"AAAAAH77/T4=")</f>
        <v>#VALUE!</v>
      </c>
      <c r="BL7" t="e">
        <f>AND(Sheet10!G8,"AAAAAH77/T8=")</f>
        <v>#VALUE!</v>
      </c>
      <c r="BM7">
        <f>IF(Sheet10!9:9,"AAAAAH77/UA=",0)</f>
        <v>0</v>
      </c>
      <c r="BN7" t="e">
        <f>AND(Sheet10!A9,"AAAAAH77/UE=")</f>
        <v>#VALUE!</v>
      </c>
      <c r="BO7" t="e">
        <f>AND(Sheet10!B9,"AAAAAH77/UI=")</f>
        <v>#VALUE!</v>
      </c>
      <c r="BP7" t="e">
        <f>AND(Sheet10!C9,"AAAAAH77/UM=")</f>
        <v>#VALUE!</v>
      </c>
      <c r="BQ7" t="e">
        <f>AND(Sheet10!D9,"AAAAAH77/UQ=")</f>
        <v>#VALUE!</v>
      </c>
      <c r="BR7" t="e">
        <f>AND(Sheet10!E9,"AAAAAH77/UU=")</f>
        <v>#VALUE!</v>
      </c>
      <c r="BS7" t="e">
        <f>AND(Sheet10!F9,"AAAAAH77/UY=")</f>
        <v>#VALUE!</v>
      </c>
      <c r="BT7" t="e">
        <f>AND(Sheet10!G9,"AAAAAH77/Uc=")</f>
        <v>#VALUE!</v>
      </c>
      <c r="BU7">
        <f>IF(Sheet10!10:10,"AAAAAH77/Ug=",0)</f>
        <v>0</v>
      </c>
      <c r="BV7" t="e">
        <f>AND(Sheet10!A10,"AAAAAH77/Uk=")</f>
        <v>#VALUE!</v>
      </c>
      <c r="BW7" t="e">
        <f>AND(Sheet10!B10,"AAAAAH77/Uo=")</f>
        <v>#VALUE!</v>
      </c>
      <c r="BX7" t="e">
        <f>AND(Sheet10!C10,"AAAAAH77/Us=")</f>
        <v>#VALUE!</v>
      </c>
      <c r="BY7" t="e">
        <f>AND(Sheet10!D10,"AAAAAH77/Uw=")</f>
        <v>#VALUE!</v>
      </c>
      <c r="BZ7" t="e">
        <f>AND(Sheet10!E10,"AAAAAH77/U0=")</f>
        <v>#VALUE!</v>
      </c>
      <c r="CA7" t="e">
        <f>AND(Sheet10!F10,"AAAAAH77/U4=")</f>
        <v>#VALUE!</v>
      </c>
      <c r="CB7" t="e">
        <f>AND(Sheet10!G10,"AAAAAH77/U8=")</f>
        <v>#VALUE!</v>
      </c>
      <c r="CC7">
        <f>IF(Sheet10!11:11,"AAAAAH77/VA=",0)</f>
        <v>0</v>
      </c>
      <c r="CD7" t="e">
        <f>AND(Sheet10!A11,"AAAAAH77/VE=")</f>
        <v>#VALUE!</v>
      </c>
      <c r="CE7" t="e">
        <f>AND(Sheet10!B11,"AAAAAH77/VI=")</f>
        <v>#VALUE!</v>
      </c>
      <c r="CF7" t="e">
        <f>AND(Sheet10!C11,"AAAAAH77/VM=")</f>
        <v>#VALUE!</v>
      </c>
      <c r="CG7" t="e">
        <f>AND(Sheet10!D11,"AAAAAH77/VQ=")</f>
        <v>#VALUE!</v>
      </c>
      <c r="CH7" t="e">
        <f>AND(Sheet10!E11,"AAAAAH77/VU=")</f>
        <v>#VALUE!</v>
      </c>
      <c r="CI7" t="e">
        <f>AND(Sheet10!F11,"AAAAAH77/VY=")</f>
        <v>#VALUE!</v>
      </c>
      <c r="CJ7" t="e">
        <f>AND(Sheet10!G11,"AAAAAH77/Vc=")</f>
        <v>#VALUE!</v>
      </c>
      <c r="CK7">
        <f>IF(Sheet10!12:12,"AAAAAH77/Vg=",0)</f>
        <v>0</v>
      </c>
      <c r="CL7" t="e">
        <f>AND(Sheet10!A12,"AAAAAH77/Vk=")</f>
        <v>#VALUE!</v>
      </c>
      <c r="CM7" t="e">
        <f>AND(Sheet10!B12,"AAAAAH77/Vo=")</f>
        <v>#VALUE!</v>
      </c>
      <c r="CN7" t="e">
        <f>AND(Sheet10!C12,"AAAAAH77/Vs=")</f>
        <v>#VALUE!</v>
      </c>
      <c r="CO7" t="e">
        <f>AND(Sheet10!D12,"AAAAAH77/Vw=")</f>
        <v>#VALUE!</v>
      </c>
      <c r="CP7" t="e">
        <f>AND(Sheet10!E12,"AAAAAH77/V0=")</f>
        <v>#VALUE!</v>
      </c>
      <c r="CQ7" t="e">
        <f>AND(Sheet10!F12,"AAAAAH77/V4=")</f>
        <v>#VALUE!</v>
      </c>
      <c r="CR7" t="e">
        <f>AND(Sheet10!G12,"AAAAAH77/V8=")</f>
        <v>#VALUE!</v>
      </c>
      <c r="CS7">
        <f>IF(Sheet10!13:13,"AAAAAH77/WA=",0)</f>
        <v>0</v>
      </c>
      <c r="CT7" t="e">
        <f>AND(Sheet10!A13,"AAAAAH77/WE=")</f>
        <v>#VALUE!</v>
      </c>
      <c r="CU7" t="e">
        <f>AND(Sheet10!B13,"AAAAAH77/WI=")</f>
        <v>#VALUE!</v>
      </c>
      <c r="CV7" t="e">
        <f>AND(Sheet10!C13,"AAAAAH77/WM=")</f>
        <v>#VALUE!</v>
      </c>
      <c r="CW7">
        <f>IF(Sheet10!14:14,"AAAAAH77/WQ=",0)</f>
        <v>0</v>
      </c>
      <c r="CX7" t="e">
        <f>AND(Sheet10!A14,"AAAAAH77/WU=")</f>
        <v>#VALUE!</v>
      </c>
      <c r="CY7" t="e">
        <f>AND(Sheet10!B14,"AAAAAH77/WY=")</f>
        <v>#VALUE!</v>
      </c>
      <c r="CZ7" t="e">
        <f>AND(Sheet10!C14,"AAAAAH77/Wc=")</f>
        <v>#VALUE!</v>
      </c>
      <c r="DA7">
        <f>IF(Sheet10!A:A,"AAAAAH77/Wg=",0)</f>
        <v>0</v>
      </c>
      <c r="DB7">
        <f>IF(Sheet10!B:B,"AAAAAH77/Wk=",0)</f>
        <v>0</v>
      </c>
      <c r="DC7">
        <f>IF(Sheet10!C:C,"AAAAAH77/Wo=",0)</f>
        <v>0</v>
      </c>
      <c r="DD7">
        <f>IF(Sheet10!D:D,"AAAAAH77/Ws=",0)</f>
        <v>0</v>
      </c>
      <c r="DE7">
        <f>IF(Sheet10!E:E,"AAAAAH77/Ww=",0)</f>
        <v>0</v>
      </c>
      <c r="DF7">
        <f>IF(Sheet10!F:F,"AAAAAH77/W0=",0)</f>
        <v>0</v>
      </c>
      <c r="DG7">
        <f>IF(Sheet10!G:G,"AAAAAH77/W4=",0)</f>
        <v>0</v>
      </c>
      <c r="DH7">
        <f>IF(Sheet11!1:1,"AAAAAH77/W8=",0)</f>
        <v>0</v>
      </c>
      <c r="DI7" t="e">
        <f>AND(Sheet11!A1,"AAAAAH77/XA=")</f>
        <v>#VALUE!</v>
      </c>
      <c r="DJ7" t="e">
        <f>AND(Sheet11!B1,"AAAAAH77/XE=")</f>
        <v>#VALUE!</v>
      </c>
      <c r="DK7" t="e">
        <f>AND(Sheet11!C1,"AAAAAH77/XI=")</f>
        <v>#VALUE!</v>
      </c>
      <c r="DL7" t="e">
        <f>AND(Sheet11!D1,"AAAAAH77/XM=")</f>
        <v>#VALUE!</v>
      </c>
      <c r="DM7">
        <f>IF(Sheet11!2:2,"AAAAAH77/XQ=",0)</f>
        <v>0</v>
      </c>
      <c r="DN7" t="e">
        <f>AND(Sheet11!A2,"AAAAAH77/XU=")</f>
        <v>#VALUE!</v>
      </c>
      <c r="DO7" t="e">
        <f>AND(Sheet11!B2,"AAAAAH77/XY=")</f>
        <v>#VALUE!</v>
      </c>
      <c r="DP7" t="e">
        <f>AND(Sheet11!C2,"AAAAAH77/Xc=")</f>
        <v>#VALUE!</v>
      </c>
      <c r="DQ7" t="e">
        <f>AND(Sheet11!D2,"AAAAAH77/Xg=")</f>
        <v>#VALUE!</v>
      </c>
      <c r="DR7">
        <f>IF(Sheet11!3:3,"AAAAAH77/Xk=",0)</f>
        <v>0</v>
      </c>
      <c r="DS7" t="e">
        <f>AND(Sheet11!A3,"AAAAAH77/Xo=")</f>
        <v>#VALUE!</v>
      </c>
      <c r="DT7" t="e">
        <f>AND(Sheet11!B3,"AAAAAH77/Xs=")</f>
        <v>#VALUE!</v>
      </c>
      <c r="DU7" t="e">
        <f>AND(Sheet11!C3,"AAAAAH77/Xw=")</f>
        <v>#VALUE!</v>
      </c>
      <c r="DV7" t="e">
        <f>AND(Sheet11!D3,"AAAAAH77/X0=")</f>
        <v>#VALUE!</v>
      </c>
      <c r="DW7">
        <f>IF(Sheet11!4:4,"AAAAAH77/X4=",0)</f>
        <v>0</v>
      </c>
      <c r="DX7" t="e">
        <f>AND(Sheet11!A4,"AAAAAH77/X8=")</f>
        <v>#VALUE!</v>
      </c>
      <c r="DY7" t="e">
        <f>AND(Sheet11!B4,"AAAAAH77/YA=")</f>
        <v>#VALUE!</v>
      </c>
      <c r="DZ7" t="e">
        <f>AND(Sheet11!C4,"AAAAAH77/YE=")</f>
        <v>#VALUE!</v>
      </c>
      <c r="EA7" t="e">
        <f>AND(Sheet11!D4,"AAAAAH77/YI=")</f>
        <v>#VALUE!</v>
      </c>
      <c r="EB7">
        <f>IF(Sheet11!5:5,"AAAAAH77/YM=",0)</f>
        <v>0</v>
      </c>
      <c r="EC7" t="e">
        <f>AND(Sheet11!A5,"AAAAAH77/YQ=")</f>
        <v>#VALUE!</v>
      </c>
      <c r="ED7" t="e">
        <f>AND(Sheet11!B5,"AAAAAH77/YU=")</f>
        <v>#VALUE!</v>
      </c>
      <c r="EE7" t="e">
        <f>AND(Sheet11!C5,"AAAAAH77/YY=")</f>
        <v>#VALUE!</v>
      </c>
      <c r="EF7" t="e">
        <f>AND(Sheet11!D5,"AAAAAH77/Yc=")</f>
        <v>#VALUE!</v>
      </c>
      <c r="EG7">
        <f>IF(Sheet11!6:6,"AAAAAH77/Yg=",0)</f>
        <v>0</v>
      </c>
      <c r="EH7" t="e">
        <f>AND(Sheet11!A6,"AAAAAH77/Yk=")</f>
        <v>#VALUE!</v>
      </c>
      <c r="EI7" t="e">
        <f>AND(Sheet11!B6,"AAAAAH77/Yo=")</f>
        <v>#VALUE!</v>
      </c>
      <c r="EJ7" t="e">
        <f>AND(Sheet11!C6,"AAAAAH77/Ys=")</f>
        <v>#VALUE!</v>
      </c>
      <c r="EK7" t="e">
        <f>AND(Sheet11!D6,"AAAAAH77/Yw=")</f>
        <v>#VALUE!</v>
      </c>
      <c r="EL7">
        <f>IF(Sheet11!7:7,"AAAAAH77/Y0=",0)</f>
        <v>0</v>
      </c>
      <c r="EM7" t="e">
        <f>AND(Sheet11!A7,"AAAAAH77/Y4=")</f>
        <v>#VALUE!</v>
      </c>
      <c r="EN7" t="e">
        <f>AND(Sheet11!B7,"AAAAAH77/Y8=")</f>
        <v>#VALUE!</v>
      </c>
      <c r="EO7" t="e">
        <f>AND(Sheet11!C7,"AAAAAH77/ZA=")</f>
        <v>#VALUE!</v>
      </c>
      <c r="EP7" t="e">
        <f>AND(Sheet11!D7,"AAAAAH77/ZE=")</f>
        <v>#VALUE!</v>
      </c>
      <c r="EQ7">
        <f>IF(Sheet11!8:8,"AAAAAH77/ZI=",0)</f>
        <v>0</v>
      </c>
      <c r="ER7" t="e">
        <f>AND(Sheet11!A8,"AAAAAH77/ZM=")</f>
        <v>#VALUE!</v>
      </c>
      <c r="ES7" t="e">
        <f>AND(Sheet11!B8,"AAAAAH77/ZQ=")</f>
        <v>#VALUE!</v>
      </c>
      <c r="ET7" t="e">
        <f>AND(Sheet11!C8,"AAAAAH77/ZU=")</f>
        <v>#VALUE!</v>
      </c>
      <c r="EU7" t="e">
        <f>AND(Sheet11!D8,"AAAAAH77/ZY=")</f>
        <v>#VALUE!</v>
      </c>
      <c r="EV7">
        <f>IF(Sheet11!9:9,"AAAAAH77/Zc=",0)</f>
        <v>0</v>
      </c>
      <c r="EW7" t="e">
        <f>AND(Sheet11!A9,"AAAAAH77/Zg=")</f>
        <v>#VALUE!</v>
      </c>
      <c r="EX7" t="e">
        <f>AND(Sheet11!B9,"AAAAAH77/Zk=")</f>
        <v>#VALUE!</v>
      </c>
      <c r="EY7" t="e">
        <f>AND(Sheet11!C9,"AAAAAH77/Zo=")</f>
        <v>#VALUE!</v>
      </c>
      <c r="EZ7" t="e">
        <f>AND(Sheet11!D9,"AAAAAH77/Zs=")</f>
        <v>#VALUE!</v>
      </c>
      <c r="FA7">
        <f>IF(Sheet11!10:10,"AAAAAH77/Zw=",0)</f>
        <v>0</v>
      </c>
      <c r="FB7" t="e">
        <f>AND(Sheet11!A10,"AAAAAH77/Z0=")</f>
        <v>#VALUE!</v>
      </c>
      <c r="FC7" t="e">
        <f>AND(Sheet11!B10,"AAAAAH77/Z4=")</f>
        <v>#VALUE!</v>
      </c>
      <c r="FD7" t="e">
        <f>AND(Sheet11!C10,"AAAAAH77/Z8=")</f>
        <v>#VALUE!</v>
      </c>
      <c r="FE7" t="e">
        <f>AND(Sheet11!D10,"AAAAAH77/aA=")</f>
        <v>#VALUE!</v>
      </c>
      <c r="FF7">
        <f>IF(Sheet11!11:11,"AAAAAH77/aE=",0)</f>
        <v>0</v>
      </c>
      <c r="FG7" t="e">
        <f>AND(Sheet11!A11,"AAAAAH77/aI=")</f>
        <v>#VALUE!</v>
      </c>
      <c r="FH7" t="e">
        <f>AND(Sheet11!B11,"AAAAAH77/aM=")</f>
        <v>#VALUE!</v>
      </c>
      <c r="FI7" t="e">
        <f>AND(Sheet11!C11,"AAAAAH77/aQ=")</f>
        <v>#VALUE!</v>
      </c>
      <c r="FJ7" t="e">
        <f>AND(Sheet11!D11,"AAAAAH77/aU=")</f>
        <v>#VALUE!</v>
      </c>
      <c r="FK7">
        <f>IF(Sheet11!12:12,"AAAAAH77/aY=",0)</f>
        <v>0</v>
      </c>
      <c r="FL7" t="e">
        <f>AND(Sheet11!A12,"AAAAAH77/ac=")</f>
        <v>#VALUE!</v>
      </c>
      <c r="FM7" t="e">
        <f>AND(Sheet11!B12,"AAAAAH77/ag=")</f>
        <v>#VALUE!</v>
      </c>
      <c r="FN7" t="e">
        <f>AND(Sheet11!C12,"AAAAAH77/ak=")</f>
        <v>#VALUE!</v>
      </c>
      <c r="FO7" t="e">
        <f>AND(Sheet11!D12,"AAAAAH77/ao=")</f>
        <v>#VALUE!</v>
      </c>
      <c r="FP7">
        <f>IF(Sheet11!13:13,"AAAAAH77/as=",0)</f>
        <v>0</v>
      </c>
      <c r="FQ7" t="e">
        <f>AND(Sheet11!A13,"AAAAAH77/aw=")</f>
        <v>#VALUE!</v>
      </c>
      <c r="FR7" t="e">
        <f>AND(Sheet11!B13,"AAAAAH77/a0=")</f>
        <v>#VALUE!</v>
      </c>
      <c r="FS7" t="e">
        <f>AND(Sheet11!C13,"AAAAAH77/a4=")</f>
        <v>#VALUE!</v>
      </c>
      <c r="FT7" t="e">
        <f>AND(Sheet11!D13,"AAAAAH77/a8=")</f>
        <v>#VALUE!</v>
      </c>
      <c r="FU7">
        <f>IF(Sheet11!14:14,"AAAAAH77/bA=",0)</f>
        <v>0</v>
      </c>
      <c r="FV7" t="e">
        <f>AND(Sheet11!A14,"AAAAAH77/bE=")</f>
        <v>#VALUE!</v>
      </c>
      <c r="FW7" t="e">
        <f>AND(Sheet11!B14,"AAAAAH77/bI=")</f>
        <v>#VALUE!</v>
      </c>
      <c r="FX7" t="e">
        <f>AND(Sheet11!C14,"AAAAAH77/bM=")</f>
        <v>#VALUE!</v>
      </c>
      <c r="FY7" t="e">
        <f>AND(Sheet11!D14,"AAAAAH77/bQ=")</f>
        <v>#VALUE!</v>
      </c>
      <c r="FZ7">
        <f>IF(Sheet11!15:15,"AAAAAH77/bU=",0)</f>
        <v>0</v>
      </c>
      <c r="GA7" t="e">
        <f>AND(Sheet11!A15,"AAAAAH77/bY=")</f>
        <v>#VALUE!</v>
      </c>
      <c r="GB7" t="e">
        <f>AND(Sheet11!B15,"AAAAAH77/bc=")</f>
        <v>#VALUE!</v>
      </c>
      <c r="GC7" t="e">
        <f>AND(Sheet11!C15,"AAAAAH77/bg=")</f>
        <v>#VALUE!</v>
      </c>
      <c r="GD7" t="e">
        <f>AND(Sheet11!D15,"AAAAAH77/bk=")</f>
        <v>#VALUE!</v>
      </c>
      <c r="GE7">
        <f>IF(Sheet11!16:16,"AAAAAH77/bo=",0)</f>
        <v>0</v>
      </c>
      <c r="GF7" t="e">
        <f>AND(Sheet11!A16,"AAAAAH77/bs=")</f>
        <v>#VALUE!</v>
      </c>
      <c r="GG7" t="e">
        <f>AND(Sheet11!B16,"AAAAAH77/bw=")</f>
        <v>#VALUE!</v>
      </c>
      <c r="GH7" t="e">
        <f>AND(Sheet11!C16,"AAAAAH77/b0=")</f>
        <v>#VALUE!</v>
      </c>
      <c r="GI7" t="e">
        <f>AND(Sheet11!D16,"AAAAAH77/b4=")</f>
        <v>#VALUE!</v>
      </c>
      <c r="GJ7">
        <f>IF(Sheet11!17:17,"AAAAAH77/b8=",0)</f>
        <v>0</v>
      </c>
      <c r="GK7" t="e">
        <f>AND(Sheet11!A17,"AAAAAH77/cA=")</f>
        <v>#VALUE!</v>
      </c>
      <c r="GL7" t="e">
        <f>AND(Sheet11!B17,"AAAAAH77/cE=")</f>
        <v>#VALUE!</v>
      </c>
      <c r="GM7" t="e">
        <f>AND(Sheet11!C17,"AAAAAH77/cI=")</f>
        <v>#VALUE!</v>
      </c>
      <c r="GN7" t="e">
        <f>AND(Sheet11!D17,"AAAAAH77/cM=")</f>
        <v>#VALUE!</v>
      </c>
      <c r="GO7">
        <f>IF(Sheet11!18:18,"AAAAAH77/cQ=",0)</f>
        <v>0</v>
      </c>
      <c r="GP7" t="e">
        <f>AND(Sheet11!A18,"AAAAAH77/cU=")</f>
        <v>#VALUE!</v>
      </c>
      <c r="GQ7" t="e">
        <f>AND(Sheet11!B18,"AAAAAH77/cY=")</f>
        <v>#VALUE!</v>
      </c>
      <c r="GR7" t="e">
        <f>AND(Sheet11!C18,"AAAAAH77/cc=")</f>
        <v>#VALUE!</v>
      </c>
      <c r="GS7" t="e">
        <f>AND(Sheet11!D18,"AAAAAH77/cg=")</f>
        <v>#VALUE!</v>
      </c>
      <c r="GT7" t="e">
        <f>IF(Sheet11!A:A,"AAAAAH77/ck=",0)</f>
        <v>#VALUE!</v>
      </c>
      <c r="GU7" t="str">
        <f>IF(Sheet11!B:B,"AAAAAH77/co=",0)</f>
        <v>AAAAAH77/co=</v>
      </c>
      <c r="GV7" t="e">
        <f>IF(Sheet11!C:C,"AAAAAH77/cs=",0)</f>
        <v>#VALUE!</v>
      </c>
      <c r="GW7" t="str">
        <f>IF(Sheet11!D:D,"AAAAAH77/cw=",0)</f>
        <v>AAAAAH77/cw=</v>
      </c>
      <c r="GX7">
        <f>IF(Sheet13!1:1,"AAAAAH77/c0=",0)</f>
        <v>0</v>
      </c>
      <c r="GY7" t="e">
        <f>AND(Sheet13!A1,"AAAAAH77/c4=")</f>
        <v>#VALUE!</v>
      </c>
      <c r="GZ7" t="e">
        <f>AND(Sheet13!B1,"AAAAAH77/c8=")</f>
        <v>#VALUE!</v>
      </c>
      <c r="HA7" t="e">
        <f>AND(Sheet13!C1,"AAAAAH77/dA=")</f>
        <v>#VALUE!</v>
      </c>
      <c r="HB7" t="e">
        <f>AND(Sheet13!D1,"AAAAAH77/dE=")</f>
        <v>#VALUE!</v>
      </c>
      <c r="HC7">
        <f>IF(Sheet13!2:2,"AAAAAH77/dI=",0)</f>
        <v>0</v>
      </c>
      <c r="HD7" t="e">
        <f>AND(Sheet13!A2,"AAAAAH77/dM=")</f>
        <v>#VALUE!</v>
      </c>
      <c r="HE7" t="e">
        <f>AND(Sheet13!B2,"AAAAAH77/dQ=")</f>
        <v>#VALUE!</v>
      </c>
      <c r="HF7" t="e">
        <f>AND(Sheet13!C2,"AAAAAH77/dU=")</f>
        <v>#VALUE!</v>
      </c>
      <c r="HG7" t="e">
        <f>AND(Sheet13!D2,"AAAAAH77/dY=")</f>
        <v>#VALUE!</v>
      </c>
      <c r="HH7">
        <f>IF(Sheet13!3:3,"AAAAAH77/dc=",0)</f>
        <v>0</v>
      </c>
      <c r="HI7" t="e">
        <f>AND(Sheet13!A3,"AAAAAH77/dg=")</f>
        <v>#VALUE!</v>
      </c>
      <c r="HJ7" t="e">
        <f>AND(Sheet13!B3,"AAAAAH77/dk=")</f>
        <v>#VALUE!</v>
      </c>
      <c r="HK7" t="e">
        <f>AND(Sheet13!C3,"AAAAAH77/do=")</f>
        <v>#VALUE!</v>
      </c>
      <c r="HL7" t="e">
        <f>AND(Sheet13!D3,"AAAAAH77/ds=")</f>
        <v>#VALUE!</v>
      </c>
      <c r="HM7">
        <f>IF(Sheet13!4:4,"AAAAAH77/dw=",0)</f>
        <v>0</v>
      </c>
      <c r="HN7" t="e">
        <f>AND(Sheet13!A4,"AAAAAH77/d0=")</f>
        <v>#VALUE!</v>
      </c>
      <c r="HO7" t="e">
        <f>AND(Sheet13!B4,"AAAAAH77/d4=")</f>
        <v>#VALUE!</v>
      </c>
      <c r="HP7" t="e">
        <f>AND(Sheet13!C4,"AAAAAH77/d8=")</f>
        <v>#VALUE!</v>
      </c>
      <c r="HQ7" t="e">
        <f>AND(Sheet13!D4,"AAAAAH77/eA=")</f>
        <v>#VALUE!</v>
      </c>
      <c r="HR7">
        <f>IF(Sheet13!5:5,"AAAAAH77/eE=",0)</f>
        <v>0</v>
      </c>
      <c r="HS7" t="e">
        <f>AND(Sheet13!A5,"AAAAAH77/eI=")</f>
        <v>#VALUE!</v>
      </c>
      <c r="HT7" t="e">
        <f>AND(Sheet13!B5,"AAAAAH77/eM=")</f>
        <v>#VALUE!</v>
      </c>
      <c r="HU7" t="e">
        <f>AND(Sheet13!C5,"AAAAAH77/eQ=")</f>
        <v>#VALUE!</v>
      </c>
      <c r="HV7" t="e">
        <f>AND(Sheet13!D5,"AAAAAH77/eU=")</f>
        <v>#VALUE!</v>
      </c>
      <c r="HW7">
        <f>IF(Sheet13!6:6,"AAAAAH77/eY=",0)</f>
        <v>0</v>
      </c>
      <c r="HX7" t="e">
        <f>AND(Sheet13!A6,"AAAAAH77/ec=")</f>
        <v>#VALUE!</v>
      </c>
      <c r="HY7" t="e">
        <f>AND(Sheet13!B6,"AAAAAH77/eg=")</f>
        <v>#VALUE!</v>
      </c>
      <c r="HZ7" t="e">
        <f>AND(Sheet13!C6,"AAAAAH77/ek=")</f>
        <v>#VALUE!</v>
      </c>
      <c r="IA7" t="e">
        <f>AND(Sheet13!D6,"AAAAAH77/eo=")</f>
        <v>#VALUE!</v>
      </c>
      <c r="IB7">
        <f>IF(Sheet13!7:7,"AAAAAH77/es=",0)</f>
        <v>0</v>
      </c>
      <c r="IC7" t="e">
        <f>AND(Sheet13!A7,"AAAAAH77/ew=")</f>
        <v>#VALUE!</v>
      </c>
      <c r="ID7" t="e">
        <f>AND(Sheet13!B7,"AAAAAH77/e0=")</f>
        <v>#VALUE!</v>
      </c>
      <c r="IE7" t="e">
        <f>AND(Sheet13!C7,"AAAAAH77/e4=")</f>
        <v>#VALUE!</v>
      </c>
      <c r="IF7" t="e">
        <f>AND(Sheet13!D7,"AAAAAH77/e8=")</f>
        <v>#VALUE!</v>
      </c>
      <c r="IG7">
        <f>IF(Sheet13!8:8,"AAAAAH77/fA=",0)</f>
        <v>0</v>
      </c>
      <c r="IH7" t="e">
        <f>AND(Sheet13!A8,"AAAAAH77/fE=")</f>
        <v>#VALUE!</v>
      </c>
      <c r="II7" t="e">
        <f>AND(Sheet13!B8,"AAAAAH77/fI=")</f>
        <v>#VALUE!</v>
      </c>
      <c r="IJ7" t="e">
        <f>AND(Sheet13!C8,"AAAAAH77/fM=")</f>
        <v>#VALUE!</v>
      </c>
      <c r="IK7" t="e">
        <f>AND(Sheet13!D8,"AAAAAH77/fQ=")</f>
        <v>#VALUE!</v>
      </c>
      <c r="IL7">
        <f>IF(Sheet13!9:9,"AAAAAH77/fU=",0)</f>
        <v>0</v>
      </c>
      <c r="IM7" t="e">
        <f>AND(Sheet13!A9,"AAAAAH77/fY=")</f>
        <v>#VALUE!</v>
      </c>
      <c r="IN7" t="e">
        <f>AND(Sheet13!B9,"AAAAAH77/fc=")</f>
        <v>#VALUE!</v>
      </c>
      <c r="IO7" t="e">
        <f>AND(Sheet13!C9,"AAAAAH77/fg=")</f>
        <v>#VALUE!</v>
      </c>
      <c r="IP7" t="e">
        <f>AND(Sheet13!D9,"AAAAAH77/fk=")</f>
        <v>#VALUE!</v>
      </c>
      <c r="IQ7">
        <f>IF(Sheet13!10:10,"AAAAAH77/fo=",0)</f>
        <v>0</v>
      </c>
      <c r="IR7" t="e">
        <f>AND(Sheet13!A10,"AAAAAH77/fs=")</f>
        <v>#VALUE!</v>
      </c>
      <c r="IS7" t="e">
        <f>AND(Sheet13!B10,"AAAAAH77/fw=")</f>
        <v>#VALUE!</v>
      </c>
      <c r="IT7" t="e">
        <f>AND(Sheet13!C10,"AAAAAH77/f0=")</f>
        <v>#VALUE!</v>
      </c>
      <c r="IU7" t="e">
        <f>AND(Sheet13!D10,"AAAAAH77/f4=")</f>
        <v>#VALUE!</v>
      </c>
      <c r="IV7">
        <f>IF(Sheet13!11:11,"AAAAAH77/f8=",0)</f>
        <v>0</v>
      </c>
    </row>
    <row r="8" spans="1:256">
      <c r="A8" t="e">
        <f>AND(Sheet13!A11,"AAAAAH65/wA=")</f>
        <v>#VALUE!</v>
      </c>
      <c r="B8" t="e">
        <f>AND(Sheet13!B11,"AAAAAH65/wE=")</f>
        <v>#VALUE!</v>
      </c>
      <c r="C8" t="e">
        <f>AND(Sheet13!C11,"AAAAAH65/wI=")</f>
        <v>#VALUE!</v>
      </c>
      <c r="D8" t="e">
        <f>AND(Sheet13!D11,"AAAAAH65/wM=")</f>
        <v>#VALUE!</v>
      </c>
      <c r="E8">
        <f>IF(Sheet13!12:12,"AAAAAH65/wQ=",0)</f>
        <v>0</v>
      </c>
      <c r="F8" t="e">
        <f>AND(Sheet13!A12,"AAAAAH65/wU=")</f>
        <v>#VALUE!</v>
      </c>
      <c r="G8" t="e">
        <f>AND(Sheet13!B12,"AAAAAH65/wY=")</f>
        <v>#VALUE!</v>
      </c>
      <c r="H8" t="e">
        <f>AND(Sheet13!C12,"AAAAAH65/wc=")</f>
        <v>#VALUE!</v>
      </c>
      <c r="I8" t="e">
        <f>AND(Sheet13!D12,"AAAAAH65/wg=")</f>
        <v>#VALUE!</v>
      </c>
      <c r="J8">
        <f>IF(Sheet13!13:13,"AAAAAH65/wk=",0)</f>
        <v>0</v>
      </c>
      <c r="K8" t="e">
        <f>AND(Sheet13!A13,"AAAAAH65/wo=")</f>
        <v>#VALUE!</v>
      </c>
      <c r="L8" t="e">
        <f>AND(Sheet13!B13,"AAAAAH65/ws=")</f>
        <v>#VALUE!</v>
      </c>
      <c r="M8" t="e">
        <f>AND(Sheet13!C13,"AAAAAH65/ww=")</f>
        <v>#VALUE!</v>
      </c>
      <c r="N8" t="e">
        <f>AND(Sheet13!D13,"AAAAAH65/w0=")</f>
        <v>#VALUE!</v>
      </c>
      <c r="O8">
        <f>IF(Sheet13!14:14,"AAAAAH65/w4=",0)</f>
        <v>0</v>
      </c>
      <c r="P8" t="e">
        <f>AND(Sheet13!A14,"AAAAAH65/w8=")</f>
        <v>#VALUE!</v>
      </c>
      <c r="Q8" t="e">
        <f>AND(Sheet13!B14,"AAAAAH65/xA=")</f>
        <v>#VALUE!</v>
      </c>
      <c r="R8" t="e">
        <f>AND(Sheet13!C14,"AAAAAH65/xE=")</f>
        <v>#VALUE!</v>
      </c>
      <c r="S8" t="e">
        <f>AND(Sheet13!D14,"AAAAAH65/xI=")</f>
        <v>#VALUE!</v>
      </c>
      <c r="T8">
        <f>IF(Sheet13!15:15,"AAAAAH65/xM=",0)</f>
        <v>0</v>
      </c>
      <c r="U8" t="e">
        <f>AND(Sheet13!A15,"AAAAAH65/xQ=")</f>
        <v>#VALUE!</v>
      </c>
      <c r="V8" t="e">
        <f>AND(Sheet13!B15,"AAAAAH65/xU=")</f>
        <v>#VALUE!</v>
      </c>
      <c r="W8" t="e">
        <f>AND(Sheet13!C15,"AAAAAH65/xY=")</f>
        <v>#VALUE!</v>
      </c>
      <c r="X8" t="e">
        <f>AND(Sheet13!D15,"AAAAAH65/xc=")</f>
        <v>#VALUE!</v>
      </c>
      <c r="Y8">
        <f>IF(Sheet13!16:16,"AAAAAH65/xg=",0)</f>
        <v>0</v>
      </c>
      <c r="Z8" t="e">
        <f>AND(Sheet13!A16,"AAAAAH65/xk=")</f>
        <v>#VALUE!</v>
      </c>
      <c r="AA8" t="e">
        <f>AND(Sheet13!B16,"AAAAAH65/xo=")</f>
        <v>#VALUE!</v>
      </c>
      <c r="AB8" t="e">
        <f>AND(Sheet13!C16,"AAAAAH65/xs=")</f>
        <v>#VALUE!</v>
      </c>
      <c r="AC8" t="e">
        <f>AND(Sheet13!D16,"AAAAAH65/xw=")</f>
        <v>#VALUE!</v>
      </c>
      <c r="AD8">
        <f>IF(Sheet13!17:17,"AAAAAH65/x0=",0)</f>
        <v>0</v>
      </c>
      <c r="AE8" t="e">
        <f>AND(Sheet13!A17,"AAAAAH65/x4=")</f>
        <v>#VALUE!</v>
      </c>
      <c r="AF8" t="e">
        <f>AND(Sheet13!B17,"AAAAAH65/x8=")</f>
        <v>#VALUE!</v>
      </c>
      <c r="AG8" t="e">
        <f>AND(Sheet13!C17,"AAAAAH65/yA=")</f>
        <v>#VALUE!</v>
      </c>
      <c r="AH8" t="e">
        <f>AND(Sheet13!D17,"AAAAAH65/yE=")</f>
        <v>#VALUE!</v>
      </c>
      <c r="AI8">
        <f>IF(Sheet13!18:18,"AAAAAH65/yI=",0)</f>
        <v>0</v>
      </c>
      <c r="AJ8" t="e">
        <f>AND(Sheet13!A18,"AAAAAH65/yM=")</f>
        <v>#VALUE!</v>
      </c>
      <c r="AK8" t="e">
        <f>AND(Sheet13!B18,"AAAAAH65/yQ=")</f>
        <v>#VALUE!</v>
      </c>
      <c r="AL8" t="e">
        <f>AND(Sheet13!C18,"AAAAAH65/yU=")</f>
        <v>#VALUE!</v>
      </c>
      <c r="AM8" t="e">
        <f>AND(Sheet13!D18,"AAAAAH65/yY=")</f>
        <v>#VALUE!</v>
      </c>
      <c r="AN8" t="e">
        <f>IF(Sheet13!A:A,"AAAAAH65/yc=",0)</f>
        <v>#VALUE!</v>
      </c>
      <c r="AO8" t="str">
        <f>IF(Sheet13!B:B,"AAAAAH65/yg=",0)</f>
        <v>AAAAAH65/yg=</v>
      </c>
      <c r="AP8" t="e">
        <f>IF(Sheet13!C:C,"AAAAAH65/yk=",0)</f>
        <v>#VALUE!</v>
      </c>
      <c r="AQ8" t="str">
        <f>IF(Sheet13!D:D,"AAAAAH65/yo=",0)</f>
        <v>AAAAAH65/yo=</v>
      </c>
      <c r="AR8" t="e">
        <f>AND(Sheet1!H9,"AAAAAH65/ys=")</f>
        <v>#VALUE!</v>
      </c>
      <c r="AS8" t="e">
        <f>AND(Sheet1!H10,"AAAAAH65/yw=")</f>
        <v>#VALUE!</v>
      </c>
      <c r="AT8" t="e">
        <f>AND(Sheet1!H11,"AAAAAH65/y0=")</f>
        <v>#VALUE!</v>
      </c>
      <c r="AU8" t="e">
        <f>AND(Sheet1!H12,"AAAAAH65/y4=")</f>
        <v>#VALUE!</v>
      </c>
      <c r="AV8" t="e">
        <f>AND(Sheet1!H13,"AAAAAH65/y8=")</f>
        <v>#VALUE!</v>
      </c>
      <c r="AW8" t="e">
        <f>AND(Sheet1!H14,"AAAAAH65/zA=")</f>
        <v>#VALUE!</v>
      </c>
      <c r="AX8" t="e">
        <f>AND(Sheet1!H15,"AAAAAH65/zE=")</f>
        <v>#VALUE!</v>
      </c>
      <c r="AY8" t="e">
        <f>AND(Sheet1!H16,"AAAAAH65/zI=")</f>
        <v>#VALUE!</v>
      </c>
      <c r="AZ8" t="e">
        <f>AND(Sheet1!H17,"AAAAAH65/zM=")</f>
        <v>#VALUE!</v>
      </c>
      <c r="BA8" t="e">
        <f>AND(Sheet1!H18,"AAAAAH65/zQ=")</f>
        <v>#VALUE!</v>
      </c>
      <c r="BB8" t="e">
        <f>AND(Sheet1!H19,"AAAAAH65/zU=")</f>
        <v>#VALUE!</v>
      </c>
      <c r="BC8" t="e">
        <f>AND(Sheet1!H20,"AAAAAH65/zY=")</f>
        <v>#VALUE!</v>
      </c>
      <c r="BD8" t="e">
        <f>AND(Sheet1!H21,"AAAAAH65/zc=")</f>
        <v>#VALUE!</v>
      </c>
      <c r="BE8" t="e">
        <f>AND(Sheet1!H22,"AAAAAH65/zg=")</f>
        <v>#VALUE!</v>
      </c>
      <c r="BF8" t="e">
        <f>AND(Sheet1!H23,"AAAAAH65/zk=")</f>
        <v>#VALUE!</v>
      </c>
      <c r="BG8" t="e">
        <f>AND(Sheet1!H24,"AAAAAH65/zo=")</f>
        <v>#VALUE!</v>
      </c>
      <c r="BH8" t="e">
        <f>AND(Sheet1!H25,"AAAAAH65/zs=")</f>
        <v>#VALUE!</v>
      </c>
      <c r="BI8" t="e">
        <f>AND(Sheet1!H26,"AAAAAH65/zw=")</f>
        <v>#VALUE!</v>
      </c>
      <c r="BJ8" t="e">
        <f>AND(Sheet1!H27,"AAAAAH65/z0=")</f>
        <v>#VALUE!</v>
      </c>
      <c r="BK8" t="e">
        <f>AND(Sheet1!H28,"AAAAAH65/z4=")</f>
        <v>#VALUE!</v>
      </c>
      <c r="BL8" t="e">
        <f>AND(Sheet1!H29,"AAAAAH65/z8=")</f>
        <v>#VALUE!</v>
      </c>
      <c r="BM8" t="e">
        <f>AND(Sheet1!H30,"AAAAAH65/0A=")</f>
        <v>#VALUE!</v>
      </c>
      <c r="BN8" t="e">
        <f>AND(Sheet1!H31,"AAAAAH65/0E=")</f>
        <v>#VALUE!</v>
      </c>
      <c r="BO8" t="e">
        <f>AND(Sheet1!H32,"AAAAAH65/0I=")</f>
        <v>#VALUE!</v>
      </c>
      <c r="BP8" t="e">
        <f>AND(Sheet1!H33,"AAAAAH65/0M=")</f>
        <v>#VALUE!</v>
      </c>
      <c r="BQ8" t="e">
        <f>AND(Sheet1!H34,"AAAAAH65/0Q=")</f>
        <v>#VALUE!</v>
      </c>
      <c r="BR8" t="e">
        <f>AND(Sheet1!H35,"AAAAAH65/0U=")</f>
        <v>#VALUE!</v>
      </c>
      <c r="BS8" t="e">
        <f>AND(Sheet1!H36,"AAAAAH65/0Y=")</f>
        <v>#VALUE!</v>
      </c>
      <c r="BT8" t="e">
        <f>AND(Sheet1!H37,"AAAAAH65/0c=")</f>
        <v>#VALUE!</v>
      </c>
      <c r="BU8" t="e">
        <f>AND(Sheet1!H38,"AAAAAH65/0g=")</f>
        <v>#VALUE!</v>
      </c>
      <c r="BV8" t="e">
        <f>AND(Sheet1!H39,"AAAAAH65/0k=")</f>
        <v>#VALUE!</v>
      </c>
      <c r="BW8" t="e">
        <f>AND(Sheet1!H40,"AAAAAH65/0o=")</f>
        <v>#VALUE!</v>
      </c>
      <c r="BX8">
        <f>IF(Sheet12!1:1,"AAAAAH65/0s=",0)</f>
        <v>0</v>
      </c>
      <c r="BY8" t="e">
        <f>AND(Sheet12!A1,"AAAAAH65/0w=")</f>
        <v>#VALUE!</v>
      </c>
      <c r="BZ8" t="e">
        <f>AND(Sheet12!B1,"AAAAAH65/00=")</f>
        <v>#VALUE!</v>
      </c>
      <c r="CA8" t="e">
        <f>AND(Sheet12!C1,"AAAAAH65/04=")</f>
        <v>#VALUE!</v>
      </c>
      <c r="CB8" t="e">
        <f>AND(Sheet12!D1,"AAAAAH65/08=")</f>
        <v>#VALUE!</v>
      </c>
      <c r="CC8" t="e">
        <f>AND(Sheet12!E1,"AAAAAH65/1A=")</f>
        <v>#VALUE!</v>
      </c>
      <c r="CD8" t="e">
        <f>AND(Sheet12!F1,"AAAAAH65/1E=")</f>
        <v>#VALUE!</v>
      </c>
      <c r="CE8" t="e">
        <f>AND(Sheet12!G1,"AAAAAH65/1I=")</f>
        <v>#VALUE!</v>
      </c>
      <c r="CF8">
        <f>IF(Sheet12!2:2,"AAAAAH65/1M=",0)</f>
        <v>0</v>
      </c>
      <c r="CG8" t="e">
        <f>AND(Sheet12!A2,"AAAAAH65/1Q=")</f>
        <v>#VALUE!</v>
      </c>
      <c r="CH8" t="e">
        <f>AND(Sheet12!B2,"AAAAAH65/1U=")</f>
        <v>#VALUE!</v>
      </c>
      <c r="CI8" t="e">
        <f>AND(Sheet12!C2,"AAAAAH65/1Y=")</f>
        <v>#VALUE!</v>
      </c>
      <c r="CJ8" t="e">
        <f>AND(Sheet12!D2,"AAAAAH65/1c=")</f>
        <v>#VALUE!</v>
      </c>
      <c r="CK8" t="e">
        <f>AND(Sheet12!E2,"AAAAAH65/1g=")</f>
        <v>#VALUE!</v>
      </c>
      <c r="CL8" t="e">
        <f>AND(Sheet12!F2,"AAAAAH65/1k=")</f>
        <v>#VALUE!</v>
      </c>
      <c r="CM8" t="e">
        <f>AND(Sheet12!G2,"AAAAAH65/1o=")</f>
        <v>#VALUE!</v>
      </c>
      <c r="CN8">
        <f>IF(Sheet12!3:3,"AAAAAH65/1s=",0)</f>
        <v>0</v>
      </c>
      <c r="CO8" t="e">
        <f>AND(Sheet12!A3,"AAAAAH65/1w=")</f>
        <v>#VALUE!</v>
      </c>
      <c r="CP8" t="e">
        <f>AND(Sheet12!B3,"AAAAAH65/10=")</f>
        <v>#VALUE!</v>
      </c>
      <c r="CQ8" t="e">
        <f>AND(Sheet12!C3,"AAAAAH65/14=")</f>
        <v>#VALUE!</v>
      </c>
      <c r="CR8" t="e">
        <f>AND(Sheet12!D3,"AAAAAH65/18=")</f>
        <v>#VALUE!</v>
      </c>
      <c r="CS8" t="e">
        <f>AND(Sheet12!E3,"AAAAAH65/2A=")</f>
        <v>#VALUE!</v>
      </c>
      <c r="CT8" t="e">
        <f>AND(Sheet12!F3,"AAAAAH65/2E=")</f>
        <v>#VALUE!</v>
      </c>
      <c r="CU8" t="e">
        <f>AND(Sheet12!G3,"AAAAAH65/2I=")</f>
        <v>#VALUE!</v>
      </c>
      <c r="CV8">
        <f>IF(Sheet12!4:4,"AAAAAH65/2M=",0)</f>
        <v>0</v>
      </c>
      <c r="CW8" t="e">
        <f>AND(Sheet12!A4,"AAAAAH65/2Q=")</f>
        <v>#VALUE!</v>
      </c>
      <c r="CX8" t="e">
        <f>AND(Sheet12!B4,"AAAAAH65/2U=")</f>
        <v>#VALUE!</v>
      </c>
      <c r="CY8" t="e">
        <f>AND(Sheet12!C4,"AAAAAH65/2Y=")</f>
        <v>#VALUE!</v>
      </c>
      <c r="CZ8" t="e">
        <f>AND(Sheet12!D4,"AAAAAH65/2c=")</f>
        <v>#VALUE!</v>
      </c>
      <c r="DA8" t="e">
        <f>AND(Sheet12!E4,"AAAAAH65/2g=")</f>
        <v>#VALUE!</v>
      </c>
      <c r="DB8" t="e">
        <f>AND(Sheet12!F4,"AAAAAH65/2k=")</f>
        <v>#VALUE!</v>
      </c>
      <c r="DC8" t="e">
        <f>AND(Sheet12!G4,"AAAAAH65/2o=")</f>
        <v>#VALUE!</v>
      </c>
      <c r="DD8">
        <f>IF(Sheet12!5:5,"AAAAAH65/2s=",0)</f>
        <v>0</v>
      </c>
      <c r="DE8" t="e">
        <f>AND(Sheet12!A5,"AAAAAH65/2w=")</f>
        <v>#VALUE!</v>
      </c>
      <c r="DF8" t="e">
        <f>AND(Sheet12!B5,"AAAAAH65/20=")</f>
        <v>#VALUE!</v>
      </c>
      <c r="DG8" t="e">
        <f>AND(Sheet12!C5,"AAAAAH65/24=")</f>
        <v>#VALUE!</v>
      </c>
      <c r="DH8" t="e">
        <f>AND(Sheet12!D5,"AAAAAH65/28=")</f>
        <v>#VALUE!</v>
      </c>
      <c r="DI8" t="e">
        <f>AND(Sheet12!E5,"AAAAAH65/3A=")</f>
        <v>#VALUE!</v>
      </c>
      <c r="DJ8" t="e">
        <f>AND(Sheet12!F5,"AAAAAH65/3E=")</f>
        <v>#VALUE!</v>
      </c>
      <c r="DK8" t="e">
        <f>AND(Sheet12!G5,"AAAAAH65/3I=")</f>
        <v>#VALUE!</v>
      </c>
      <c r="DL8">
        <f>IF(Sheet12!6:6,"AAAAAH65/3M=",0)</f>
        <v>0</v>
      </c>
      <c r="DM8" t="e">
        <f>AND(Sheet12!A6,"AAAAAH65/3Q=")</f>
        <v>#VALUE!</v>
      </c>
      <c r="DN8" t="e">
        <f>AND(Sheet12!B6,"AAAAAH65/3U=")</f>
        <v>#VALUE!</v>
      </c>
      <c r="DO8" t="e">
        <f>AND(Sheet12!C6,"AAAAAH65/3Y=")</f>
        <v>#VALUE!</v>
      </c>
      <c r="DP8" t="e">
        <f>AND(Sheet12!D6,"AAAAAH65/3c=")</f>
        <v>#VALUE!</v>
      </c>
      <c r="DQ8" t="e">
        <f>AND(Sheet12!E6,"AAAAAH65/3g=")</f>
        <v>#VALUE!</v>
      </c>
      <c r="DR8" t="e">
        <f>AND(Sheet12!F6,"AAAAAH65/3k=")</f>
        <v>#VALUE!</v>
      </c>
      <c r="DS8" t="e">
        <f>AND(Sheet12!G6,"AAAAAH65/3o=")</f>
        <v>#VALUE!</v>
      </c>
      <c r="DT8">
        <f>IF(Sheet12!7:7,"AAAAAH65/3s=",0)</f>
        <v>0</v>
      </c>
      <c r="DU8" t="e">
        <f>AND(Sheet12!A7,"AAAAAH65/3w=")</f>
        <v>#VALUE!</v>
      </c>
      <c r="DV8" t="e">
        <f>AND(Sheet12!B7,"AAAAAH65/30=")</f>
        <v>#VALUE!</v>
      </c>
      <c r="DW8" t="e">
        <f>AND(Sheet12!C7,"AAAAAH65/34=")</f>
        <v>#VALUE!</v>
      </c>
      <c r="DX8" t="e">
        <f>AND(Sheet12!D7,"AAAAAH65/38=")</f>
        <v>#VALUE!</v>
      </c>
      <c r="DY8" t="e">
        <f>AND(Sheet12!E7,"AAAAAH65/4A=")</f>
        <v>#VALUE!</v>
      </c>
      <c r="DZ8" t="e">
        <f>AND(Sheet12!F7,"AAAAAH65/4E=")</f>
        <v>#VALUE!</v>
      </c>
      <c r="EA8" t="e">
        <f>AND(Sheet12!G7,"AAAAAH65/4I=")</f>
        <v>#VALUE!</v>
      </c>
      <c r="EB8">
        <f>IF(Sheet12!8:8,"AAAAAH65/4M=",0)</f>
        <v>0</v>
      </c>
      <c r="EC8" t="e">
        <f>AND(Sheet12!A8,"AAAAAH65/4Q=")</f>
        <v>#VALUE!</v>
      </c>
      <c r="ED8" t="e">
        <f>AND(Sheet12!B8,"AAAAAH65/4U=")</f>
        <v>#VALUE!</v>
      </c>
      <c r="EE8" t="e">
        <f>AND(Sheet12!C8,"AAAAAH65/4Y=")</f>
        <v>#VALUE!</v>
      </c>
      <c r="EF8" t="e">
        <f>AND(Sheet12!D8,"AAAAAH65/4c=")</f>
        <v>#VALUE!</v>
      </c>
      <c r="EG8" t="e">
        <f>AND(Sheet12!E8,"AAAAAH65/4g=")</f>
        <v>#VALUE!</v>
      </c>
      <c r="EH8" t="e">
        <f>AND(Sheet12!F8,"AAAAAH65/4k=")</f>
        <v>#VALUE!</v>
      </c>
      <c r="EI8" t="e">
        <f>AND(Sheet12!G8,"AAAAAH65/4o=")</f>
        <v>#VALUE!</v>
      </c>
      <c r="EJ8">
        <f>IF(Sheet12!9:9,"AAAAAH65/4s=",0)</f>
        <v>0</v>
      </c>
      <c r="EK8" t="e">
        <f>AND(Sheet12!A9,"AAAAAH65/4w=")</f>
        <v>#VALUE!</v>
      </c>
      <c r="EL8" t="e">
        <f>AND(Sheet12!B9,"AAAAAH65/40=")</f>
        <v>#VALUE!</v>
      </c>
      <c r="EM8" t="e">
        <f>AND(Sheet12!C9,"AAAAAH65/44=")</f>
        <v>#VALUE!</v>
      </c>
      <c r="EN8" t="e">
        <f>AND(Sheet12!D9,"AAAAAH65/48=")</f>
        <v>#VALUE!</v>
      </c>
      <c r="EO8" t="e">
        <f>AND(Sheet12!E9,"AAAAAH65/5A=")</f>
        <v>#VALUE!</v>
      </c>
      <c r="EP8" t="e">
        <f>AND(Sheet12!F9,"AAAAAH65/5E=")</f>
        <v>#VALUE!</v>
      </c>
      <c r="EQ8" t="e">
        <f>AND(Sheet12!G9,"AAAAAH65/5I=")</f>
        <v>#VALUE!</v>
      </c>
      <c r="ER8">
        <f>IF(Sheet12!10:10,"AAAAAH65/5M=",0)</f>
        <v>0</v>
      </c>
      <c r="ES8" t="e">
        <f>AND(Sheet12!A10,"AAAAAH65/5Q=")</f>
        <v>#VALUE!</v>
      </c>
      <c r="ET8" t="e">
        <f>AND(Sheet12!B10,"AAAAAH65/5U=")</f>
        <v>#VALUE!</v>
      </c>
      <c r="EU8" t="e">
        <f>AND(Sheet12!C10,"AAAAAH65/5Y=")</f>
        <v>#VALUE!</v>
      </c>
      <c r="EV8" t="e">
        <f>AND(Sheet12!D10,"AAAAAH65/5c=")</f>
        <v>#VALUE!</v>
      </c>
      <c r="EW8" t="e">
        <f>AND(Sheet12!E10,"AAAAAH65/5g=")</f>
        <v>#VALUE!</v>
      </c>
      <c r="EX8" t="e">
        <f>AND(Sheet12!F10,"AAAAAH65/5k=")</f>
        <v>#VALUE!</v>
      </c>
      <c r="EY8" t="e">
        <f>AND(Sheet12!G10,"AAAAAH65/5o=")</f>
        <v>#VALUE!</v>
      </c>
      <c r="EZ8">
        <f>IF(Sheet12!11:11,"AAAAAH65/5s=",0)</f>
        <v>0</v>
      </c>
      <c r="FA8" t="e">
        <f>AND(Sheet12!A11,"AAAAAH65/5w=")</f>
        <v>#VALUE!</v>
      </c>
      <c r="FB8" t="e">
        <f>AND(Sheet12!B11,"AAAAAH65/50=")</f>
        <v>#VALUE!</v>
      </c>
      <c r="FC8" t="e">
        <f>AND(Sheet12!C11,"AAAAAH65/54=")</f>
        <v>#VALUE!</v>
      </c>
      <c r="FD8" t="e">
        <f>AND(Sheet12!D11,"AAAAAH65/58=")</f>
        <v>#VALUE!</v>
      </c>
      <c r="FE8" t="e">
        <f>AND(Sheet12!E11,"AAAAAH65/6A=")</f>
        <v>#VALUE!</v>
      </c>
      <c r="FF8" t="e">
        <f>AND(Sheet12!F11,"AAAAAH65/6E=")</f>
        <v>#VALUE!</v>
      </c>
      <c r="FG8" t="e">
        <f>AND(Sheet12!G11,"AAAAAH65/6I=")</f>
        <v>#VALUE!</v>
      </c>
      <c r="FH8">
        <f>IF(Sheet12!12:12,"AAAAAH65/6M=",0)</f>
        <v>0</v>
      </c>
      <c r="FI8" t="e">
        <f>AND(Sheet12!A12,"AAAAAH65/6Q=")</f>
        <v>#VALUE!</v>
      </c>
      <c r="FJ8" t="e">
        <f>AND(Sheet12!B12,"AAAAAH65/6U=")</f>
        <v>#VALUE!</v>
      </c>
      <c r="FK8" t="e">
        <f>AND(Sheet12!C12,"AAAAAH65/6Y=")</f>
        <v>#VALUE!</v>
      </c>
      <c r="FL8" t="e">
        <f>AND(Sheet12!D12,"AAAAAH65/6c=")</f>
        <v>#VALUE!</v>
      </c>
      <c r="FM8" t="e">
        <f>AND(Sheet12!E12,"AAAAAH65/6g=")</f>
        <v>#VALUE!</v>
      </c>
      <c r="FN8" t="e">
        <f>AND(Sheet12!F12,"AAAAAH65/6k=")</f>
        <v>#VALUE!</v>
      </c>
      <c r="FO8" t="e">
        <f>AND(Sheet12!G12,"AAAAAH65/6o=")</f>
        <v>#VALUE!</v>
      </c>
      <c r="FP8">
        <f>IF(Sheet12!13:13,"AAAAAH65/6s=",0)</f>
        <v>0</v>
      </c>
      <c r="FQ8" t="e">
        <f>AND(Sheet12!A13,"AAAAAH65/6w=")</f>
        <v>#VALUE!</v>
      </c>
      <c r="FR8" t="e">
        <f>AND(Sheet12!B13,"AAAAAH65/60=")</f>
        <v>#VALUE!</v>
      </c>
      <c r="FS8" t="e">
        <f>AND(Sheet12!C13,"AAAAAH65/64=")</f>
        <v>#VALUE!</v>
      </c>
      <c r="FT8">
        <f>IF(Sheet12!14:14,"AAAAAH65/68=",0)</f>
        <v>0</v>
      </c>
      <c r="FU8" t="e">
        <f>AND(Sheet12!A14,"AAAAAH65/7A=")</f>
        <v>#VALUE!</v>
      </c>
      <c r="FV8" t="e">
        <f>AND(Sheet12!B14,"AAAAAH65/7E=")</f>
        <v>#VALUE!</v>
      </c>
      <c r="FW8" t="e">
        <f>AND(Sheet12!C14,"AAAAAH65/7I=")</f>
        <v>#VALUE!</v>
      </c>
      <c r="FX8">
        <f>IF(Sheet12!A:A,"AAAAAH65/7M=",0)</f>
        <v>0</v>
      </c>
      <c r="FY8">
        <f>IF(Sheet12!B:B,"AAAAAH65/7Q=",0)</f>
        <v>0</v>
      </c>
      <c r="FZ8">
        <f>IF(Sheet12!C:C,"AAAAAH65/7U=",0)</f>
        <v>0</v>
      </c>
      <c r="GA8">
        <f>IF(Sheet12!D:D,"AAAAAH65/7Y=",0)</f>
        <v>0</v>
      </c>
      <c r="GB8">
        <f>IF(Sheet12!E:E,"AAAAAH65/7c=",0)</f>
        <v>0</v>
      </c>
      <c r="GC8">
        <f>IF(Sheet12!F:F,"AAAAAH65/7g=",0)</f>
        <v>0</v>
      </c>
      <c r="GD8">
        <f>IF(Sheet12!G:G,"AAAAAH65/7k=",0)</f>
        <v>0</v>
      </c>
      <c r="GE8" t="e">
        <f>AND(Sheet2!B1,"AAAAAH65/7o=")</f>
        <v>#VALUE!</v>
      </c>
      <c r="GF8" t="e">
        <f>AND(Sheet2!C1,"AAAAAH65/7s=")</f>
        <v>#VALUE!</v>
      </c>
      <c r="GG8" t="e">
        <f>AND(Sheet2!D1,"AAAAAH65/7w=")</f>
        <v>#VALUE!</v>
      </c>
      <c r="GH8" t="e">
        <f>AND(Sheet2!E1,"AAAAAH65/70=")</f>
        <v>#VALUE!</v>
      </c>
      <c r="GI8" t="e">
        <f>AND(Sheet2!F1,"AAAAAH65/74=")</f>
        <v>#VALUE!</v>
      </c>
      <c r="GJ8" t="e">
        <f>AND(Sheet2!G1,"AAAAAH65/78=")</f>
        <v>#VALUE!</v>
      </c>
      <c r="GK8" t="e">
        <f>AND(Sheet2!H1,"AAAAAH65/8A=")</f>
        <v>#VALUE!</v>
      </c>
      <c r="GL8">
        <f>IF(Sheet2!2:2,"AAAAAH65/8E=",0)</f>
        <v>0</v>
      </c>
      <c r="GM8" t="e">
        <f>AND(Sheet2!A2,"AAAAAH65/8I=")</f>
        <v>#VALUE!</v>
      </c>
      <c r="GN8" t="e">
        <f>AND(Sheet2!B2,"AAAAAH65/8M=")</f>
        <v>#VALUE!</v>
      </c>
      <c r="GO8" t="e">
        <f>AND(Sheet2!C2,"AAAAAH65/8Q=")</f>
        <v>#VALUE!</v>
      </c>
      <c r="GP8" t="e">
        <f>AND(Sheet2!D2,"AAAAAH65/8U=")</f>
        <v>#VALUE!</v>
      </c>
      <c r="GQ8" t="e">
        <f>AND(Sheet2!E2,"AAAAAH65/8Y=")</f>
        <v>#VALUE!</v>
      </c>
      <c r="GR8" t="e">
        <f>AND(Sheet2!F2,"AAAAAH65/8c=")</f>
        <v>#VALUE!</v>
      </c>
      <c r="GS8" t="e">
        <f>AND(Sheet2!G2,"AAAAAH65/8g=")</f>
        <v>#VALUE!</v>
      </c>
      <c r="GT8" t="e">
        <f>AND(Sheet2!H2,"AAAAAH65/8k=")</f>
        <v>#VALUE!</v>
      </c>
      <c r="GU8">
        <f>IF(Sheet2!3:3,"AAAAAH65/8o=",0)</f>
        <v>0</v>
      </c>
      <c r="GV8" t="e">
        <f>AND(Sheet2!A3,"AAAAAH65/8s=")</f>
        <v>#VALUE!</v>
      </c>
      <c r="GW8" t="e">
        <f>AND(Sheet2!B3,"AAAAAH65/8w=")</f>
        <v>#VALUE!</v>
      </c>
      <c r="GX8" t="e">
        <f>AND(Sheet2!C3,"AAAAAH65/80=")</f>
        <v>#VALUE!</v>
      </c>
      <c r="GY8" t="e">
        <f>AND(Sheet2!D3,"AAAAAH65/84=")</f>
        <v>#VALUE!</v>
      </c>
      <c r="GZ8" t="e">
        <f>AND(Sheet2!E3,"AAAAAH65/88=")</f>
        <v>#VALUE!</v>
      </c>
      <c r="HA8" t="e">
        <f>AND(Sheet2!F3,"AAAAAH65/9A=")</f>
        <v>#VALUE!</v>
      </c>
      <c r="HB8" t="e">
        <f>AND(Sheet2!G3,"AAAAAH65/9E=")</f>
        <v>#VALUE!</v>
      </c>
      <c r="HC8" t="e">
        <f>AND(Sheet2!H3,"AAAAAH65/9I=")</f>
        <v>#VALUE!</v>
      </c>
      <c r="HD8">
        <f>IF(Sheet2!4:4,"AAAAAH65/9M=",0)</f>
        <v>0</v>
      </c>
      <c r="HE8" t="e">
        <f>AND(Sheet2!A4,"AAAAAH65/9Q=")</f>
        <v>#VALUE!</v>
      </c>
      <c r="HF8" t="e">
        <f>AND(Sheet2!B4,"AAAAAH65/9U=")</f>
        <v>#VALUE!</v>
      </c>
      <c r="HG8" t="e">
        <f>AND(Sheet2!C4,"AAAAAH65/9Y=")</f>
        <v>#VALUE!</v>
      </c>
      <c r="HH8" t="e">
        <f>AND(Sheet2!D4,"AAAAAH65/9c=")</f>
        <v>#VALUE!</v>
      </c>
      <c r="HI8" t="e">
        <f>AND(Sheet2!E4,"AAAAAH65/9g=")</f>
        <v>#VALUE!</v>
      </c>
      <c r="HJ8" t="e">
        <f>AND(Sheet2!F4,"AAAAAH65/9k=")</f>
        <v>#VALUE!</v>
      </c>
      <c r="HK8" t="e">
        <f>AND(Sheet2!G4,"AAAAAH65/9o=")</f>
        <v>#VALUE!</v>
      </c>
      <c r="HL8" t="e">
        <f>AND(Sheet2!H4,"AAAAAH65/9s=")</f>
        <v>#VALUE!</v>
      </c>
      <c r="HM8">
        <f>IF(Sheet2!5:5,"AAAAAH65/9w=",0)</f>
        <v>0</v>
      </c>
      <c r="HN8" t="e">
        <f>AND(Sheet2!A5,"AAAAAH65/90=")</f>
        <v>#VALUE!</v>
      </c>
      <c r="HO8" t="e">
        <f>AND(Sheet2!B5,"AAAAAH65/94=")</f>
        <v>#VALUE!</v>
      </c>
      <c r="HP8" t="e">
        <f>AND(Sheet2!C5,"AAAAAH65/98=")</f>
        <v>#VALUE!</v>
      </c>
      <c r="HQ8" t="e">
        <f>AND(Sheet2!D5,"AAAAAH65/+A=")</f>
        <v>#VALUE!</v>
      </c>
      <c r="HR8" t="e">
        <f>AND(Sheet2!E5,"AAAAAH65/+E=")</f>
        <v>#VALUE!</v>
      </c>
      <c r="HS8" t="e">
        <f>AND(Sheet2!F5,"AAAAAH65/+I=")</f>
        <v>#VALUE!</v>
      </c>
      <c r="HT8" t="e">
        <f>AND(Sheet2!G5,"AAAAAH65/+M=")</f>
        <v>#VALUE!</v>
      </c>
      <c r="HU8" t="e">
        <f>AND(Sheet2!H5,"AAAAAH65/+Q=")</f>
        <v>#VALUE!</v>
      </c>
      <c r="HV8">
        <f>IF(Sheet2!6:6,"AAAAAH65/+U=",0)</f>
        <v>0</v>
      </c>
      <c r="HW8" t="e">
        <f>AND(Sheet2!A6,"AAAAAH65/+Y=")</f>
        <v>#VALUE!</v>
      </c>
      <c r="HX8" t="e">
        <f>AND(Sheet2!B6,"AAAAAH65/+c=")</f>
        <v>#VALUE!</v>
      </c>
      <c r="HY8" t="e">
        <f>AND(Sheet2!C6,"AAAAAH65/+g=")</f>
        <v>#VALUE!</v>
      </c>
      <c r="HZ8" t="e">
        <f>AND(Sheet2!D6,"AAAAAH65/+k=")</f>
        <v>#VALUE!</v>
      </c>
      <c r="IA8" t="e">
        <f>AND(Sheet2!E6,"AAAAAH65/+o=")</f>
        <v>#VALUE!</v>
      </c>
      <c r="IB8" t="e">
        <f>AND(Sheet2!F6,"AAAAAH65/+s=")</f>
        <v>#VALUE!</v>
      </c>
      <c r="IC8" t="e">
        <f>AND(Sheet2!G6,"AAAAAH65/+w=")</f>
        <v>#VALUE!</v>
      </c>
      <c r="ID8" t="e">
        <f>AND(Sheet2!H6,"AAAAAH65/+0=")</f>
        <v>#VALUE!</v>
      </c>
      <c r="IE8">
        <f>IF(Sheet2!7:7,"AAAAAH65/+4=",0)</f>
        <v>0</v>
      </c>
      <c r="IF8" t="e">
        <f>AND(Sheet2!A7,"AAAAAH65/+8=")</f>
        <v>#VALUE!</v>
      </c>
      <c r="IG8" t="e">
        <f>AND(Sheet2!B7,"AAAAAH65//A=")</f>
        <v>#VALUE!</v>
      </c>
      <c r="IH8" t="e">
        <f>AND(Sheet2!C7,"AAAAAH65//E=")</f>
        <v>#VALUE!</v>
      </c>
      <c r="II8" t="e">
        <f>AND(Sheet2!D7,"AAAAAH65//I=")</f>
        <v>#VALUE!</v>
      </c>
      <c r="IJ8" t="e">
        <f>AND(Sheet2!E7,"AAAAAH65//M=")</f>
        <v>#VALUE!</v>
      </c>
      <c r="IK8" t="e">
        <f>AND(Sheet2!F7,"AAAAAH65//Q=")</f>
        <v>#VALUE!</v>
      </c>
      <c r="IL8" t="e">
        <f>AND(Sheet2!G7,"AAAAAH65//U=")</f>
        <v>#VALUE!</v>
      </c>
      <c r="IM8" t="e">
        <f>AND(Sheet2!H7,"AAAAAH65//Y=")</f>
        <v>#VALUE!</v>
      </c>
      <c r="IN8">
        <f>IF(Sheet2!8:8,"AAAAAH65//c=",0)</f>
        <v>0</v>
      </c>
      <c r="IO8" t="e">
        <f>AND(Sheet2!A8,"AAAAAH65//g=")</f>
        <v>#VALUE!</v>
      </c>
      <c r="IP8" t="e">
        <f>AND(Sheet2!B8,"AAAAAH65//k=")</f>
        <v>#VALUE!</v>
      </c>
      <c r="IQ8" t="e">
        <f>AND(Sheet2!C8,"AAAAAH65//o=")</f>
        <v>#VALUE!</v>
      </c>
      <c r="IR8" t="e">
        <f>AND(Sheet2!D8,"AAAAAH65//s=")</f>
        <v>#VALUE!</v>
      </c>
      <c r="IS8" t="e">
        <f>AND(Sheet2!E8,"AAAAAH65//w=")</f>
        <v>#VALUE!</v>
      </c>
      <c r="IT8" t="e">
        <f>AND(Sheet2!F8,"AAAAAH65//0=")</f>
        <v>#VALUE!</v>
      </c>
      <c r="IU8" t="e">
        <f>AND(Sheet2!G8,"AAAAAH65//4=")</f>
        <v>#VALUE!</v>
      </c>
      <c r="IV8" t="e">
        <f>AND(Sheet2!H8,"AAAAAH65//8=")</f>
        <v>#VALUE!</v>
      </c>
    </row>
    <row r="9" spans="1:256">
      <c r="A9" t="str">
        <f>IF(Sheet2!9:9,"AAAAAG77eQA=",0)</f>
        <v>AAAAAG77eQA=</v>
      </c>
      <c r="B9" t="e">
        <f>AND(Sheet2!A9,"AAAAAG77eQE=")</f>
        <v>#VALUE!</v>
      </c>
      <c r="C9" t="e">
        <f>AND(Sheet2!B9,"AAAAAG77eQI=")</f>
        <v>#VALUE!</v>
      </c>
      <c r="D9" t="e">
        <f>AND(Sheet2!C9,"AAAAAG77eQM=")</f>
        <v>#VALUE!</v>
      </c>
      <c r="E9" t="e">
        <f>AND(Sheet2!D9,"AAAAAG77eQQ=")</f>
        <v>#VALUE!</v>
      </c>
      <c r="F9" t="e">
        <f>AND(Sheet2!E9,"AAAAAG77eQU=")</f>
        <v>#VALUE!</v>
      </c>
      <c r="G9" t="e">
        <f>AND(Sheet2!F9,"AAAAAG77eQY=")</f>
        <v>#VALUE!</v>
      </c>
      <c r="H9" t="e">
        <f>AND(Sheet2!G9,"AAAAAG77eQc=")</f>
        <v>#VALUE!</v>
      </c>
      <c r="I9" t="e">
        <f>AND(Sheet2!H9,"AAAAAG77eQg=")</f>
        <v>#VALUE!</v>
      </c>
      <c r="J9">
        <f>IF(Sheet2!10:10,"AAAAAG77eQk=",0)</f>
        <v>0</v>
      </c>
      <c r="K9" t="e">
        <f>AND(Sheet2!A10,"AAAAAG77eQo=")</f>
        <v>#VALUE!</v>
      </c>
      <c r="L9" t="e">
        <f>AND(Sheet2!B10,"AAAAAG77eQs=")</f>
        <v>#VALUE!</v>
      </c>
      <c r="M9" t="e">
        <f>AND(Sheet2!C10,"AAAAAG77eQw=")</f>
        <v>#VALUE!</v>
      </c>
      <c r="N9" t="e">
        <f>AND(Sheet2!D10,"AAAAAG77eQ0=")</f>
        <v>#VALUE!</v>
      </c>
      <c r="O9" t="e">
        <f>AND(Sheet2!E10,"AAAAAG77eQ4=")</f>
        <v>#VALUE!</v>
      </c>
      <c r="P9" t="e">
        <f>AND(Sheet2!F10,"AAAAAG77eQ8=")</f>
        <v>#VALUE!</v>
      </c>
      <c r="Q9" t="e">
        <f>AND(Sheet2!G10,"AAAAAG77eRA=")</f>
        <v>#VALUE!</v>
      </c>
      <c r="R9" t="e">
        <f>AND(Sheet2!H10,"AAAAAG77eRE=")</f>
        <v>#VALUE!</v>
      </c>
      <c r="S9">
        <f>IF(Sheet2!11:11,"AAAAAG77eRI=",0)</f>
        <v>0</v>
      </c>
      <c r="T9" t="e">
        <f>AND(Sheet2!A11,"AAAAAG77eRM=")</f>
        <v>#VALUE!</v>
      </c>
      <c r="U9" t="e">
        <f>AND(Sheet2!B11,"AAAAAG77eRQ=")</f>
        <v>#VALUE!</v>
      </c>
      <c r="V9" t="e">
        <f>AND(Sheet2!C11,"AAAAAG77eRU=")</f>
        <v>#VALUE!</v>
      </c>
      <c r="W9" t="e">
        <f>AND(Sheet2!D11,"AAAAAG77eRY=")</f>
        <v>#VALUE!</v>
      </c>
      <c r="X9" t="e">
        <f>AND(Sheet2!E11,"AAAAAG77eRc=")</f>
        <v>#VALUE!</v>
      </c>
      <c r="Y9" t="e">
        <f>AND(Sheet2!F11,"AAAAAG77eRg=")</f>
        <v>#VALUE!</v>
      </c>
      <c r="Z9" t="e">
        <f>AND(Sheet2!G11,"AAAAAG77eRk=")</f>
        <v>#VALUE!</v>
      </c>
      <c r="AA9" t="e">
        <f>AND(Sheet2!H11,"AAAAAG77eRo=")</f>
        <v>#VALUE!</v>
      </c>
      <c r="AB9">
        <f>IF(Sheet2!12:12,"AAAAAG77eRs=",0)</f>
        <v>0</v>
      </c>
      <c r="AC9" t="e">
        <f>AND(Sheet2!A12,"AAAAAG77eRw=")</f>
        <v>#VALUE!</v>
      </c>
      <c r="AD9" t="e">
        <f>AND(Sheet2!B12,"AAAAAG77eR0=")</f>
        <v>#VALUE!</v>
      </c>
      <c r="AE9" t="e">
        <f>AND(Sheet2!C12,"AAAAAG77eR4=")</f>
        <v>#VALUE!</v>
      </c>
      <c r="AF9" t="e">
        <f>AND(Sheet2!D12,"AAAAAG77eR8=")</f>
        <v>#VALUE!</v>
      </c>
      <c r="AG9" t="e">
        <f>AND(Sheet2!E12,"AAAAAG77eSA=")</f>
        <v>#VALUE!</v>
      </c>
      <c r="AH9" t="e">
        <f>AND(Sheet2!F12,"AAAAAG77eSE=")</f>
        <v>#VALUE!</v>
      </c>
      <c r="AI9" t="e">
        <f>AND(Sheet2!G12,"AAAAAG77eSI=")</f>
        <v>#VALUE!</v>
      </c>
      <c r="AJ9" t="e">
        <f>AND(Sheet2!H12,"AAAAAG77eSM=")</f>
        <v>#VALUE!</v>
      </c>
      <c r="AK9">
        <f>IF(Sheet2!13:13,"AAAAAG77eSQ=",0)</f>
        <v>0</v>
      </c>
      <c r="AL9" t="e">
        <f>AND(Sheet2!A13,"AAAAAG77eSU=")</f>
        <v>#VALUE!</v>
      </c>
      <c r="AM9" t="e">
        <f>AND(Sheet2!B13,"AAAAAG77eSY=")</f>
        <v>#VALUE!</v>
      </c>
      <c r="AN9" t="e">
        <f>AND(Sheet2!C13,"AAAAAG77eSc=")</f>
        <v>#VALUE!</v>
      </c>
      <c r="AO9" t="e">
        <f>AND(Sheet2!D13,"AAAAAG77eSg=")</f>
        <v>#VALUE!</v>
      </c>
      <c r="AP9" t="e">
        <f>AND(Sheet2!E13,"AAAAAG77eSk=")</f>
        <v>#VALUE!</v>
      </c>
      <c r="AQ9" t="e">
        <f>AND(Sheet2!F13,"AAAAAG77eSo=")</f>
        <v>#VALUE!</v>
      </c>
      <c r="AR9" t="e">
        <f>AND(Sheet2!G13,"AAAAAG77eSs=")</f>
        <v>#VALUE!</v>
      </c>
      <c r="AS9" t="e">
        <f>AND(Sheet2!H13,"AAAAAG77eSw=")</f>
        <v>#VALUE!</v>
      </c>
      <c r="AT9">
        <f>IF(Sheet2!14:14,"AAAAAG77eS0=",0)</f>
        <v>0</v>
      </c>
      <c r="AU9" t="e">
        <f>AND(Sheet2!A14,"AAAAAG77eS4=")</f>
        <v>#VALUE!</v>
      </c>
      <c r="AV9" t="e">
        <f>AND(Sheet2!B14,"AAAAAG77eS8=")</f>
        <v>#VALUE!</v>
      </c>
      <c r="AW9" t="e">
        <f>AND(Sheet2!C14,"AAAAAG77eTA=")</f>
        <v>#VALUE!</v>
      </c>
      <c r="AX9" t="e">
        <f>AND(Sheet2!D14,"AAAAAG77eTE=")</f>
        <v>#VALUE!</v>
      </c>
      <c r="AY9" t="e">
        <f>AND(Sheet2!E14,"AAAAAG77eTI=")</f>
        <v>#VALUE!</v>
      </c>
      <c r="AZ9" t="e">
        <f>AND(Sheet2!F14,"AAAAAG77eTM=")</f>
        <v>#VALUE!</v>
      </c>
      <c r="BA9" t="e">
        <f>AND(Sheet2!G14,"AAAAAG77eTQ=")</f>
        <v>#VALUE!</v>
      </c>
      <c r="BB9" t="e">
        <f>AND(Sheet2!H14,"AAAAAG77eTU=")</f>
        <v>#VALUE!</v>
      </c>
      <c r="BC9">
        <f>IF(Sheet2!15:15,"AAAAAG77eTY=",0)</f>
        <v>0</v>
      </c>
      <c r="BD9" t="e">
        <f>AND(Sheet2!A15,"AAAAAG77eTc=")</f>
        <v>#VALUE!</v>
      </c>
      <c r="BE9" t="e">
        <f>AND(Sheet2!B15,"AAAAAG77eTg=")</f>
        <v>#VALUE!</v>
      </c>
      <c r="BF9" t="e">
        <f>AND(Sheet2!C15,"AAAAAG77eTk=")</f>
        <v>#VALUE!</v>
      </c>
      <c r="BG9" t="e">
        <f>AND(Sheet2!D15,"AAAAAG77eTo=")</f>
        <v>#VALUE!</v>
      </c>
      <c r="BH9" t="e">
        <f>AND(Sheet2!E15,"AAAAAG77eTs=")</f>
        <v>#VALUE!</v>
      </c>
      <c r="BI9" t="e">
        <f>AND(Sheet2!F15,"AAAAAG77eTw=")</f>
        <v>#VALUE!</v>
      </c>
      <c r="BJ9" t="e">
        <f>AND(Sheet2!G15,"AAAAAG77eT0=")</f>
        <v>#VALUE!</v>
      </c>
      <c r="BK9" t="e">
        <f>AND(Sheet2!H15,"AAAAAG77eT4=")</f>
        <v>#VALUE!</v>
      </c>
      <c r="BL9">
        <f>IF(Sheet2!16:16,"AAAAAG77eT8=",0)</f>
        <v>0</v>
      </c>
      <c r="BM9" t="e">
        <f>AND(Sheet2!A16,"AAAAAG77eUA=")</f>
        <v>#VALUE!</v>
      </c>
      <c r="BN9" t="e">
        <f>AND(Sheet2!B16,"AAAAAG77eUE=")</f>
        <v>#VALUE!</v>
      </c>
      <c r="BO9" t="e">
        <f>AND(Sheet2!C16,"AAAAAG77eUI=")</f>
        <v>#VALUE!</v>
      </c>
      <c r="BP9" t="e">
        <f>AND(Sheet2!D16,"AAAAAG77eUM=")</f>
        <v>#VALUE!</v>
      </c>
      <c r="BQ9" t="e">
        <f>AND(Sheet2!E16,"AAAAAG77eUQ=")</f>
        <v>#VALUE!</v>
      </c>
      <c r="BR9" t="e">
        <f>AND(Sheet2!F16,"AAAAAG77eUU=")</f>
        <v>#VALUE!</v>
      </c>
      <c r="BS9" t="e">
        <f>AND(Sheet2!G16,"AAAAAG77eUY=")</f>
        <v>#VALUE!</v>
      </c>
      <c r="BT9" t="e">
        <f>AND(Sheet2!H16,"AAAAAG77eUc=")</f>
        <v>#VALUE!</v>
      </c>
      <c r="BU9">
        <f>IF(Sheet2!17:17,"AAAAAG77eUg=",0)</f>
        <v>0</v>
      </c>
      <c r="BV9" t="e">
        <f>AND(Sheet2!A17,"AAAAAG77eUk=")</f>
        <v>#VALUE!</v>
      </c>
      <c r="BW9" t="e">
        <f>AND(Sheet2!B17,"AAAAAG77eUo=")</f>
        <v>#VALUE!</v>
      </c>
      <c r="BX9" t="e">
        <f>AND(Sheet2!C17,"AAAAAG77eUs=")</f>
        <v>#VALUE!</v>
      </c>
      <c r="BY9" t="e">
        <f>AND(Sheet2!D17,"AAAAAG77eUw=")</f>
        <v>#VALUE!</v>
      </c>
      <c r="BZ9" t="e">
        <f>AND(Sheet2!E17,"AAAAAG77eU0=")</f>
        <v>#VALUE!</v>
      </c>
      <c r="CA9" t="e">
        <f>AND(Sheet2!F17,"AAAAAG77eU4=")</f>
        <v>#VALUE!</v>
      </c>
      <c r="CB9" t="e">
        <f>AND(Sheet2!G17,"AAAAAG77eU8=")</f>
        <v>#VALUE!</v>
      </c>
      <c r="CC9" t="e">
        <f>AND(Sheet2!H17,"AAAAAG77eVA=")</f>
        <v>#VALUE!</v>
      </c>
      <c r="CD9">
        <f>IF(Sheet2!18:18,"AAAAAG77eVE=",0)</f>
        <v>0</v>
      </c>
      <c r="CE9" t="e">
        <f>AND(Sheet2!A18,"AAAAAG77eVI=")</f>
        <v>#VALUE!</v>
      </c>
      <c r="CF9" t="e">
        <f>AND(Sheet2!B18,"AAAAAG77eVM=")</f>
        <v>#VALUE!</v>
      </c>
      <c r="CG9" t="e">
        <f>AND(Sheet2!C18,"AAAAAG77eVQ=")</f>
        <v>#VALUE!</v>
      </c>
      <c r="CH9" t="e">
        <f>AND(Sheet2!D18,"AAAAAG77eVU=")</f>
        <v>#VALUE!</v>
      </c>
      <c r="CI9" t="e">
        <f>AND(Sheet2!E18,"AAAAAG77eVY=")</f>
        <v>#VALUE!</v>
      </c>
      <c r="CJ9" t="e">
        <f>AND(Sheet2!F18,"AAAAAG77eVc=")</f>
        <v>#VALUE!</v>
      </c>
      <c r="CK9" t="e">
        <f>AND(Sheet2!G18,"AAAAAG77eVg=")</f>
        <v>#VALUE!</v>
      </c>
      <c r="CL9" t="e">
        <f>AND(Sheet2!H18,"AAAAAG77eVk=")</f>
        <v>#VALUE!</v>
      </c>
      <c r="CM9">
        <f>IF(Sheet2!19:19,"AAAAAG77eVo=",0)</f>
        <v>0</v>
      </c>
      <c r="CN9" t="e">
        <f>AND(Sheet2!A19,"AAAAAG77eVs=")</f>
        <v>#VALUE!</v>
      </c>
      <c r="CO9" t="e">
        <f>AND(Sheet2!B19,"AAAAAG77eVw=")</f>
        <v>#VALUE!</v>
      </c>
      <c r="CP9" t="e">
        <f>AND(Sheet2!C19,"AAAAAG77eV0=")</f>
        <v>#VALUE!</v>
      </c>
      <c r="CQ9" t="e">
        <f>AND(Sheet2!D19,"AAAAAG77eV4=")</f>
        <v>#VALUE!</v>
      </c>
      <c r="CR9" t="e">
        <f>AND(Sheet2!E19,"AAAAAG77eV8=")</f>
        <v>#VALUE!</v>
      </c>
      <c r="CS9" t="e">
        <f>AND(Sheet2!F19,"AAAAAG77eWA=")</f>
        <v>#VALUE!</v>
      </c>
      <c r="CT9" t="e">
        <f>AND(Sheet2!G19,"AAAAAG77eWE=")</f>
        <v>#VALUE!</v>
      </c>
      <c r="CU9" t="e">
        <f>AND(Sheet2!H19,"AAAAAG77eWI=")</f>
        <v>#VALUE!</v>
      </c>
      <c r="CV9">
        <f>IF(Sheet2!20:20,"AAAAAG77eWM=",0)</f>
        <v>0</v>
      </c>
      <c r="CW9" t="e">
        <f>AND(Sheet2!A20,"AAAAAG77eWQ=")</f>
        <v>#VALUE!</v>
      </c>
      <c r="CX9" t="e">
        <f>AND(Sheet2!B20,"AAAAAG77eWU=")</f>
        <v>#VALUE!</v>
      </c>
      <c r="CY9" t="e">
        <f>AND(Sheet2!C20,"AAAAAG77eWY=")</f>
        <v>#VALUE!</v>
      </c>
      <c r="CZ9" t="e">
        <f>AND(Sheet2!D20,"AAAAAG77eWc=")</f>
        <v>#VALUE!</v>
      </c>
      <c r="DA9" t="e">
        <f>AND(Sheet2!E20,"AAAAAG77eWg=")</f>
        <v>#VALUE!</v>
      </c>
      <c r="DB9" t="e">
        <f>AND(Sheet2!F20,"AAAAAG77eWk=")</f>
        <v>#VALUE!</v>
      </c>
      <c r="DC9" t="e">
        <f>AND(Sheet2!G20,"AAAAAG77eWo=")</f>
        <v>#VALUE!</v>
      </c>
      <c r="DD9" t="e">
        <f>AND(Sheet2!H20,"AAAAAG77eWs=")</f>
        <v>#VALUE!</v>
      </c>
      <c r="DE9">
        <f>IF(Sheet2!21:21,"AAAAAG77eWw=",0)</f>
        <v>0</v>
      </c>
      <c r="DF9" t="e">
        <f>AND(Sheet2!A21,"AAAAAG77eW0=")</f>
        <v>#VALUE!</v>
      </c>
      <c r="DG9" t="e">
        <f>AND(Sheet2!B21,"AAAAAG77eW4=")</f>
        <v>#VALUE!</v>
      </c>
      <c r="DH9" t="e">
        <f>AND(Sheet2!C21,"AAAAAG77eW8=")</f>
        <v>#VALUE!</v>
      </c>
      <c r="DI9" t="e">
        <f>AND(Sheet2!D21,"AAAAAG77eXA=")</f>
        <v>#VALUE!</v>
      </c>
      <c r="DJ9" t="e">
        <f>AND(Sheet2!E21,"AAAAAG77eXE=")</f>
        <v>#VALUE!</v>
      </c>
      <c r="DK9" t="e">
        <f>AND(Sheet2!F21,"AAAAAG77eXI=")</f>
        <v>#VALUE!</v>
      </c>
      <c r="DL9" t="e">
        <f>AND(Sheet2!G21,"AAAAAG77eXM=")</f>
        <v>#VALUE!</v>
      </c>
      <c r="DM9" t="e">
        <f>AND(Sheet2!H21,"AAAAAG77eXQ=")</f>
        <v>#VALUE!</v>
      </c>
      <c r="DN9">
        <f>IF(Sheet2!22:22,"AAAAAG77eXU=",0)</f>
        <v>0</v>
      </c>
      <c r="DO9" t="e">
        <f>AND(Sheet2!A22,"AAAAAG77eXY=")</f>
        <v>#VALUE!</v>
      </c>
      <c r="DP9" t="e">
        <f>AND(Sheet2!B22,"AAAAAG77eXc=")</f>
        <v>#VALUE!</v>
      </c>
      <c r="DQ9" t="e">
        <f>AND(Sheet2!C22,"AAAAAG77eXg=")</f>
        <v>#VALUE!</v>
      </c>
      <c r="DR9" t="e">
        <f>AND(Sheet2!D22,"AAAAAG77eXk=")</f>
        <v>#VALUE!</v>
      </c>
      <c r="DS9" t="e">
        <f>AND(Sheet2!E22,"AAAAAG77eXo=")</f>
        <v>#VALUE!</v>
      </c>
      <c r="DT9" t="e">
        <f>AND(Sheet2!F22,"AAAAAG77eXs=")</f>
        <v>#VALUE!</v>
      </c>
      <c r="DU9" t="e">
        <f>AND(Sheet2!G22,"AAAAAG77eXw=")</f>
        <v>#VALUE!</v>
      </c>
      <c r="DV9" t="e">
        <f>AND(Sheet2!H22,"AAAAAG77eX0=")</f>
        <v>#VALUE!</v>
      </c>
      <c r="DW9">
        <f>IF(Sheet2!23:23,"AAAAAG77eX4=",0)</f>
        <v>0</v>
      </c>
      <c r="DX9" t="e">
        <f>AND(Sheet2!A23,"AAAAAG77eX8=")</f>
        <v>#VALUE!</v>
      </c>
      <c r="DY9" t="e">
        <f>AND(Sheet2!B23,"AAAAAG77eYA=")</f>
        <v>#VALUE!</v>
      </c>
      <c r="DZ9" t="e">
        <f>AND(Sheet2!C23,"AAAAAG77eYE=")</f>
        <v>#VALUE!</v>
      </c>
      <c r="EA9" t="e">
        <f>AND(Sheet2!D23,"AAAAAG77eYI=")</f>
        <v>#VALUE!</v>
      </c>
      <c r="EB9" t="e">
        <f>AND(Sheet2!E23,"AAAAAG77eYM=")</f>
        <v>#VALUE!</v>
      </c>
      <c r="EC9" t="e">
        <f>AND(Sheet2!F23,"AAAAAG77eYQ=")</f>
        <v>#VALUE!</v>
      </c>
      <c r="ED9" t="e">
        <f>AND(Sheet2!G23,"AAAAAG77eYU=")</f>
        <v>#VALUE!</v>
      </c>
      <c r="EE9" t="e">
        <f>AND(Sheet2!H23,"AAAAAG77eYY=")</f>
        <v>#VALUE!</v>
      </c>
      <c r="EF9">
        <f>IF(Sheet2!24:24,"AAAAAG77eYc=",0)</f>
        <v>0</v>
      </c>
      <c r="EG9" t="e">
        <f>AND(Sheet2!A24,"AAAAAG77eYg=")</f>
        <v>#VALUE!</v>
      </c>
      <c r="EH9" t="e">
        <f>AND(Sheet2!B24,"AAAAAG77eYk=")</f>
        <v>#VALUE!</v>
      </c>
      <c r="EI9" t="e">
        <f>AND(Sheet2!C24,"AAAAAG77eYo=")</f>
        <v>#VALUE!</v>
      </c>
      <c r="EJ9" t="e">
        <f>AND(Sheet2!D24,"AAAAAG77eYs=")</f>
        <v>#VALUE!</v>
      </c>
      <c r="EK9" t="e">
        <f>AND(Sheet2!E24,"AAAAAG77eYw=")</f>
        <v>#VALUE!</v>
      </c>
      <c r="EL9" t="e">
        <f>AND(Sheet2!F24,"AAAAAG77eY0=")</f>
        <v>#VALUE!</v>
      </c>
      <c r="EM9" t="e">
        <f>AND(Sheet2!G24,"AAAAAG77eY4=")</f>
        <v>#VALUE!</v>
      </c>
      <c r="EN9" t="e">
        <f>AND(Sheet2!H24,"AAAAAG77eY8=")</f>
        <v>#VALUE!</v>
      </c>
      <c r="EO9">
        <f>IF(Sheet2!25:25,"AAAAAG77eZA=",0)</f>
        <v>0</v>
      </c>
      <c r="EP9" t="e">
        <f>AND(Sheet2!A25,"AAAAAG77eZE=")</f>
        <v>#VALUE!</v>
      </c>
      <c r="EQ9" t="e">
        <f>AND(Sheet2!B25,"AAAAAG77eZI=")</f>
        <v>#VALUE!</v>
      </c>
      <c r="ER9" t="e">
        <f>AND(Sheet2!C25,"AAAAAG77eZM=")</f>
        <v>#VALUE!</v>
      </c>
      <c r="ES9" t="e">
        <f>AND(Sheet2!D25,"AAAAAG77eZQ=")</f>
        <v>#VALUE!</v>
      </c>
      <c r="ET9" t="e">
        <f>AND(Sheet2!E25,"AAAAAG77eZU=")</f>
        <v>#VALUE!</v>
      </c>
      <c r="EU9" t="e">
        <f>AND(Sheet2!F25,"AAAAAG77eZY=")</f>
        <v>#VALUE!</v>
      </c>
      <c r="EV9" t="e">
        <f>AND(Sheet2!G25,"AAAAAG77eZc=")</f>
        <v>#VALUE!</v>
      </c>
      <c r="EW9" t="e">
        <f>AND(Sheet2!H25,"AAAAAG77eZg=")</f>
        <v>#VALUE!</v>
      </c>
      <c r="EX9">
        <f>IF(Sheet2!26:26,"AAAAAG77eZk=",0)</f>
        <v>0</v>
      </c>
      <c r="EY9" t="e">
        <f>AND(Sheet2!A26,"AAAAAG77eZo=")</f>
        <v>#VALUE!</v>
      </c>
      <c r="EZ9" t="e">
        <f>AND(Sheet2!B26,"AAAAAG77eZs=")</f>
        <v>#VALUE!</v>
      </c>
      <c r="FA9" t="e">
        <f>AND(Sheet2!C26,"AAAAAG77eZw=")</f>
        <v>#VALUE!</v>
      </c>
      <c r="FB9" t="e">
        <f>AND(Sheet2!D26,"AAAAAG77eZ0=")</f>
        <v>#VALUE!</v>
      </c>
      <c r="FC9" t="e">
        <f>AND(Sheet2!E26,"AAAAAG77eZ4=")</f>
        <v>#VALUE!</v>
      </c>
      <c r="FD9" t="e">
        <f>AND(Sheet2!F26,"AAAAAG77eZ8=")</f>
        <v>#VALUE!</v>
      </c>
      <c r="FE9" t="e">
        <f>AND(Sheet2!G26,"AAAAAG77eaA=")</f>
        <v>#VALUE!</v>
      </c>
      <c r="FF9" t="e">
        <f>AND(Sheet2!H26,"AAAAAG77eaE=")</f>
        <v>#VALUE!</v>
      </c>
      <c r="FG9">
        <f>IF(Sheet2!27:27,"AAAAAG77eaI=",0)</f>
        <v>0</v>
      </c>
      <c r="FH9" t="e">
        <f>AND(Sheet2!A27,"AAAAAG77eaM=")</f>
        <v>#VALUE!</v>
      </c>
      <c r="FI9" t="e">
        <f>AND(Sheet2!B27,"AAAAAG77eaQ=")</f>
        <v>#VALUE!</v>
      </c>
      <c r="FJ9" t="e">
        <f>AND(Sheet2!C27,"AAAAAG77eaU=")</f>
        <v>#VALUE!</v>
      </c>
      <c r="FK9" t="e">
        <f>AND(Sheet2!D27,"AAAAAG77eaY=")</f>
        <v>#VALUE!</v>
      </c>
      <c r="FL9" t="e">
        <f>AND(Sheet2!E27,"AAAAAG77eac=")</f>
        <v>#VALUE!</v>
      </c>
      <c r="FM9" t="e">
        <f>AND(Sheet2!F27,"AAAAAG77eag=")</f>
        <v>#VALUE!</v>
      </c>
      <c r="FN9" t="e">
        <f>AND(Sheet2!G27,"AAAAAG77eak=")</f>
        <v>#VALUE!</v>
      </c>
      <c r="FO9" t="e">
        <f>AND(Sheet2!H27,"AAAAAG77eao=")</f>
        <v>#VALUE!</v>
      </c>
      <c r="FP9">
        <f>IF(Sheet2!28:28,"AAAAAG77eas=",0)</f>
        <v>0</v>
      </c>
      <c r="FQ9" t="e">
        <f>AND(Sheet2!A28,"AAAAAG77eaw=")</f>
        <v>#VALUE!</v>
      </c>
      <c r="FR9" t="e">
        <f>AND(Sheet2!B28,"AAAAAG77ea0=")</f>
        <v>#VALUE!</v>
      </c>
      <c r="FS9" t="e">
        <f>AND(Sheet2!C28,"AAAAAG77ea4=")</f>
        <v>#VALUE!</v>
      </c>
      <c r="FT9" t="e">
        <f>AND(Sheet2!D28,"AAAAAG77ea8=")</f>
        <v>#VALUE!</v>
      </c>
      <c r="FU9" t="e">
        <f>AND(Sheet2!E28,"AAAAAG77ebA=")</f>
        <v>#VALUE!</v>
      </c>
      <c r="FV9" t="e">
        <f>AND(Sheet2!F28,"AAAAAG77ebE=")</f>
        <v>#VALUE!</v>
      </c>
      <c r="FW9" t="e">
        <f>AND(Sheet2!G28,"AAAAAG77ebI=")</f>
        <v>#VALUE!</v>
      </c>
      <c r="FX9" t="e">
        <f>AND(Sheet2!H28,"AAAAAG77ebM=")</f>
        <v>#VALUE!</v>
      </c>
      <c r="FY9">
        <f>IF(Sheet2!29:29,"AAAAAG77ebQ=",0)</f>
        <v>0</v>
      </c>
      <c r="FZ9" t="e">
        <f>AND(Sheet2!A29,"AAAAAG77ebU=")</f>
        <v>#VALUE!</v>
      </c>
      <c r="GA9" t="e">
        <f>AND(Sheet2!B29,"AAAAAG77ebY=")</f>
        <v>#VALUE!</v>
      </c>
      <c r="GB9" t="e">
        <f>AND(Sheet2!C29,"AAAAAG77ebc=")</f>
        <v>#VALUE!</v>
      </c>
      <c r="GC9" t="e">
        <f>AND(Sheet2!D29,"AAAAAG77ebg=")</f>
        <v>#VALUE!</v>
      </c>
      <c r="GD9" t="e">
        <f>AND(Sheet2!E29,"AAAAAG77ebk=")</f>
        <v>#VALUE!</v>
      </c>
      <c r="GE9" t="e">
        <f>AND(Sheet2!F29,"AAAAAG77ebo=")</f>
        <v>#VALUE!</v>
      </c>
      <c r="GF9" t="e">
        <f>AND(Sheet2!G29,"AAAAAG77ebs=")</f>
        <v>#VALUE!</v>
      </c>
      <c r="GG9" t="e">
        <f>AND(Sheet2!H29,"AAAAAG77ebw=")</f>
        <v>#VALUE!</v>
      </c>
      <c r="GH9">
        <f>IF(Sheet2!30:30,"AAAAAG77eb0=",0)</f>
        <v>0</v>
      </c>
      <c r="GI9" t="e">
        <f>AND(Sheet2!A30,"AAAAAG77eb4=")</f>
        <v>#VALUE!</v>
      </c>
      <c r="GJ9" t="e">
        <f>AND(Sheet2!B30,"AAAAAG77eb8=")</f>
        <v>#VALUE!</v>
      </c>
      <c r="GK9" t="e">
        <f>AND(Sheet2!C30,"AAAAAG77ecA=")</f>
        <v>#VALUE!</v>
      </c>
      <c r="GL9" t="e">
        <f>AND(Sheet2!D30,"AAAAAG77ecE=")</f>
        <v>#VALUE!</v>
      </c>
      <c r="GM9" t="e">
        <f>AND(Sheet2!E30,"AAAAAG77ecI=")</f>
        <v>#VALUE!</v>
      </c>
      <c r="GN9" t="e">
        <f>AND(Sheet2!F30,"AAAAAG77ecM=")</f>
        <v>#VALUE!</v>
      </c>
      <c r="GO9" t="e">
        <f>AND(Sheet2!G30,"AAAAAG77ecQ=")</f>
        <v>#VALUE!</v>
      </c>
      <c r="GP9" t="e">
        <f>AND(Sheet2!H30,"AAAAAG77ecU=")</f>
        <v>#VALUE!</v>
      </c>
      <c r="GQ9">
        <f>IF(Sheet2!31:31,"AAAAAG77ecY=",0)</f>
        <v>0</v>
      </c>
      <c r="GR9" t="e">
        <f>AND(Sheet2!A31,"AAAAAG77ecc=")</f>
        <v>#VALUE!</v>
      </c>
      <c r="GS9" t="e">
        <f>AND(Sheet2!B31,"AAAAAG77ecg=")</f>
        <v>#VALUE!</v>
      </c>
      <c r="GT9" t="e">
        <f>AND(Sheet2!C31,"AAAAAG77eck=")</f>
        <v>#VALUE!</v>
      </c>
      <c r="GU9" t="e">
        <f>AND(Sheet2!D31,"AAAAAG77eco=")</f>
        <v>#VALUE!</v>
      </c>
      <c r="GV9" t="e">
        <f>AND(Sheet2!E31,"AAAAAG77ecs=")</f>
        <v>#VALUE!</v>
      </c>
      <c r="GW9" t="e">
        <f>AND(Sheet2!F31,"AAAAAG77ecw=")</f>
        <v>#VALUE!</v>
      </c>
      <c r="GX9" t="e">
        <f>AND(Sheet2!G31,"AAAAAG77ec0=")</f>
        <v>#VALUE!</v>
      </c>
      <c r="GY9" t="e">
        <f>AND(Sheet2!H31,"AAAAAG77ec4=")</f>
        <v>#VALUE!</v>
      </c>
      <c r="GZ9">
        <f>IF(Sheet2!32:32,"AAAAAG77ec8=",0)</f>
        <v>0</v>
      </c>
      <c r="HA9" t="e">
        <f>AND(Sheet2!A32,"AAAAAG77edA=")</f>
        <v>#VALUE!</v>
      </c>
      <c r="HB9" t="e">
        <f>AND(Sheet2!B32,"AAAAAG77edE=")</f>
        <v>#VALUE!</v>
      </c>
      <c r="HC9" t="e">
        <f>AND(Sheet2!C32,"AAAAAG77edI=")</f>
        <v>#VALUE!</v>
      </c>
      <c r="HD9" t="e">
        <f>AND(Sheet2!D32,"AAAAAG77edM=")</f>
        <v>#VALUE!</v>
      </c>
      <c r="HE9" t="e">
        <f>AND(Sheet2!E32,"AAAAAG77edQ=")</f>
        <v>#VALUE!</v>
      </c>
      <c r="HF9" t="e">
        <f>AND(Sheet2!F32,"AAAAAG77edU=")</f>
        <v>#VALUE!</v>
      </c>
      <c r="HG9" t="e">
        <f>AND(Sheet2!G32,"AAAAAG77edY=")</f>
        <v>#VALUE!</v>
      </c>
      <c r="HH9" t="e">
        <f>AND(Sheet2!H32,"AAAAAG77edc=")</f>
        <v>#VALUE!</v>
      </c>
      <c r="HI9">
        <f>IF(Sheet2!33:33,"AAAAAG77edg=",0)</f>
        <v>0</v>
      </c>
      <c r="HJ9" t="e">
        <f>AND(Sheet2!A33,"AAAAAG77edk=")</f>
        <v>#VALUE!</v>
      </c>
      <c r="HK9" t="e">
        <f>AND(Sheet2!B33,"AAAAAG77edo=")</f>
        <v>#VALUE!</v>
      </c>
      <c r="HL9" t="e">
        <f>AND(Sheet2!C33,"AAAAAG77eds=")</f>
        <v>#VALUE!</v>
      </c>
      <c r="HM9" t="e">
        <f>AND(Sheet2!D33,"AAAAAG77edw=")</f>
        <v>#VALUE!</v>
      </c>
      <c r="HN9" t="e">
        <f>AND(Sheet2!E33,"AAAAAG77ed0=")</f>
        <v>#VALUE!</v>
      </c>
      <c r="HO9" t="e">
        <f>AND(Sheet2!F33,"AAAAAG77ed4=")</f>
        <v>#VALUE!</v>
      </c>
      <c r="HP9" t="e">
        <f>AND(Sheet2!G33,"AAAAAG77ed8=")</f>
        <v>#VALUE!</v>
      </c>
      <c r="HQ9" t="e">
        <f>AND(Sheet2!H33,"AAAAAG77eeA=")</f>
        <v>#VALUE!</v>
      </c>
      <c r="HR9">
        <f>IF(Sheet2!34:34,"AAAAAG77eeE=",0)</f>
        <v>0</v>
      </c>
      <c r="HS9" t="e">
        <f>AND(Sheet2!A34,"AAAAAG77eeI=")</f>
        <v>#VALUE!</v>
      </c>
      <c r="HT9" t="e">
        <f>AND(Sheet2!B34,"AAAAAG77eeM=")</f>
        <v>#VALUE!</v>
      </c>
      <c r="HU9" t="e">
        <f>AND(Sheet2!C34,"AAAAAG77eeQ=")</f>
        <v>#VALUE!</v>
      </c>
      <c r="HV9" t="e">
        <f>AND(Sheet2!D34,"AAAAAG77eeU=")</f>
        <v>#VALUE!</v>
      </c>
      <c r="HW9" t="e">
        <f>AND(Sheet2!E34,"AAAAAG77eeY=")</f>
        <v>#VALUE!</v>
      </c>
      <c r="HX9" t="e">
        <f>AND(Sheet2!F34,"AAAAAG77eec=")</f>
        <v>#VALUE!</v>
      </c>
      <c r="HY9" t="e">
        <f>AND(Sheet2!G34,"AAAAAG77eeg=")</f>
        <v>#VALUE!</v>
      </c>
      <c r="HZ9" t="e">
        <f>AND(Sheet2!H34,"AAAAAG77eek=")</f>
        <v>#VALUE!</v>
      </c>
      <c r="IA9">
        <f>IF(Sheet2!35:35,"AAAAAG77eeo=",0)</f>
        <v>0</v>
      </c>
      <c r="IB9" t="e">
        <f>AND(Sheet2!A35,"AAAAAG77ees=")</f>
        <v>#VALUE!</v>
      </c>
      <c r="IC9" t="e">
        <f>AND(Sheet2!B35,"AAAAAG77eew=")</f>
        <v>#VALUE!</v>
      </c>
      <c r="ID9" t="e">
        <f>AND(Sheet2!C35,"AAAAAG77ee0=")</f>
        <v>#VALUE!</v>
      </c>
      <c r="IE9" t="e">
        <f>AND(Sheet2!D35,"AAAAAG77ee4=")</f>
        <v>#VALUE!</v>
      </c>
      <c r="IF9" t="e">
        <f>AND(Sheet2!E35,"AAAAAG77ee8=")</f>
        <v>#VALUE!</v>
      </c>
      <c r="IG9" t="e">
        <f>AND(Sheet2!F35,"AAAAAG77efA=")</f>
        <v>#VALUE!</v>
      </c>
      <c r="IH9" t="e">
        <f>AND(Sheet2!G35,"AAAAAG77efE=")</f>
        <v>#VALUE!</v>
      </c>
      <c r="II9" t="e">
        <f>AND(Sheet2!H35,"AAAAAG77efI=")</f>
        <v>#VALUE!</v>
      </c>
      <c r="IJ9">
        <f>IF(Sheet2!36:36,"AAAAAG77efM=",0)</f>
        <v>0</v>
      </c>
      <c r="IK9" t="e">
        <f>AND(Sheet2!A36,"AAAAAG77efQ=")</f>
        <v>#VALUE!</v>
      </c>
      <c r="IL9" t="e">
        <f>AND(Sheet2!B36,"AAAAAG77efU=")</f>
        <v>#VALUE!</v>
      </c>
      <c r="IM9" t="e">
        <f>AND(Sheet2!C36,"AAAAAG77efY=")</f>
        <v>#VALUE!</v>
      </c>
      <c r="IN9" t="e">
        <f>AND(Sheet2!D36,"AAAAAG77efc=")</f>
        <v>#VALUE!</v>
      </c>
      <c r="IO9" t="e">
        <f>AND(Sheet2!E36,"AAAAAG77efg=")</f>
        <v>#VALUE!</v>
      </c>
      <c r="IP9" t="e">
        <f>AND(Sheet2!F36,"AAAAAG77efk=")</f>
        <v>#VALUE!</v>
      </c>
      <c r="IQ9" t="e">
        <f>AND(Sheet2!G36,"AAAAAG77efo=")</f>
        <v>#VALUE!</v>
      </c>
      <c r="IR9" t="e">
        <f>AND(Sheet2!H36,"AAAAAG77efs=")</f>
        <v>#VALUE!</v>
      </c>
      <c r="IS9">
        <f>IF(Sheet2!37:37,"AAAAAG77efw=",0)</f>
        <v>0</v>
      </c>
      <c r="IT9" t="e">
        <f>AND(Sheet2!A37,"AAAAAG77ef0=")</f>
        <v>#VALUE!</v>
      </c>
      <c r="IU9" t="e">
        <f>AND(Sheet2!B37,"AAAAAG77ef4=")</f>
        <v>#VALUE!</v>
      </c>
      <c r="IV9" t="e">
        <f>AND(Sheet2!C37,"AAAAAG77ef8=")</f>
        <v>#VALUE!</v>
      </c>
    </row>
    <row r="10" spans="1:256">
      <c r="A10" t="e">
        <f>AND(Sheet2!D37,"AAAAAH/7+wA=")</f>
        <v>#VALUE!</v>
      </c>
      <c r="B10" t="e">
        <f>AND(Sheet2!E37,"AAAAAH/7+wE=")</f>
        <v>#VALUE!</v>
      </c>
      <c r="C10" t="e">
        <f>AND(Sheet2!F37,"AAAAAH/7+wI=")</f>
        <v>#VALUE!</v>
      </c>
      <c r="D10" t="e">
        <f>AND(Sheet2!G37,"AAAAAH/7+wM=")</f>
        <v>#VALUE!</v>
      </c>
      <c r="E10" t="e">
        <f>AND(Sheet2!H37,"AAAAAH/7+wQ=")</f>
        <v>#VALUE!</v>
      </c>
      <c r="F10" t="str">
        <f>IF(Sheet2!38:38,"AAAAAH/7+wU=",0)</f>
        <v>AAAAAH/7+wU=</v>
      </c>
      <c r="G10" t="e">
        <f>AND(Sheet2!A38,"AAAAAH/7+wY=")</f>
        <v>#VALUE!</v>
      </c>
      <c r="H10" t="e">
        <f>AND(Sheet2!B38,"AAAAAH/7+wc=")</f>
        <v>#VALUE!</v>
      </c>
      <c r="I10" t="e">
        <f>AND(Sheet2!C38,"AAAAAH/7+wg=")</f>
        <v>#VALUE!</v>
      </c>
      <c r="J10" t="e">
        <f>AND(Sheet2!D38,"AAAAAH/7+wk=")</f>
        <v>#VALUE!</v>
      </c>
      <c r="K10" t="e">
        <f>AND(Sheet2!E38,"AAAAAH/7+wo=")</f>
        <v>#VALUE!</v>
      </c>
      <c r="L10" t="e">
        <f>AND(Sheet2!F38,"AAAAAH/7+ws=")</f>
        <v>#VALUE!</v>
      </c>
      <c r="M10" t="e">
        <f>AND(Sheet2!G38,"AAAAAH/7+ww=")</f>
        <v>#VALUE!</v>
      </c>
      <c r="N10" t="e">
        <f>AND(Sheet2!H38,"AAAAAH/7+w0=")</f>
        <v>#VALUE!</v>
      </c>
      <c r="O10">
        <f>IF(Sheet2!39:39,"AAAAAH/7+w4=",0)</f>
        <v>0</v>
      </c>
      <c r="P10" t="e">
        <f>AND(Sheet2!A39,"AAAAAH/7+w8=")</f>
        <v>#VALUE!</v>
      </c>
      <c r="Q10" t="e">
        <f>AND(Sheet2!B39,"AAAAAH/7+xA=")</f>
        <v>#VALUE!</v>
      </c>
      <c r="R10" t="e">
        <f>AND(Sheet2!C39,"AAAAAH/7+xE=")</f>
        <v>#VALUE!</v>
      </c>
      <c r="S10" t="e">
        <f>AND(Sheet2!D39,"AAAAAH/7+xI=")</f>
        <v>#VALUE!</v>
      </c>
      <c r="T10" t="e">
        <f>AND(Sheet2!E39,"AAAAAH/7+xM=")</f>
        <v>#VALUE!</v>
      </c>
      <c r="U10" t="e">
        <f>AND(Sheet2!F39,"AAAAAH/7+xQ=")</f>
        <v>#VALUE!</v>
      </c>
      <c r="V10" t="e">
        <f>AND(Sheet2!G39,"AAAAAH/7+xU=")</f>
        <v>#VALUE!</v>
      </c>
      <c r="W10" t="e">
        <f>AND(Sheet2!H39,"AAAAAH/7+xY=")</f>
        <v>#VALUE!</v>
      </c>
      <c r="X10" t="str">
        <f>IF(Sheet2!B:B,"AAAAAH/7+xc=",0)</f>
        <v>AAAAAH/7+xc=</v>
      </c>
      <c r="Y10" t="str">
        <f>IF(Sheet2!C:C,"AAAAAH/7+xg=",0)</f>
        <v>AAAAAH/7+xg=</v>
      </c>
      <c r="Z10" t="str">
        <f>IF(Sheet2!D:D,"AAAAAH/7+xk=",0)</f>
        <v>AAAAAH/7+xk=</v>
      </c>
      <c r="AA10" t="str">
        <f>IF(Sheet2!E:E,"AAAAAH/7+xo=",0)</f>
        <v>AAAAAH/7+xo=</v>
      </c>
      <c r="AB10" t="str">
        <f>IF(Sheet2!F:F,"AAAAAH/7+xs=",0)</f>
        <v>AAAAAH/7+xs=</v>
      </c>
      <c r="AC10" t="str">
        <f>IF(Sheet2!G:G,"AAAAAH/7+xw=",0)</f>
        <v>AAAAAH/7+xw=</v>
      </c>
      <c r="AD10" t="str">
        <f>IF(Sheet2!H:H,"AAAAAH/7+x0=",0)</f>
        <v>AAAAAH/7+x0=</v>
      </c>
    </row>
  </sheetData>
  <pageMargins left="0.7" right="0.7" top="0.75" bottom="0.75" header="0.3" footer="0.3"/>
  <customProperties>
    <customPr name="DVSECTION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Sheet10</vt:lpstr>
      <vt:lpstr>Sheet11</vt:lpstr>
      <vt:lpstr>Sheet13</vt:lpstr>
      <vt:lpstr>Sheet1</vt:lpstr>
      <vt:lpstr>Sheet12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Tiffany Lin</dc:creator>
  <cp:lastModifiedBy>Tiffany Lin</cp:lastModifiedBy>
  <dcterms:created xsi:type="dcterms:W3CDTF">2012-05-10T05:15:06Z</dcterms:created>
  <dcterms:modified xsi:type="dcterms:W3CDTF">2012-05-17T19:34:52Z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oogle.Documents.Tracking">
    <vt:lpwstr>true</vt:lpwstr>
  </property>
  <property fmtid="{D5CDD505-2E9C-101B-9397-08002B2CF9AE}" pid="3" name="Google.Documents.DocumentId">
    <vt:lpwstr>1T7eAjzZWFvaf1_hBYuSvwQZ9Xccc66LFCk7kEmxRGiQ</vt:lpwstr>
  </property>
  <property fmtid="{D5CDD505-2E9C-101B-9397-08002B2CF9AE}" pid="4" name="Google.Documents.RevisionId">
    <vt:lpwstr>00446530518589440825</vt:lpwstr>
  </property>
  <property fmtid="{D5CDD505-2E9C-101B-9397-08002B2CF9AE}" pid="5" name="Google.Documents.PreviousRevisionId">
    <vt:lpwstr>05696465334103229686</vt:lpwstr>
  </property>
  <property fmtid="{D5CDD505-2E9C-101B-9397-08002B2CF9AE}" pid="6" name="Google.Documents.PluginVersion">
    <vt:lpwstr>2.0.2662.553</vt:lpwstr>
  </property>
  <property fmtid="{D5CDD505-2E9C-101B-9397-08002B2CF9AE}" pid="7" name="Google.Documents.MergeIncapabilityFlags">
    <vt:i4>0</vt:i4>
  </property>
</Properties>
</file>