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bohda\OneDrive\Рабочий стол\Новая папка\"/>
    </mc:Choice>
  </mc:AlternateContent>
  <xr:revisionPtr revIDLastSave="0" documentId="13_ncr:1_{6783EEFA-9F9F-4D41-B9E7-410EAF48E6E3}" xr6:coauthVersionLast="45" xr6:coauthVersionMax="45" xr10:uidLastSave="{00000000-0000-0000-0000-000000000000}"/>
  <bookViews>
    <workbookView xWindow="5235" yWindow="2100" windowWidth="23490" windowHeight="11970" xr2:uid="{00000000-000D-0000-FFFF-FFFF00000000}"/>
  </bookViews>
  <sheets>
    <sheet name="Sheet1" sheetId="1" r:id="rId1"/>
  </sheets>
  <definedNames>
    <definedName name="_xlchart.v1.0" hidden="1">Sheet1!$O$41:$O$56</definedName>
    <definedName name="_xlchart.v1.1" hidden="1">Sheet1!$Q$41:$Q$56</definedName>
    <definedName name="_xlchart.v1.2" hidden="1">Sheet1!$S$41:$S$56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1" i="1" l="1"/>
  <c r="S61" i="1"/>
  <c r="T57" i="1"/>
  <c r="T58" i="1"/>
  <c r="T59" i="1"/>
  <c r="T60" i="1"/>
  <c r="S57" i="1"/>
  <c r="S58" i="1"/>
  <c r="S59" i="1"/>
  <c r="S6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40" i="1"/>
  <c r="O37" i="1"/>
  <c r="O36" i="1"/>
  <c r="M36" i="1"/>
  <c r="B91" i="1" l="1"/>
  <c r="B70" i="1"/>
  <c r="B89" i="1" s="1"/>
  <c r="B90" i="1" s="1"/>
  <c r="B66" i="1"/>
  <c r="C62" i="1" l="1"/>
  <c r="B67" i="1"/>
  <c r="B71" i="1" l="1"/>
  <c r="B68" i="1"/>
  <c r="I79" i="1" s="1"/>
  <c r="E66" i="1"/>
  <c r="C59" i="1"/>
  <c r="C58" i="1"/>
  <c r="F3" i="1"/>
  <c r="E64" i="1"/>
  <c r="E63" i="1"/>
  <c r="B64" i="1"/>
  <c r="B65" i="1" s="1"/>
  <c r="B63" i="1"/>
  <c r="B57" i="1"/>
  <c r="B56" i="1"/>
  <c r="B55" i="1"/>
  <c r="D29" i="1"/>
  <c r="D28" i="1"/>
  <c r="D27" i="1"/>
  <c r="D43" i="1"/>
  <c r="D45" i="1"/>
  <c r="I74" i="1" l="1"/>
  <c r="I66" i="1"/>
  <c r="I83" i="1"/>
  <c r="I77" i="1"/>
  <c r="I73" i="1"/>
  <c r="I69" i="1"/>
  <c r="I65" i="1"/>
  <c r="I86" i="1"/>
  <c r="I82" i="1"/>
  <c r="I78" i="1"/>
  <c r="I70" i="1"/>
  <c r="I87" i="1"/>
  <c r="B69" i="1"/>
  <c r="I76" i="1"/>
  <c r="I72" i="1"/>
  <c r="I68" i="1"/>
  <c r="I64" i="1"/>
  <c r="I85" i="1"/>
  <c r="I81" i="1"/>
  <c r="I63" i="1"/>
  <c r="I75" i="1"/>
  <c r="I71" i="1"/>
  <c r="I67" i="1"/>
  <c r="I88" i="1"/>
  <c r="I84" i="1"/>
  <c r="I80" i="1"/>
  <c r="H3" i="1"/>
  <c r="J65" i="1" l="1"/>
  <c r="K65" i="1" s="1"/>
  <c r="J69" i="1"/>
  <c r="K69" i="1" s="1"/>
  <c r="J73" i="1"/>
  <c r="K73" i="1" s="1"/>
  <c r="J77" i="1"/>
  <c r="K77" i="1" s="1"/>
  <c r="J82" i="1"/>
  <c r="K82" i="1" s="1"/>
  <c r="J86" i="1"/>
  <c r="K86" i="1" s="1"/>
  <c r="J66" i="1"/>
  <c r="K66" i="1" s="1"/>
  <c r="J70" i="1"/>
  <c r="K70" i="1" s="1"/>
  <c r="J74" i="1"/>
  <c r="K74" i="1" s="1"/>
  <c r="J78" i="1"/>
  <c r="K78" i="1" s="1"/>
  <c r="J83" i="1"/>
  <c r="K83" i="1" s="1"/>
  <c r="J87" i="1"/>
  <c r="K87" i="1" s="1"/>
  <c r="J64" i="1"/>
  <c r="K64" i="1" s="1"/>
  <c r="J72" i="1"/>
  <c r="K72" i="1" s="1"/>
  <c r="J81" i="1"/>
  <c r="K81" i="1" s="1"/>
  <c r="J63" i="1"/>
  <c r="K63" i="1" s="1"/>
  <c r="J67" i="1"/>
  <c r="K67" i="1" s="1"/>
  <c r="J71" i="1"/>
  <c r="K71" i="1" s="1"/>
  <c r="J75" i="1"/>
  <c r="K75" i="1" s="1"/>
  <c r="J80" i="1"/>
  <c r="K80" i="1" s="1"/>
  <c r="J84" i="1"/>
  <c r="K84" i="1" s="1"/>
  <c r="J88" i="1"/>
  <c r="K88" i="1" s="1"/>
  <c r="J68" i="1"/>
  <c r="K68" i="1" s="1"/>
  <c r="J76" i="1"/>
  <c r="K76" i="1" s="1"/>
  <c r="J85" i="1"/>
  <c r="K85" i="1" s="1"/>
  <c r="J79" i="1"/>
  <c r="K79" i="1" s="1"/>
</calcChain>
</file>

<file path=xl/sharedStrings.xml><?xml version="1.0" encoding="utf-8"?>
<sst xmlns="http://schemas.openxmlformats.org/spreadsheetml/2006/main" count="139" uniqueCount="124">
  <si>
    <t xml:space="preserve">Цифрові мікросхеми </t>
  </si>
  <si>
    <t>№</t>
  </si>
  <si>
    <t>Назва</t>
  </si>
  <si>
    <t>Маса</t>
  </si>
  <si>
    <t>DS1307</t>
  </si>
  <si>
    <t>PIC16F84A</t>
  </si>
  <si>
    <t>Датчики</t>
  </si>
  <si>
    <t>Транзистори</t>
  </si>
  <si>
    <t>С1</t>
  </si>
  <si>
    <t>DD1</t>
  </si>
  <si>
    <t>DD2</t>
  </si>
  <si>
    <t>DD3</t>
  </si>
  <si>
    <t>BK1</t>
  </si>
  <si>
    <t>VT1</t>
  </si>
  <si>
    <t>VT2</t>
  </si>
  <si>
    <t>VT4</t>
  </si>
  <si>
    <t>VT5</t>
  </si>
  <si>
    <t>VT3</t>
  </si>
  <si>
    <t>C2</t>
  </si>
  <si>
    <t>C4</t>
  </si>
  <si>
    <t>КТ361Б ФЫ0.336.201 ТУ</t>
  </si>
  <si>
    <t>КТ315Б ЖК3.365.200 ТУ</t>
  </si>
  <si>
    <t xml:space="preserve">DS1621 </t>
  </si>
  <si>
    <t>Конденсатори</t>
  </si>
  <si>
    <t>С3</t>
  </si>
  <si>
    <t>С5</t>
  </si>
  <si>
    <t>С6</t>
  </si>
  <si>
    <t>С7</t>
  </si>
  <si>
    <t>С8</t>
  </si>
  <si>
    <t>Резистори</t>
  </si>
  <si>
    <t>R1</t>
  </si>
  <si>
    <t>R12-R15</t>
  </si>
  <si>
    <t>R18-R22</t>
  </si>
  <si>
    <t>C2-33 1 кОм +5%, 0.125Вт ОЖ0.467.093 ТУ</t>
  </si>
  <si>
    <t>R2-R9</t>
  </si>
  <si>
    <t>C2-33 160 Ом +5%, 0.125Вт ОЖ0.467.093 ТУ</t>
  </si>
  <si>
    <t>R10</t>
  </si>
  <si>
    <t>R11</t>
  </si>
  <si>
    <t>C2-33 3 кОм +5%, 0.125Вт ОЖ0.467.093 ТУ</t>
  </si>
  <si>
    <t>R16</t>
  </si>
  <si>
    <t>R17</t>
  </si>
  <si>
    <t>C2-33 510 Ом +5%, 0.125Вт ОЖ0.467.093 ТУ</t>
  </si>
  <si>
    <t>Резонатори</t>
  </si>
  <si>
    <t>ZQ1</t>
  </si>
  <si>
    <t>ZQ2</t>
  </si>
  <si>
    <t>HA1</t>
  </si>
  <si>
    <t>Світлодіоди</t>
  </si>
  <si>
    <t>HL1</t>
  </si>
  <si>
    <t>HL2</t>
  </si>
  <si>
    <t>L-34GD</t>
  </si>
  <si>
    <t>Звуковипромінювачі</t>
  </si>
  <si>
    <t>Світлодіодні цифрові індикатори</t>
  </si>
  <si>
    <t>HG1-HG4</t>
  </si>
  <si>
    <t>FYS-10012BUG</t>
  </si>
  <si>
    <t>Кнопки</t>
  </si>
  <si>
    <t>SB1-SB6</t>
  </si>
  <si>
    <t>TS-A3PG-130</t>
  </si>
  <si>
    <t>Дроселі</t>
  </si>
  <si>
    <t>L1</t>
  </si>
  <si>
    <t>ДПИ-0.6-50 мкГн 5%</t>
  </si>
  <si>
    <t>K50-35-16 ОЖ0.464.214 ТУ</t>
  </si>
  <si>
    <t>Батарея резервного живлення</t>
  </si>
  <si>
    <t>G1</t>
  </si>
  <si>
    <t>Елемент живлення літієвий 3В</t>
  </si>
  <si>
    <t>BH800</t>
  </si>
  <si>
    <t>DT-38, 32768 Гц</t>
  </si>
  <si>
    <t xml:space="preserve">HC-49S, 4 МГц </t>
  </si>
  <si>
    <t>1205FXP 5В</t>
  </si>
  <si>
    <t>К73-17 0.1 мкФ 63В 10% ОЖО.461.104 ТУ</t>
  </si>
  <si>
    <t>К10-17Б М47 33пФ 50В 5% ОЖ0.460.172ТУ</t>
  </si>
  <si>
    <t xml:space="preserve">Плата </t>
  </si>
  <si>
    <t>З.м + плата</t>
  </si>
  <si>
    <t>Батарея резервного живлення CR2032</t>
  </si>
  <si>
    <t xml:space="preserve">Годинник реального часу DS1307 </t>
  </si>
  <si>
    <t>Дросель ДПИ-0.6-50 мкГн 5%</t>
  </si>
  <si>
    <t>Здвиговий регістр 74HC164</t>
  </si>
  <si>
    <t>Звуковипромінювач 1205FXP</t>
  </si>
  <si>
    <t xml:space="preserve">К10-17Б 33 пФ ±5%, 50В ОЖ0.460.172 ТУ   </t>
  </si>
  <si>
    <t xml:space="preserve">К73-17 0.1 мкФ ±10%, 63В ОЖ0.461.104 ТУ   </t>
  </si>
  <si>
    <t xml:space="preserve">К50-35 470 мкФ ±10%, 16В ОЖ0.462.214 ТУ   </t>
  </si>
  <si>
    <t>КТ315Б ЖКЗ.365.200 ТУ</t>
  </si>
  <si>
    <t>КТ361Б ФЫО.336.201 ТУ</t>
  </si>
  <si>
    <t>Мікроконтролер PIC 8-біт PIC16F84A</t>
  </si>
  <si>
    <t>Резонатор DT-38, 32768 Гц</t>
  </si>
  <si>
    <t xml:space="preserve">Резонатор HC-49S, 4 МГц </t>
  </si>
  <si>
    <t xml:space="preserve">С2-33 160 Ом ±5%, 0.125Вт ОЖ0.467.093 ТУ   </t>
  </si>
  <si>
    <t xml:space="preserve">С2-33 510 Ом ±5%, 0.125Вт ОЖ0.467.093 ТУ   </t>
  </si>
  <si>
    <t xml:space="preserve">С2-33 1 кОм ±5%, 0.125Вт ОЖ0.467.093 ТУ   </t>
  </si>
  <si>
    <t xml:space="preserve">С2-33 3 кОм ±5%, 0.125Вт ОЖ0.467.093 ТУ    </t>
  </si>
  <si>
    <t>Тактова кнопка TS-A3PG-130</t>
  </si>
  <si>
    <t>Світлодіод L-34GD</t>
  </si>
  <si>
    <t>Світлодіодний цифровий індикатор FYS-10012BUG</t>
  </si>
  <si>
    <t>m(кг)</t>
  </si>
  <si>
    <t>m(г)</t>
  </si>
  <si>
    <t>b(мм)</t>
  </si>
  <si>
    <t>V(м^3)</t>
  </si>
  <si>
    <t>a(мм)</t>
  </si>
  <si>
    <t>d(мм)</t>
  </si>
  <si>
    <t>α</t>
  </si>
  <si>
    <t>p(кг/м3)</t>
  </si>
  <si>
    <t>p(г/см3)</t>
  </si>
  <si>
    <t>m(плати)</t>
  </si>
  <si>
    <t>Загальна маса елементів</t>
  </si>
  <si>
    <t>m(елем)</t>
  </si>
  <si>
    <t>Кв</t>
  </si>
  <si>
    <t>E</t>
  </si>
  <si>
    <t>μ</t>
  </si>
  <si>
    <t>d(м)</t>
  </si>
  <si>
    <t>D(Н м)</t>
  </si>
  <si>
    <t>g</t>
  </si>
  <si>
    <t>ν</t>
  </si>
  <si>
    <t>f(с) Гц</t>
  </si>
  <si>
    <t>n</t>
  </si>
  <si>
    <t>Кд</t>
  </si>
  <si>
    <t>f</t>
  </si>
  <si>
    <t>A(мм)</t>
  </si>
  <si>
    <t>Eпс</t>
  </si>
  <si>
    <t>Умова віброміцності</t>
  </si>
  <si>
    <t>W(мм)</t>
  </si>
  <si>
    <t>W(м)</t>
  </si>
  <si>
    <t>P(д) Н/м2</t>
  </si>
  <si>
    <t>М(Н)</t>
  </si>
  <si>
    <t>74HC164</t>
  </si>
  <si>
    <t>cигма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</si>
</sst>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2122"/>
      <name val="Palatino Linotype"/>
      <family val="1"/>
      <charset val="204"/>
    </font>
    <font>
      <sz val="1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11" fontId="7" fillId="0" borderId="3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>
                <a:effectLst/>
              </a:rPr>
              <a:t>Графік залежності </a:t>
            </a:r>
            <a:r>
              <a:rPr lang="uk-UA" sz="1800" b="1">
                <a:effectLst/>
              </a:rPr>
              <a:t>W(f)</a:t>
            </a:r>
            <a:r>
              <a:rPr lang="uk-UA" sz="1800">
                <a:effectLst/>
              </a:rPr>
              <a:t>:</a:t>
            </a:r>
            <a:endParaRPr lang="ru-RU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Sheet1!$H$63:$H$88</c:f>
              <c:numCache>
                <c:formatCode>General</c:formatCode>
                <c:ptCount val="26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60</c:v>
                </c:pt>
                <c:pt idx="4">
                  <c:v>85</c:v>
                </c:pt>
                <c:pt idx="5">
                  <c:v>105</c:v>
                </c:pt>
                <c:pt idx="6">
                  <c:v>125</c:v>
                </c:pt>
                <c:pt idx="7">
                  <c:v>145</c:v>
                </c:pt>
                <c:pt idx="8">
                  <c:v>165</c:v>
                </c:pt>
                <c:pt idx="9">
                  <c:v>185</c:v>
                </c:pt>
                <c:pt idx="10">
                  <c:v>205</c:v>
                </c:pt>
                <c:pt idx="11">
                  <c:v>225</c:v>
                </c:pt>
                <c:pt idx="12">
                  <c:v>245</c:v>
                </c:pt>
                <c:pt idx="13">
                  <c:v>265</c:v>
                </c:pt>
                <c:pt idx="14">
                  <c:v>285</c:v>
                </c:pt>
                <c:pt idx="15">
                  <c:v>305</c:v>
                </c:pt>
                <c:pt idx="16">
                  <c:v>325</c:v>
                </c:pt>
                <c:pt idx="17">
                  <c:v>345</c:v>
                </c:pt>
                <c:pt idx="18">
                  <c:v>365</c:v>
                </c:pt>
                <c:pt idx="19">
                  <c:v>385</c:v>
                </c:pt>
                <c:pt idx="20">
                  <c:v>405</c:v>
                </c:pt>
                <c:pt idx="21">
                  <c:v>425</c:v>
                </c:pt>
                <c:pt idx="22">
                  <c:v>445</c:v>
                </c:pt>
                <c:pt idx="23">
                  <c:v>465</c:v>
                </c:pt>
                <c:pt idx="24">
                  <c:v>485</c:v>
                </c:pt>
                <c:pt idx="25">
                  <c:v>505</c:v>
                </c:pt>
              </c:numCache>
            </c:numRef>
          </c:xVal>
          <c:yVal>
            <c:numRef>
              <c:f>Sheet1!$J$63:$J$88</c:f>
              <c:numCache>
                <c:formatCode>General</c:formatCode>
                <c:ptCount val="26"/>
                <c:pt idx="0">
                  <c:v>5.5779722404337645E-3</c:v>
                </c:pt>
                <c:pt idx="1">
                  <c:v>5.6040744436789596E-3</c:v>
                </c:pt>
                <c:pt idx="2">
                  <c:v>5.6659383045051196E-3</c:v>
                </c:pt>
                <c:pt idx="3">
                  <c:v>5.737185127074094E-3</c:v>
                </c:pt>
                <c:pt idx="4">
                  <c:v>5.9081624477914313E-3</c:v>
                </c:pt>
                <c:pt idx="5">
                  <c:v>6.0986628990151561E-3</c:v>
                </c:pt>
                <c:pt idx="6">
                  <c:v>6.3463328179391041E-3</c:v>
                </c:pt>
                <c:pt idx="7">
                  <c:v>6.6639590518575648E-3</c:v>
                </c:pt>
                <c:pt idx="8">
                  <c:v>7.0701183307324477E-3</c:v>
                </c:pt>
                <c:pt idx="9">
                  <c:v>7.5923727521230279E-3</c:v>
                </c:pt>
                <c:pt idx="10">
                  <c:v>8.272956966769272E-3</c:v>
                </c:pt>
                <c:pt idx="11">
                  <c:v>9.1795147739491892E-3</c:v>
                </c:pt>
                <c:pt idx="12">
                  <c:v>1.0426956044256509E-2</c:v>
                </c:pt>
                <c:pt idx="13">
                  <c:v>1.2226519095067194E-2</c:v>
                </c:pt>
                <c:pt idx="14">
                  <c:v>1.501126242125839E-2</c:v>
                </c:pt>
                <c:pt idx="15">
                  <c:v>1.9821389056735868E-2</c:v>
                </c:pt>
                <c:pt idx="16">
                  <c:v>2.9853392829964725E-2</c:v>
                </c:pt>
                <c:pt idx="17">
                  <c:v>5.9160087315393899E-2</c:v>
                </c:pt>
                <c:pt idx="18">
                  <c:v>7.8738376965277745E-2</c:v>
                </c:pt>
                <c:pt idx="19">
                  <c:v>3.3685642722243052E-2</c:v>
                </c:pt>
                <c:pt idx="20">
                  <c:v>1.9666129982631418E-2</c:v>
                </c:pt>
                <c:pt idx="21">
                  <c:v>1.358099538209593E-2</c:v>
                </c:pt>
                <c:pt idx="22">
                  <c:v>1.0235841761814154E-2</c:v>
                </c:pt>
                <c:pt idx="23">
                  <c:v>8.1334995098019669E-3</c:v>
                </c:pt>
                <c:pt idx="24">
                  <c:v>6.6954578665322688E-3</c:v>
                </c:pt>
                <c:pt idx="25">
                  <c:v>5.6529078857862347E-3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76-4CD0-B67D-E422305E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89520"/>
        <c:axId val="904167488"/>
      </c:scatterChart>
      <c:valAx>
        <c:axId val="7763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167488"/>
        <c:crosses val="autoZero"/>
        <c:crossBetween val="midCat"/>
      </c:valAx>
      <c:valAx>
        <c:axId val="9041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63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Sheet1!$O$40:$O$61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  <c:pt idx="15">
                  <c:v>140000</c:v>
                </c:pt>
                <c:pt idx="16">
                  <c:v>150000</c:v>
                </c:pt>
                <c:pt idx="17">
                  <c:v>160000</c:v>
                </c:pt>
                <c:pt idx="18">
                  <c:v>170000</c:v>
                </c:pt>
                <c:pt idx="19">
                  <c:v>180000</c:v>
                </c:pt>
                <c:pt idx="20">
                  <c:v>190000</c:v>
                </c:pt>
                <c:pt idx="21">
                  <c:v>200000</c:v>
                </c:pt>
              </c:numCache>
            </c:numRef>
          </c:xVal>
          <c:yVal>
            <c:numRef>
              <c:f>Sheet1!$S$40:$S$61</c:f>
              <c:numCache>
                <c:formatCode>General</c:formatCode>
                <c:ptCount val="22"/>
                <c:pt idx="0">
                  <c:v>1</c:v>
                </c:pt>
                <c:pt idx="1">
                  <c:v>0.99998933885683039</c:v>
                </c:pt>
                <c:pt idx="2">
                  <c:v>0.89887436859399839</c:v>
                </c:pt>
                <c:pt idx="3">
                  <c:v>0.80797513051525927</c:v>
                </c:pt>
                <c:pt idx="4">
                  <c:v>0.72626813528155709</c:v>
                </c:pt>
                <c:pt idx="5">
                  <c:v>0.65282381153115021</c:v>
                </c:pt>
                <c:pt idx="6">
                  <c:v>0.58680659139319014</c:v>
                </c:pt>
                <c:pt idx="7">
                  <c:v>0.52746540432535016</c:v>
                </c:pt>
                <c:pt idx="8">
                  <c:v>0.47412513226812714</c:v>
                </c:pt>
                <c:pt idx="9">
                  <c:v>0.42617892890205877</c:v>
                </c:pt>
                <c:pt idx="10">
                  <c:v>0.38308131562490461</c:v>
                </c:pt>
                <c:pt idx="11">
                  <c:v>0.34434197570249436</c:v>
                </c:pt>
                <c:pt idx="12">
                  <c:v>0.30952017598998949</c:v>
                </c:pt>
                <c:pt idx="13">
                  <c:v>0.27821975276010508</c:v>
                </c:pt>
                <c:pt idx="14">
                  <c:v>0.25008460459261783</c:v>
                </c:pt>
                <c:pt idx="15">
                  <c:v>0.22479464104826907</c:v>
                </c:pt>
                <c:pt idx="16">
                  <c:v>0.20206214103557738</c:v>
                </c:pt>
                <c:pt idx="17">
                  <c:v>0.18162847944010607</c:v>
                </c:pt>
                <c:pt idx="18">
                  <c:v>0.16326118477541335</c:v>
                </c:pt>
                <c:pt idx="19">
                  <c:v>0.14675129438090778</c:v>
                </c:pt>
                <c:pt idx="20">
                  <c:v>0.13191097707699045</c:v>
                </c:pt>
                <c:pt idx="21">
                  <c:v>0.11857139623069722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1-4324-8C3E-C4752771FA5F}"/>
            </c:ext>
          </c:extLst>
        </c:ser>
        <c:ser>
          <c:idx val="1"/>
          <c:order val="1"/>
          <c:tx>
            <c:v>Q(t)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Sheet1!$O$40:$O$61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  <c:pt idx="15">
                  <c:v>140000</c:v>
                </c:pt>
                <c:pt idx="16">
                  <c:v>150000</c:v>
                </c:pt>
                <c:pt idx="17">
                  <c:v>160000</c:v>
                </c:pt>
                <c:pt idx="18">
                  <c:v>170000</c:v>
                </c:pt>
                <c:pt idx="19">
                  <c:v>180000</c:v>
                </c:pt>
                <c:pt idx="20">
                  <c:v>190000</c:v>
                </c:pt>
                <c:pt idx="21">
                  <c:v>200000</c:v>
                </c:pt>
              </c:numCache>
            </c:numRef>
          </c:xVal>
          <c:yVal>
            <c:numRef>
              <c:f>Sheet1!$T$40:$T$61</c:f>
              <c:numCache>
                <c:formatCode>General</c:formatCode>
                <c:ptCount val="22"/>
                <c:pt idx="0">
                  <c:v>0</c:v>
                </c:pt>
                <c:pt idx="1">
                  <c:v>1.0661143169610199E-5</c:v>
                </c:pt>
                <c:pt idx="2">
                  <c:v>0.10112563140600161</c:v>
                </c:pt>
                <c:pt idx="3">
                  <c:v>0.19202486948474073</c:v>
                </c:pt>
                <c:pt idx="4">
                  <c:v>0.27373186471844291</c:v>
                </c:pt>
                <c:pt idx="5">
                  <c:v>0.34717618846884979</c:v>
                </c:pt>
                <c:pt idx="6">
                  <c:v>0.41319340860680986</c:v>
                </c:pt>
                <c:pt idx="7">
                  <c:v>0.47253459567464984</c:v>
                </c:pt>
                <c:pt idx="8">
                  <c:v>0.52587486773187286</c:v>
                </c:pt>
                <c:pt idx="9">
                  <c:v>0.57382107109794123</c:v>
                </c:pt>
                <c:pt idx="10">
                  <c:v>0.61691868437509534</c:v>
                </c:pt>
                <c:pt idx="11">
                  <c:v>0.65565802429750564</c:v>
                </c:pt>
                <c:pt idx="12">
                  <c:v>0.69047982401001051</c:v>
                </c:pt>
                <c:pt idx="13">
                  <c:v>0.72178024723989487</c:v>
                </c:pt>
                <c:pt idx="14">
                  <c:v>0.74991539540738217</c:v>
                </c:pt>
                <c:pt idx="15">
                  <c:v>0.77520535895173093</c:v>
                </c:pt>
                <c:pt idx="16">
                  <c:v>0.7979378589644226</c:v>
                </c:pt>
                <c:pt idx="17">
                  <c:v>0.81837152055989393</c:v>
                </c:pt>
                <c:pt idx="18">
                  <c:v>0.83673881522458671</c:v>
                </c:pt>
                <c:pt idx="19">
                  <c:v>0.85324870561909227</c:v>
                </c:pt>
                <c:pt idx="20">
                  <c:v>0.8680890229230096</c:v>
                </c:pt>
                <c:pt idx="21">
                  <c:v>0.88142860376930277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1-4324-8C3E-C4752771F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06784"/>
        <c:axId val="739945008"/>
      </c:scatterChart>
      <c:valAx>
        <c:axId val="1177506784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945008"/>
        <c:crosses val="autoZero"/>
        <c:crossBetween val="midCat"/>
      </c:valAx>
      <c:valAx>
        <c:axId val="739945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50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213047</xdr:colOff>
      <xdr:row>53</xdr:row>
      <xdr:rowOff>105102</xdr:rowOff>
    </xdr:from>
    <xdr:to>
      <xdr:col>9</xdr:col>
      <xdr:colOff>346123</xdr:colOff>
      <xdr:row>59</xdr:row>
      <xdr:rowOff>66095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107B0C5-5C5B-47B8-8F3D-6BC3FE7D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7185" y="10201602"/>
          <a:ext cx="4048179" cy="1210839"/>
        </a:xfrm>
        <a:prstGeom prst="rect">
          <a:avLst/>
        </a:prstGeom>
      </xdr:spPr>
    </xdr:pic>
    <xdr:clientData/>
  </xdr:twoCellAnchor>
  <xdr:twoCellAnchor>
    <xdr:from>
      <xdr:col>1</xdr:col>
      <xdr:colOff>5254</xdr:colOff>
      <xdr:row>71</xdr:row>
      <xdr:rowOff>189185</xdr:rowOff>
    </xdr:from>
    <xdr:to>
      <xdr:col>4</xdr:col>
      <xdr:colOff>369832</xdr:colOff>
      <xdr:row>86</xdr:row>
      <xdr:rowOff>74885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B7CC4EA-8F3E-40AF-B00C-4078D65B4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240440</xdr:colOff>
      <xdr:row>41</xdr:row>
      <xdr:rowOff>191377</xdr:rowOff>
    </xdr:from>
    <xdr:to>
      <xdr:col>28</xdr:col>
      <xdr:colOff>530087</xdr:colOff>
      <xdr:row>53</xdr:row>
      <xdr:rowOff>16565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11B9DA6-BE5F-499E-A144-3D5333FD0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"/>
  <sheetViews>
    <sheetView tabSelected="1" topLeftCell="O40" zoomScale="115" zoomScaleNormal="115" workbookViewId="0">
      <selection activeCell="AC55" sqref="AC55"/>
    </sheetView>
  </sheetViews>
  <sheetFormatPr defaultRowHeight="15" x14ac:dyDescent="0.25"/>
  <cols>
    <col min="2" max="2" width="44.7109375" customWidth="1"/>
    <col min="5" max="5" width="12.85546875" bestFit="1" customWidth="1"/>
    <col min="11" max="11" width="12" bestFit="1" customWidth="1"/>
    <col min="15" max="15" width="12.42578125" bestFit="1" customWidth="1"/>
    <col min="16" max="16" width="9.42578125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D2" t="s">
        <v>3</v>
      </c>
      <c r="F2" t="s">
        <v>102</v>
      </c>
      <c r="H2" t="s">
        <v>71</v>
      </c>
    </row>
    <row r="3" spans="1:12" x14ac:dyDescent="0.25">
      <c r="A3" t="s">
        <v>9</v>
      </c>
      <c r="B3" t="s">
        <v>122</v>
      </c>
      <c r="D3">
        <v>3</v>
      </c>
      <c r="F3">
        <f>SUM(D3:D50)</f>
        <v>63.460000000000008</v>
      </c>
      <c r="H3" s="1">
        <f>F3+B57</f>
        <v>109.12375</v>
      </c>
      <c r="K3">
        <v>1</v>
      </c>
      <c r="L3" t="s">
        <v>72</v>
      </c>
    </row>
    <row r="4" spans="1:12" x14ac:dyDescent="0.25">
      <c r="A4" t="s">
        <v>10</v>
      </c>
      <c r="B4" t="s">
        <v>4</v>
      </c>
      <c r="D4">
        <v>1</v>
      </c>
      <c r="K4">
        <v>2</v>
      </c>
      <c r="L4" t="s">
        <v>73</v>
      </c>
    </row>
    <row r="5" spans="1:12" x14ac:dyDescent="0.25">
      <c r="A5" t="s">
        <v>11</v>
      </c>
      <c r="B5" t="s">
        <v>5</v>
      </c>
      <c r="D5">
        <v>2.2000000000000002</v>
      </c>
      <c r="K5">
        <v>3</v>
      </c>
      <c r="L5" t="s">
        <v>74</v>
      </c>
    </row>
    <row r="6" spans="1:12" x14ac:dyDescent="0.25">
      <c r="K6">
        <v>4</v>
      </c>
      <c r="L6" t="s">
        <v>76</v>
      </c>
    </row>
    <row r="7" spans="1:12" x14ac:dyDescent="0.25">
      <c r="K7">
        <v>5</v>
      </c>
      <c r="L7" t="s">
        <v>75</v>
      </c>
    </row>
    <row r="8" spans="1:12" x14ac:dyDescent="0.25">
      <c r="A8" t="s">
        <v>6</v>
      </c>
      <c r="K8">
        <v>6</v>
      </c>
      <c r="L8" t="s">
        <v>77</v>
      </c>
    </row>
    <row r="9" spans="1:12" x14ac:dyDescent="0.25">
      <c r="A9" t="s">
        <v>12</v>
      </c>
      <c r="B9" t="s">
        <v>22</v>
      </c>
      <c r="C9">
        <v>2.5</v>
      </c>
      <c r="K9">
        <v>7</v>
      </c>
      <c r="L9" t="s">
        <v>78</v>
      </c>
    </row>
    <row r="10" spans="1:12" x14ac:dyDescent="0.25">
      <c r="A10" t="s">
        <v>7</v>
      </c>
      <c r="K10">
        <v>8</v>
      </c>
      <c r="L10" t="s">
        <v>79</v>
      </c>
    </row>
    <row r="11" spans="1:12" x14ac:dyDescent="0.25">
      <c r="A11" t="s">
        <v>13</v>
      </c>
      <c r="B11" t="s">
        <v>20</v>
      </c>
      <c r="D11">
        <v>0.3</v>
      </c>
      <c r="K11">
        <v>9</v>
      </c>
      <c r="L11" t="s">
        <v>80</v>
      </c>
    </row>
    <row r="12" spans="1:12" x14ac:dyDescent="0.25">
      <c r="A12" t="s">
        <v>14</v>
      </c>
      <c r="B12" t="s">
        <v>20</v>
      </c>
      <c r="D12">
        <v>0.3</v>
      </c>
      <c r="K12">
        <v>10</v>
      </c>
      <c r="L12" t="s">
        <v>81</v>
      </c>
    </row>
    <row r="13" spans="1:12" x14ac:dyDescent="0.25">
      <c r="A13" t="s">
        <v>15</v>
      </c>
      <c r="B13" t="s">
        <v>20</v>
      </c>
      <c r="D13">
        <v>0.3</v>
      </c>
      <c r="K13">
        <v>11</v>
      </c>
      <c r="L13" t="s">
        <v>82</v>
      </c>
    </row>
    <row r="14" spans="1:12" x14ac:dyDescent="0.25">
      <c r="A14" t="s">
        <v>16</v>
      </c>
      <c r="B14" t="s">
        <v>20</v>
      </c>
      <c r="D14">
        <v>0.3</v>
      </c>
      <c r="K14">
        <v>12</v>
      </c>
      <c r="L14" t="s">
        <v>83</v>
      </c>
    </row>
    <row r="15" spans="1:12" x14ac:dyDescent="0.25">
      <c r="A15" t="s">
        <v>17</v>
      </c>
      <c r="B15" t="s">
        <v>21</v>
      </c>
      <c r="D15">
        <v>0.2</v>
      </c>
      <c r="K15">
        <v>13</v>
      </c>
      <c r="L15" t="s">
        <v>84</v>
      </c>
    </row>
    <row r="16" spans="1:12" x14ac:dyDescent="0.25">
      <c r="A16" t="s">
        <v>23</v>
      </c>
      <c r="K16">
        <v>14</v>
      </c>
      <c r="L16" t="s">
        <v>85</v>
      </c>
    </row>
    <row r="17" spans="1:12" x14ac:dyDescent="0.25">
      <c r="A17" t="s">
        <v>8</v>
      </c>
      <c r="B17" t="s">
        <v>60</v>
      </c>
      <c r="D17">
        <v>4</v>
      </c>
      <c r="K17">
        <v>15</v>
      </c>
      <c r="L17" t="s">
        <v>86</v>
      </c>
    </row>
    <row r="18" spans="1:12" x14ac:dyDescent="0.25">
      <c r="A18" t="s">
        <v>18</v>
      </c>
      <c r="B18" t="s">
        <v>60</v>
      </c>
      <c r="D18">
        <v>4</v>
      </c>
      <c r="K18">
        <v>16</v>
      </c>
      <c r="L18" t="s">
        <v>87</v>
      </c>
    </row>
    <row r="19" spans="1:12" x14ac:dyDescent="0.25">
      <c r="A19" t="s">
        <v>19</v>
      </c>
      <c r="B19" t="s">
        <v>60</v>
      </c>
      <c r="D19">
        <v>4</v>
      </c>
      <c r="K19">
        <v>17</v>
      </c>
      <c r="L19" t="s">
        <v>88</v>
      </c>
    </row>
    <row r="20" spans="1:12" x14ac:dyDescent="0.25">
      <c r="A20" t="s">
        <v>24</v>
      </c>
      <c r="B20" t="s">
        <v>68</v>
      </c>
      <c r="D20">
        <v>0.5</v>
      </c>
      <c r="K20">
        <v>18</v>
      </c>
      <c r="L20" t="s">
        <v>90</v>
      </c>
    </row>
    <row r="21" spans="1:12" x14ac:dyDescent="0.25">
      <c r="A21" t="s">
        <v>25</v>
      </c>
      <c r="B21" t="s">
        <v>68</v>
      </c>
      <c r="D21">
        <v>0.5</v>
      </c>
      <c r="K21">
        <v>19</v>
      </c>
      <c r="L21" t="s">
        <v>91</v>
      </c>
    </row>
    <row r="22" spans="1:12" x14ac:dyDescent="0.25">
      <c r="A22" t="s">
        <v>26</v>
      </c>
      <c r="B22" t="s">
        <v>68</v>
      </c>
      <c r="D22">
        <v>0.5</v>
      </c>
      <c r="K22">
        <v>20</v>
      </c>
      <c r="L22" t="s">
        <v>89</v>
      </c>
    </row>
    <row r="23" spans="1:12" x14ac:dyDescent="0.25">
      <c r="A23" t="s">
        <v>27</v>
      </c>
      <c r="B23" t="s">
        <v>69</v>
      </c>
      <c r="D23">
        <v>0.14000000000000001</v>
      </c>
    </row>
    <row r="24" spans="1:12" x14ac:dyDescent="0.25">
      <c r="A24" t="s">
        <v>28</v>
      </c>
      <c r="B24" t="s">
        <v>69</v>
      </c>
      <c r="D24">
        <v>0.14000000000000001</v>
      </c>
    </row>
    <row r="25" spans="1:12" x14ac:dyDescent="0.25">
      <c r="A25" t="s">
        <v>29</v>
      </c>
    </row>
    <row r="26" spans="1:12" x14ac:dyDescent="0.25">
      <c r="A26" t="s">
        <v>30</v>
      </c>
      <c r="B26" t="s">
        <v>33</v>
      </c>
      <c r="D26">
        <v>0.1</v>
      </c>
    </row>
    <row r="27" spans="1:12" x14ac:dyDescent="0.25">
      <c r="A27" t="s">
        <v>31</v>
      </c>
      <c r="B27" t="s">
        <v>33</v>
      </c>
      <c r="D27">
        <f>4*0.1</f>
        <v>0.4</v>
      </c>
    </row>
    <row r="28" spans="1:12" x14ac:dyDescent="0.25">
      <c r="A28" t="s">
        <v>32</v>
      </c>
      <c r="B28" t="s">
        <v>33</v>
      </c>
      <c r="D28">
        <f>5*0.1</f>
        <v>0.5</v>
      </c>
    </row>
    <row r="29" spans="1:12" x14ac:dyDescent="0.25">
      <c r="A29" t="s">
        <v>34</v>
      </c>
      <c r="B29" t="s">
        <v>35</v>
      </c>
      <c r="D29">
        <f>8*0.05</f>
        <v>0.4</v>
      </c>
    </row>
    <row r="30" spans="1:12" x14ac:dyDescent="0.25">
      <c r="A30" t="s">
        <v>36</v>
      </c>
      <c r="B30" t="s">
        <v>38</v>
      </c>
      <c r="D30">
        <v>0.12</v>
      </c>
    </row>
    <row r="31" spans="1:12" x14ac:dyDescent="0.25">
      <c r="A31" t="s">
        <v>37</v>
      </c>
      <c r="B31" t="s">
        <v>38</v>
      </c>
      <c r="D31">
        <v>0.12</v>
      </c>
    </row>
    <row r="32" spans="1:12" x14ac:dyDescent="0.25">
      <c r="A32" t="s">
        <v>39</v>
      </c>
      <c r="B32" t="s">
        <v>41</v>
      </c>
      <c r="D32">
        <v>7.0000000000000007E-2</v>
      </c>
    </row>
    <row r="33" spans="1:20" x14ac:dyDescent="0.25">
      <c r="A33" t="s">
        <v>40</v>
      </c>
      <c r="B33" t="s">
        <v>41</v>
      </c>
      <c r="D33">
        <v>7.0000000000000007E-2</v>
      </c>
    </row>
    <row r="34" spans="1:20" x14ac:dyDescent="0.25">
      <c r="A34" t="s">
        <v>42</v>
      </c>
    </row>
    <row r="35" spans="1:20" ht="15.75" thickBot="1" x14ac:dyDescent="0.3">
      <c r="A35" t="s">
        <v>43</v>
      </c>
      <c r="B35" t="s">
        <v>65</v>
      </c>
      <c r="D35">
        <v>0.8</v>
      </c>
    </row>
    <row r="36" spans="1:20" ht="19.5" thickBot="1" x14ac:dyDescent="0.3">
      <c r="A36" t="s">
        <v>44</v>
      </c>
      <c r="B36" t="s">
        <v>66</v>
      </c>
      <c r="D36">
        <v>1</v>
      </c>
      <c r="K36" s="4">
        <v>0.5</v>
      </c>
      <c r="M36">
        <f>SUM(K36:K52)</f>
        <v>10.661200000000001</v>
      </c>
      <c r="O36">
        <f>1/(M36*10^-6)</f>
        <v>93798.071511649716</v>
      </c>
    </row>
    <row r="37" spans="1:20" ht="19.5" thickBot="1" x14ac:dyDescent="0.3">
      <c r="A37" t="s">
        <v>50</v>
      </c>
      <c r="K37" s="5">
        <v>0.3</v>
      </c>
      <c r="O37">
        <f>-LN(0.99)/(M36*10^-6)</f>
        <v>942.70212110282614</v>
      </c>
    </row>
    <row r="38" spans="1:20" ht="19.5" thickBot="1" x14ac:dyDescent="0.3">
      <c r="A38" t="s">
        <v>45</v>
      </c>
      <c r="B38" t="s">
        <v>67</v>
      </c>
      <c r="D38">
        <v>2</v>
      </c>
      <c r="K38" s="5">
        <v>0.35</v>
      </c>
    </row>
    <row r="39" spans="1:20" ht="19.5" thickBot="1" x14ac:dyDescent="0.3">
      <c r="A39" t="s">
        <v>46</v>
      </c>
      <c r="K39" s="5">
        <v>0.3</v>
      </c>
    </row>
    <row r="40" spans="1:20" ht="19.5" thickBot="1" x14ac:dyDescent="0.3">
      <c r="A40" t="s">
        <v>47</v>
      </c>
      <c r="B40" t="s">
        <v>49</v>
      </c>
      <c r="D40">
        <v>0.15</v>
      </c>
      <c r="K40" s="5">
        <v>1</v>
      </c>
      <c r="O40" s="7">
        <v>0</v>
      </c>
      <c r="P40" s="8">
        <v>1</v>
      </c>
      <c r="Q40" s="8">
        <v>0</v>
      </c>
      <c r="S40">
        <f>EXP(-$M$36*10^(-6)*O40)</f>
        <v>1</v>
      </c>
      <c r="T40">
        <f>1-S40</f>
        <v>0</v>
      </c>
    </row>
    <row r="41" spans="1:20" ht="19.5" thickBot="1" x14ac:dyDescent="0.3">
      <c r="A41" t="s">
        <v>48</v>
      </c>
      <c r="B41" t="s">
        <v>49</v>
      </c>
      <c r="D41">
        <v>0.15</v>
      </c>
      <c r="K41" s="5">
        <v>8.9999999999999993E-3</v>
      </c>
      <c r="O41" s="7">
        <v>1</v>
      </c>
      <c r="P41" s="8">
        <v>0.99997199999999997</v>
      </c>
      <c r="Q41" s="9">
        <v>2.7699999999999999E-5</v>
      </c>
      <c r="S41">
        <f t="shared" ref="S41:S61" si="0">EXP(-$M$36*10^(-6)*O41)</f>
        <v>0.99998933885683039</v>
      </c>
      <c r="T41">
        <f t="shared" ref="T41:T61" si="1">1-S41</f>
        <v>1.0661143169610199E-5</v>
      </c>
    </row>
    <row r="42" spans="1:20" ht="19.5" thickBot="1" x14ac:dyDescent="0.3">
      <c r="A42" t="s">
        <v>51</v>
      </c>
      <c r="K42" s="5">
        <v>3.5999999999999997E-2</v>
      </c>
      <c r="O42" s="7">
        <v>10000</v>
      </c>
      <c r="P42" s="8">
        <v>0.75795599999999996</v>
      </c>
      <c r="Q42" s="8">
        <v>0.24204400000000001</v>
      </c>
      <c r="S42">
        <f t="shared" si="0"/>
        <v>0.89887436859399839</v>
      </c>
      <c r="T42">
        <f t="shared" si="1"/>
        <v>0.10112563140600161</v>
      </c>
    </row>
    <row r="43" spans="1:20" ht="19.5" thickBot="1" x14ac:dyDescent="0.3">
      <c r="A43" t="s">
        <v>52</v>
      </c>
      <c r="B43" t="s">
        <v>53</v>
      </c>
      <c r="D43">
        <f>5*4</f>
        <v>20</v>
      </c>
      <c r="K43" s="5">
        <v>0.1</v>
      </c>
      <c r="O43" s="7">
        <v>20000</v>
      </c>
      <c r="P43" s="8">
        <v>0.57449700000000004</v>
      </c>
      <c r="Q43" s="8">
        <v>0.42550300000000002</v>
      </c>
      <c r="S43">
        <f t="shared" si="0"/>
        <v>0.80797513051525927</v>
      </c>
      <c r="T43">
        <f t="shared" si="1"/>
        <v>0.19202486948474073</v>
      </c>
    </row>
    <row r="44" spans="1:20" ht="19.5" thickBot="1" x14ac:dyDescent="0.3">
      <c r="A44" t="s">
        <v>54</v>
      </c>
      <c r="K44" s="5">
        <v>2.48</v>
      </c>
      <c r="O44" s="7">
        <v>30000</v>
      </c>
      <c r="P44" s="8">
        <v>0.435444</v>
      </c>
      <c r="Q44" s="8">
        <v>0.56455599999999995</v>
      </c>
      <c r="S44">
        <f t="shared" si="0"/>
        <v>0.72626813528155709</v>
      </c>
      <c r="T44">
        <f t="shared" si="1"/>
        <v>0.27373186471844291</v>
      </c>
    </row>
    <row r="45" spans="1:20" ht="19.5" thickBot="1" x14ac:dyDescent="0.3">
      <c r="A45" t="s">
        <v>55</v>
      </c>
      <c r="B45" t="s">
        <v>56</v>
      </c>
      <c r="D45">
        <f>6*1.2</f>
        <v>7.1999999999999993</v>
      </c>
      <c r="K45" s="5">
        <v>6.1199999999999997E-2</v>
      </c>
      <c r="O45" s="7">
        <v>40000</v>
      </c>
      <c r="P45" s="8">
        <v>0.33004699999999998</v>
      </c>
      <c r="Q45" s="8">
        <v>0.66995300000000002</v>
      </c>
      <c r="S45">
        <f t="shared" si="0"/>
        <v>0.65282381153115021</v>
      </c>
      <c r="T45">
        <f t="shared" si="1"/>
        <v>0.34717618846884979</v>
      </c>
    </row>
    <row r="46" spans="1:20" ht="19.5" thickBot="1" x14ac:dyDescent="0.3">
      <c r="A46" t="s">
        <v>57</v>
      </c>
      <c r="K46" s="5">
        <v>0.96</v>
      </c>
      <c r="O46" s="7">
        <v>50000</v>
      </c>
      <c r="P46" s="8">
        <v>0.25016100000000002</v>
      </c>
      <c r="Q46" s="8">
        <v>0.74983900000000003</v>
      </c>
      <c r="S46">
        <f t="shared" si="0"/>
        <v>0.58680659139319014</v>
      </c>
      <c r="T46">
        <f t="shared" si="1"/>
        <v>0.41319340860680986</v>
      </c>
    </row>
    <row r="47" spans="1:20" ht="19.5" thickBot="1" x14ac:dyDescent="0.3">
      <c r="A47" t="s">
        <v>58</v>
      </c>
      <c r="B47" t="s">
        <v>59</v>
      </c>
      <c r="D47">
        <v>3</v>
      </c>
      <c r="K47" s="5">
        <v>0.5</v>
      </c>
      <c r="O47" s="7">
        <v>60000</v>
      </c>
      <c r="P47" s="8">
        <v>0.189611</v>
      </c>
      <c r="Q47" s="8">
        <v>0.81038900000000003</v>
      </c>
      <c r="S47">
        <f t="shared" si="0"/>
        <v>0.52746540432535016</v>
      </c>
      <c r="T47">
        <f t="shared" si="1"/>
        <v>0.47253459567464984</v>
      </c>
    </row>
    <row r="48" spans="1:20" ht="19.5" thickBot="1" x14ac:dyDescent="0.3">
      <c r="A48" t="s">
        <v>61</v>
      </c>
      <c r="K48" s="6">
        <v>0.1</v>
      </c>
      <c r="O48" s="7">
        <v>70000</v>
      </c>
      <c r="P48" s="8">
        <v>0.14371700000000001</v>
      </c>
      <c r="Q48" s="8">
        <v>0.85628300000000002</v>
      </c>
      <c r="S48">
        <f t="shared" si="0"/>
        <v>0.47412513226812714</v>
      </c>
      <c r="T48">
        <f t="shared" si="1"/>
        <v>0.52587486773187286</v>
      </c>
    </row>
    <row r="49" spans="1:20" ht="19.5" thickBot="1" x14ac:dyDescent="0.3">
      <c r="A49" t="s">
        <v>62</v>
      </c>
      <c r="B49" t="s">
        <v>63</v>
      </c>
      <c r="D49">
        <v>5</v>
      </c>
      <c r="K49" s="6">
        <v>0.3</v>
      </c>
      <c r="O49" s="7">
        <v>80000</v>
      </c>
      <c r="P49" s="8">
        <v>0.108931</v>
      </c>
      <c r="Q49" s="8">
        <v>0.891069</v>
      </c>
      <c r="S49">
        <f t="shared" si="0"/>
        <v>0.42617892890205877</v>
      </c>
      <c r="T49">
        <f t="shared" si="1"/>
        <v>0.57382107109794123</v>
      </c>
    </row>
    <row r="50" spans="1:20" ht="19.5" thickBot="1" x14ac:dyDescent="0.3">
      <c r="B50" t="s">
        <v>64</v>
      </c>
      <c r="D50">
        <v>1</v>
      </c>
      <c r="K50" s="6">
        <v>3.2</v>
      </c>
      <c r="O50" s="7">
        <v>90000</v>
      </c>
      <c r="P50" s="8">
        <v>8.2565E-2</v>
      </c>
      <c r="Q50" s="8">
        <v>0.917435</v>
      </c>
      <c r="S50">
        <f t="shared" si="0"/>
        <v>0.38308131562490461</v>
      </c>
      <c r="T50">
        <f t="shared" si="1"/>
        <v>0.61691868437509534</v>
      </c>
    </row>
    <row r="51" spans="1:20" ht="19.5" thickBot="1" x14ac:dyDescent="0.3">
      <c r="K51" s="6">
        <v>0.3</v>
      </c>
      <c r="O51" s="7">
        <v>100000</v>
      </c>
      <c r="P51" s="8">
        <v>6.2580999999999998E-2</v>
      </c>
      <c r="Q51" s="8">
        <v>0.937419</v>
      </c>
      <c r="S51">
        <f t="shared" si="0"/>
        <v>0.34434197570249436</v>
      </c>
      <c r="T51">
        <f t="shared" si="1"/>
        <v>0.65565802429750564</v>
      </c>
    </row>
    <row r="52" spans="1:20" ht="19.5" thickBot="1" x14ac:dyDescent="0.3">
      <c r="A52" t="s">
        <v>70</v>
      </c>
      <c r="K52" s="6">
        <v>0.16500000000000001</v>
      </c>
      <c r="O52" s="7">
        <v>110000</v>
      </c>
      <c r="P52" s="8">
        <v>4.7433000000000003E-2</v>
      </c>
      <c r="Q52" s="8">
        <v>0.95256700000000005</v>
      </c>
      <c r="S52">
        <f t="shared" si="0"/>
        <v>0.30952017598998949</v>
      </c>
      <c r="T52">
        <f t="shared" si="1"/>
        <v>0.69047982401001051</v>
      </c>
    </row>
    <row r="53" spans="1:20" ht="16.5" thickBot="1" x14ac:dyDescent="0.3">
      <c r="A53" t="s">
        <v>100</v>
      </c>
      <c r="B53">
        <v>1.9</v>
      </c>
      <c r="O53" s="7">
        <v>120000</v>
      </c>
      <c r="P53" s="8">
        <v>3.5951999999999998E-2</v>
      </c>
      <c r="Q53" s="8">
        <v>0.96404800000000002</v>
      </c>
      <c r="S53">
        <f t="shared" si="0"/>
        <v>0.27821975276010508</v>
      </c>
      <c r="T53">
        <f t="shared" si="1"/>
        <v>0.72178024723989487</v>
      </c>
    </row>
    <row r="54" spans="1:20" ht="16.5" thickBot="1" x14ac:dyDescent="0.3">
      <c r="A54" t="s">
        <v>99</v>
      </c>
      <c r="B54">
        <v>2050</v>
      </c>
      <c r="O54" s="7">
        <v>130000</v>
      </c>
      <c r="P54" s="8">
        <v>2.725E-2</v>
      </c>
      <c r="Q54" s="8">
        <v>0.97275</v>
      </c>
      <c r="S54">
        <f t="shared" si="0"/>
        <v>0.25008460459261783</v>
      </c>
      <c r="T54">
        <f t="shared" si="1"/>
        <v>0.74991539540738217</v>
      </c>
    </row>
    <row r="55" spans="1:20" ht="16.5" thickBot="1" x14ac:dyDescent="0.3">
      <c r="A55" t="s">
        <v>95</v>
      </c>
      <c r="B55">
        <f xml:space="preserve"> 0.198 * 0.075 * 0.0015</f>
        <v>2.2274999999999999E-5</v>
      </c>
      <c r="O55" s="7">
        <v>140000</v>
      </c>
      <c r="P55" s="8">
        <v>2.0655E-2</v>
      </c>
      <c r="Q55" s="8">
        <v>0.97934500000000002</v>
      </c>
      <c r="S55">
        <f t="shared" si="0"/>
        <v>0.22479464104826907</v>
      </c>
      <c r="T55">
        <f t="shared" si="1"/>
        <v>0.77520535895173093</v>
      </c>
    </row>
    <row r="56" spans="1:20" ht="16.5" thickBot="1" x14ac:dyDescent="0.3">
      <c r="A56" t="s">
        <v>92</v>
      </c>
      <c r="B56">
        <f>B55*2050</f>
        <v>4.5663749999999996E-2</v>
      </c>
      <c r="O56" s="7">
        <v>150000</v>
      </c>
      <c r="P56" s="8">
        <v>1.5654999999999999E-2</v>
      </c>
      <c r="Q56" s="8">
        <v>0.98434500000000003</v>
      </c>
      <c r="S56">
        <f t="shared" si="0"/>
        <v>0.20206214103557738</v>
      </c>
      <c r="T56">
        <f t="shared" si="1"/>
        <v>0.7979378589644226</v>
      </c>
    </row>
    <row r="57" spans="1:20" ht="16.5" thickBot="1" x14ac:dyDescent="0.3">
      <c r="A57" t="s">
        <v>93</v>
      </c>
      <c r="B57">
        <f>B56*10^3</f>
        <v>45.663749999999993</v>
      </c>
      <c r="O57" s="7">
        <v>160000</v>
      </c>
      <c r="P57" s="8">
        <v>1.5654999999999999E-2</v>
      </c>
      <c r="Q57" s="8">
        <v>0.98434500000000003</v>
      </c>
      <c r="S57">
        <f t="shared" si="0"/>
        <v>0.18162847944010607</v>
      </c>
      <c r="T57">
        <f t="shared" si="1"/>
        <v>0.81837152055989393</v>
      </c>
    </row>
    <row r="58" spans="1:20" ht="16.5" thickBot="1" x14ac:dyDescent="0.3">
      <c r="A58" t="s">
        <v>96</v>
      </c>
      <c r="B58">
        <v>198</v>
      </c>
      <c r="C58">
        <f>0.198</f>
        <v>0.19800000000000001</v>
      </c>
      <c r="O58" s="7">
        <v>170000</v>
      </c>
      <c r="P58" s="8">
        <v>1.5654999999999999E-2</v>
      </c>
      <c r="Q58" s="8">
        <v>0.98434500000000003</v>
      </c>
      <c r="S58">
        <f t="shared" si="0"/>
        <v>0.16326118477541335</v>
      </c>
      <c r="T58">
        <f t="shared" si="1"/>
        <v>0.83673881522458671</v>
      </c>
    </row>
    <row r="59" spans="1:20" ht="16.5" thickBot="1" x14ac:dyDescent="0.3">
      <c r="A59" t="s">
        <v>94</v>
      </c>
      <c r="B59">
        <v>75</v>
      </c>
      <c r="C59">
        <f>0.075</f>
        <v>7.4999999999999997E-2</v>
      </c>
      <c r="O59" s="7">
        <v>180000</v>
      </c>
      <c r="P59" s="8">
        <v>1.5654999999999999E-2</v>
      </c>
      <c r="Q59" s="8">
        <v>0.98434500000000003</v>
      </c>
      <c r="S59">
        <f t="shared" si="0"/>
        <v>0.14675129438090778</v>
      </c>
      <c r="T59">
        <f t="shared" si="1"/>
        <v>0.85324870561909227</v>
      </c>
    </row>
    <row r="60" spans="1:20" ht="16.5" thickBot="1" x14ac:dyDescent="0.3">
      <c r="A60" t="s">
        <v>97</v>
      </c>
      <c r="B60">
        <v>1.5</v>
      </c>
      <c r="O60" s="7">
        <v>190000</v>
      </c>
      <c r="P60" s="8">
        <v>1.5654999999999999E-2</v>
      </c>
      <c r="Q60" s="8">
        <v>0.98434500000000003</v>
      </c>
      <c r="S60">
        <f t="shared" si="0"/>
        <v>0.13191097707699045</v>
      </c>
      <c r="T60">
        <f t="shared" si="1"/>
        <v>0.8680890229230096</v>
      </c>
    </row>
    <row r="61" spans="1:20" ht="16.5" thickBot="1" x14ac:dyDescent="0.3">
      <c r="A61" t="s">
        <v>107</v>
      </c>
      <c r="B61">
        <v>1.5E-3</v>
      </c>
      <c r="O61" s="7">
        <v>200000</v>
      </c>
      <c r="P61" s="8">
        <v>1.5654999999999999E-2</v>
      </c>
      <c r="Q61" s="8">
        <v>0.98434500000000003</v>
      </c>
      <c r="S61">
        <f t="shared" si="0"/>
        <v>0.11857139623069722</v>
      </c>
      <c r="T61">
        <f t="shared" si="1"/>
        <v>0.88142860376930277</v>
      </c>
    </row>
    <row r="62" spans="1:20" x14ac:dyDescent="0.25">
      <c r="B62" t="s">
        <v>117</v>
      </c>
      <c r="C62">
        <f>B61*(1/5)</f>
        <v>3.0000000000000003E-4</v>
      </c>
      <c r="H62" t="s">
        <v>114</v>
      </c>
      <c r="I62" t="s">
        <v>113</v>
      </c>
      <c r="J62" t="s">
        <v>118</v>
      </c>
      <c r="K62" t="s">
        <v>119</v>
      </c>
    </row>
    <row r="63" spans="1:20" x14ac:dyDescent="0.25">
      <c r="A63" t="s">
        <v>101</v>
      </c>
      <c r="B63">
        <f>B57</f>
        <v>45.663749999999993</v>
      </c>
      <c r="D63" t="s">
        <v>105</v>
      </c>
      <c r="E63">
        <f>3.2*10^10</f>
        <v>32000000000</v>
      </c>
      <c r="H63">
        <v>5</v>
      </c>
      <c r="I63">
        <f>1/(SQRT((1-(H63/$B$68)^2)^2+(H63*$E$68/$B$68)^2))</f>
        <v>1.0001940733270589</v>
      </c>
      <c r="J63">
        <f>$B$69*I63</f>
        <v>5.5779722404337645E-3</v>
      </c>
      <c r="K63">
        <f>J63*10^-3</f>
        <v>5.5779722404337646E-6</v>
      </c>
    </row>
    <row r="64" spans="1:20" ht="16.5" x14ac:dyDescent="0.3">
      <c r="A64" t="s">
        <v>103</v>
      </c>
      <c r="B64">
        <f>F3</f>
        <v>63.460000000000008</v>
      </c>
      <c r="D64" s="2" t="s">
        <v>106</v>
      </c>
      <c r="E64">
        <f>0.22</f>
        <v>0.22</v>
      </c>
      <c r="H64">
        <v>25</v>
      </c>
      <c r="I64">
        <f t="shared" ref="I64:I88" si="2">1/(SQRT((1-(H64/$B$68)^2)^2+(H64*$E$68/$B$68)^2))</f>
        <v>1.0048744962229235</v>
      </c>
      <c r="J64">
        <f t="shared" ref="J64:J88" si="3">$B$69*I64</f>
        <v>5.6040744436789596E-3</v>
      </c>
      <c r="K64">
        <f t="shared" ref="K64:K88" si="4">J64*10^-3</f>
        <v>5.6040744436789596E-6</v>
      </c>
    </row>
    <row r="65" spans="1:17" x14ac:dyDescent="0.25">
      <c r="A65" t="s">
        <v>104</v>
      </c>
      <c r="B65">
        <f>1/(SQRT(1+(B64/B63)))</f>
        <v>0.64688360744832296</v>
      </c>
      <c r="D65" t="s">
        <v>109</v>
      </c>
      <c r="E65">
        <v>9.81</v>
      </c>
      <c r="H65">
        <v>45</v>
      </c>
      <c r="I65">
        <f t="shared" si="2"/>
        <v>1.0159673924017405</v>
      </c>
      <c r="J65">
        <f t="shared" si="3"/>
        <v>5.6659383045051196E-3</v>
      </c>
      <c r="K65">
        <f t="shared" si="4"/>
        <v>5.6659383045051199E-6</v>
      </c>
    </row>
    <row r="66" spans="1:17" ht="16.5" x14ac:dyDescent="0.3">
      <c r="A66" s="2" t="s">
        <v>98</v>
      </c>
      <c r="B66">
        <f>3.14^2*(1+(B58^2)/(B59^2))</f>
        <v>78.577068159999996</v>
      </c>
      <c r="D66" s="2" t="s">
        <v>110</v>
      </c>
      <c r="E66">
        <f>2.05*10^4</f>
        <v>20500</v>
      </c>
      <c r="H66" s="1">
        <v>60</v>
      </c>
      <c r="I66" s="1">
        <f t="shared" si="2"/>
        <v>1.0287427606906532</v>
      </c>
      <c r="J66" s="1">
        <f t="shared" si="3"/>
        <v>5.737185127074094E-3</v>
      </c>
      <c r="K66" s="1">
        <f t="shared" si="4"/>
        <v>5.737185127074094E-6</v>
      </c>
      <c r="L66" s="1"/>
    </row>
    <row r="67" spans="1:17" x14ac:dyDescent="0.25">
      <c r="A67" t="s">
        <v>108</v>
      </c>
      <c r="B67">
        <f>(E63*B61^3)/(12*(1-E64^2))</f>
        <v>9.457755359394703</v>
      </c>
      <c r="D67" t="s">
        <v>112</v>
      </c>
      <c r="E67">
        <v>8</v>
      </c>
      <c r="H67">
        <v>85</v>
      </c>
      <c r="I67">
        <f t="shared" si="2"/>
        <v>1.0594009453290052</v>
      </c>
      <c r="J67">
        <f t="shared" si="3"/>
        <v>5.9081624477914313E-3</v>
      </c>
      <c r="K67">
        <f t="shared" si="4"/>
        <v>5.9081624477914314E-6</v>
      </c>
    </row>
    <row r="68" spans="1:17" ht="16.5" x14ac:dyDescent="0.3">
      <c r="A68" t="s">
        <v>111</v>
      </c>
      <c r="B68">
        <f>(B65*B66)*(SQRT((B67*E65)/(E66*B61)))/(2*3.14*C58^2)</f>
        <v>358.62282213483371</v>
      </c>
      <c r="D68" s="2" t="s">
        <v>116</v>
      </c>
      <c r="E68">
        <v>0.06</v>
      </c>
      <c r="H68">
        <v>105</v>
      </c>
      <c r="I68">
        <f t="shared" si="2"/>
        <v>1.0935598500469108</v>
      </c>
      <c r="J68">
        <f t="shared" si="3"/>
        <v>6.0986628990151561E-3</v>
      </c>
      <c r="K68">
        <f t="shared" si="4"/>
        <v>6.0986628990151559E-6</v>
      </c>
    </row>
    <row r="69" spans="1:17" x14ac:dyDescent="0.25">
      <c r="A69" t="s">
        <v>115</v>
      </c>
      <c r="B69">
        <f>(0.25*E67)/B68</f>
        <v>5.5768899148533474E-3</v>
      </c>
      <c r="H69">
        <v>125</v>
      </c>
      <c r="I69">
        <f t="shared" si="2"/>
        <v>1.1379698926881168</v>
      </c>
      <c r="J69">
        <f t="shared" si="3"/>
        <v>6.3463328179391041E-3</v>
      </c>
      <c r="K69">
        <f t="shared" si="4"/>
        <v>6.3463328179391042E-6</v>
      </c>
    </row>
    <row r="70" spans="1:17" x14ac:dyDescent="0.25">
      <c r="A70" t="s">
        <v>8</v>
      </c>
      <c r="B70">
        <f>0.00406+(0.018*LOG10(C58/C59))</f>
        <v>1.164887068365696E-2</v>
      </c>
      <c r="H70">
        <v>145</v>
      </c>
      <c r="I70">
        <f t="shared" si="2"/>
        <v>1.1949239008840653</v>
      </c>
      <c r="J70">
        <f t="shared" si="3"/>
        <v>6.6639590518575648E-3</v>
      </c>
      <c r="K70">
        <f t="shared" si="4"/>
        <v>6.6639590518575648E-6</v>
      </c>
    </row>
    <row r="71" spans="1:17" x14ac:dyDescent="0.25">
      <c r="A71" t="s">
        <v>18</v>
      </c>
      <c r="B71">
        <f>0.0479+(0.18*LOG10(B58/B59))</f>
        <v>0.12378870683656959</v>
      </c>
      <c r="H71">
        <v>165</v>
      </c>
      <c r="I71">
        <f t="shared" si="2"/>
        <v>1.2677528942972451</v>
      </c>
      <c r="J71">
        <f t="shared" si="3"/>
        <v>7.0701183307324477E-3</v>
      </c>
      <c r="K71">
        <f t="shared" si="4"/>
        <v>7.0701183307324477E-6</v>
      </c>
    </row>
    <row r="72" spans="1:17" x14ac:dyDescent="0.25">
      <c r="H72">
        <v>185</v>
      </c>
      <c r="I72">
        <f t="shared" si="2"/>
        <v>1.3613990715329873</v>
      </c>
      <c r="J72">
        <f t="shared" si="3"/>
        <v>7.5923727521230279E-3</v>
      </c>
      <c r="K72">
        <f t="shared" si="4"/>
        <v>7.5923727521230279E-6</v>
      </c>
    </row>
    <row r="73" spans="1:17" x14ac:dyDescent="0.25">
      <c r="H73">
        <v>205</v>
      </c>
      <c r="I73">
        <f t="shared" si="2"/>
        <v>1.4834355874114151</v>
      </c>
      <c r="J73">
        <f t="shared" si="3"/>
        <v>8.272956966769272E-3</v>
      </c>
      <c r="K73">
        <f t="shared" si="4"/>
        <v>8.2729569667692721E-6</v>
      </c>
    </row>
    <row r="74" spans="1:17" x14ac:dyDescent="0.25">
      <c r="H74">
        <v>225</v>
      </c>
      <c r="I74">
        <f t="shared" si="2"/>
        <v>1.6459917470310292</v>
      </c>
      <c r="J74">
        <f t="shared" si="3"/>
        <v>9.1795147739491892E-3</v>
      </c>
      <c r="K74">
        <f t="shared" si="4"/>
        <v>9.1795147739491886E-6</v>
      </c>
    </row>
    <row r="75" spans="1:17" x14ac:dyDescent="0.25">
      <c r="H75">
        <v>245</v>
      </c>
      <c r="I75">
        <f t="shared" si="2"/>
        <v>1.8696722014335658</v>
      </c>
      <c r="J75">
        <f t="shared" si="3"/>
        <v>1.0426956044256509E-2</v>
      </c>
      <c r="K75">
        <f t="shared" si="4"/>
        <v>1.0426956044256509E-5</v>
      </c>
    </row>
    <row r="76" spans="1:17" x14ac:dyDescent="0.25">
      <c r="H76">
        <v>265</v>
      </c>
      <c r="I76">
        <f t="shared" si="2"/>
        <v>2.1923543913792152</v>
      </c>
      <c r="J76">
        <f t="shared" si="3"/>
        <v>1.2226519095067194E-2</v>
      </c>
      <c r="K76">
        <f t="shared" si="4"/>
        <v>1.2226519095067194E-5</v>
      </c>
    </row>
    <row r="77" spans="1:17" x14ac:dyDescent="0.25">
      <c r="H77">
        <v>285</v>
      </c>
      <c r="I77">
        <f t="shared" si="2"/>
        <v>2.6916906466591306</v>
      </c>
      <c r="J77">
        <f t="shared" si="3"/>
        <v>1.501126242125839E-2</v>
      </c>
      <c r="K77">
        <f t="shared" si="4"/>
        <v>1.5011262421258391E-5</v>
      </c>
    </row>
    <row r="78" spans="1:17" x14ac:dyDescent="0.25">
      <c r="H78">
        <v>305</v>
      </c>
      <c r="I78">
        <f t="shared" si="2"/>
        <v>3.5542012410795634</v>
      </c>
      <c r="J78">
        <f t="shared" si="3"/>
        <v>1.9821389056735868E-2</v>
      </c>
      <c r="K78">
        <f t="shared" si="4"/>
        <v>1.9821389056735869E-5</v>
      </c>
    </row>
    <row r="79" spans="1:17" x14ac:dyDescent="0.25">
      <c r="H79" s="1">
        <v>325</v>
      </c>
      <c r="I79" s="1">
        <f>1/(SQRT((1-(H79/$B$68)^2)^2+(H79*$E$68/$B$68)^2))</f>
        <v>5.3530539934908798</v>
      </c>
      <c r="J79" s="1">
        <f t="shared" si="3"/>
        <v>2.9853392829964725E-2</v>
      </c>
      <c r="K79" s="1">
        <f t="shared" si="4"/>
        <v>2.9853392829964724E-5</v>
      </c>
      <c r="N79" s="3"/>
      <c r="O79" s="3"/>
      <c r="P79" s="3"/>
      <c r="Q79" s="1"/>
    </row>
    <row r="80" spans="1:17" x14ac:dyDescent="0.25">
      <c r="H80">
        <v>345</v>
      </c>
      <c r="I80">
        <f t="shared" si="2"/>
        <v>10.608078735394869</v>
      </c>
      <c r="J80">
        <f t="shared" si="3"/>
        <v>5.9160087315393899E-2</v>
      </c>
      <c r="K80">
        <f t="shared" si="4"/>
        <v>5.9160087315393898E-5</v>
      </c>
    </row>
    <row r="81" spans="1:11" x14ac:dyDescent="0.25">
      <c r="H81">
        <v>365</v>
      </c>
      <c r="I81">
        <f t="shared" si="2"/>
        <v>14.118689478802144</v>
      </c>
      <c r="J81">
        <f t="shared" si="3"/>
        <v>7.8738376965277745E-2</v>
      </c>
      <c r="K81">
        <f t="shared" si="4"/>
        <v>7.873837696527775E-5</v>
      </c>
    </row>
    <row r="82" spans="1:11" x14ac:dyDescent="0.25">
      <c r="H82">
        <v>385</v>
      </c>
      <c r="I82">
        <f t="shared" si="2"/>
        <v>6.0402201292382625</v>
      </c>
      <c r="J82">
        <f t="shared" si="3"/>
        <v>3.3685642722243052E-2</v>
      </c>
      <c r="K82">
        <f t="shared" si="4"/>
        <v>3.3685642722243056E-5</v>
      </c>
    </row>
    <row r="83" spans="1:11" x14ac:dyDescent="0.25">
      <c r="H83">
        <v>405</v>
      </c>
      <c r="I83">
        <f t="shared" si="2"/>
        <v>3.5263615174208738</v>
      </c>
      <c r="J83">
        <f t="shared" si="3"/>
        <v>1.9666129982631418E-2</v>
      </c>
      <c r="K83">
        <f t="shared" si="4"/>
        <v>1.966612998263142E-5</v>
      </c>
    </row>
    <row r="84" spans="1:11" x14ac:dyDescent="0.25">
      <c r="H84">
        <v>425</v>
      </c>
      <c r="I84">
        <f t="shared" si="2"/>
        <v>2.4352274456636933</v>
      </c>
      <c r="J84">
        <f t="shared" si="3"/>
        <v>1.358099538209593E-2</v>
      </c>
      <c r="K84">
        <f t="shared" si="4"/>
        <v>1.3580995382095929E-5</v>
      </c>
    </row>
    <row r="85" spans="1:11" x14ac:dyDescent="0.25">
      <c r="H85">
        <v>445</v>
      </c>
      <c r="I85">
        <f t="shared" si="2"/>
        <v>1.8354032297736902</v>
      </c>
      <c r="J85">
        <f t="shared" si="3"/>
        <v>1.0235841761814154E-2</v>
      </c>
      <c r="K85">
        <f t="shared" si="4"/>
        <v>1.0235841761814155E-5</v>
      </c>
    </row>
    <row r="86" spans="1:11" x14ac:dyDescent="0.25">
      <c r="H86">
        <v>465</v>
      </c>
      <c r="I86">
        <f t="shared" si="2"/>
        <v>1.4584292740187341</v>
      </c>
      <c r="J86">
        <f t="shared" si="3"/>
        <v>8.1334995098019669E-3</v>
      </c>
      <c r="K86">
        <f t="shared" si="4"/>
        <v>8.1334995098019665E-6</v>
      </c>
    </row>
    <row r="87" spans="1:11" x14ac:dyDescent="0.25">
      <c r="H87">
        <v>485</v>
      </c>
      <c r="I87">
        <f t="shared" si="2"/>
        <v>1.2005719977903375</v>
      </c>
      <c r="J87">
        <f t="shared" si="3"/>
        <v>6.6954578665322688E-3</v>
      </c>
      <c r="K87">
        <f t="shared" si="4"/>
        <v>6.6954578665322687E-6</v>
      </c>
    </row>
    <row r="88" spans="1:11" x14ac:dyDescent="0.25">
      <c r="H88">
        <v>505</v>
      </c>
      <c r="I88">
        <f t="shared" si="2"/>
        <v>1.0136308896344579</v>
      </c>
      <c r="J88">
        <f t="shared" si="3"/>
        <v>5.6529078857862347E-3</v>
      </c>
      <c r="K88">
        <f t="shared" si="4"/>
        <v>5.6529078857862349E-6</v>
      </c>
    </row>
    <row r="89" spans="1:11" x14ac:dyDescent="0.25">
      <c r="A89" t="s">
        <v>120</v>
      </c>
      <c r="B89">
        <f>(K66*B67)/(B70*C59^4)</f>
        <v>147.21703352336507</v>
      </c>
    </row>
    <row r="90" spans="1:11" x14ac:dyDescent="0.25">
      <c r="A90" t="s">
        <v>121</v>
      </c>
      <c r="B90">
        <f>B71*B89*C59^2</f>
        <v>0.10250890989847466</v>
      </c>
    </row>
    <row r="91" spans="1:11" x14ac:dyDescent="0.25">
      <c r="A91" t="s">
        <v>123</v>
      </c>
      <c r="B91">
        <f>(6*B90)/(10^6*B61^2)</f>
        <v>0.27335709306259909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Рудюк</dc:creator>
  <cp:lastModifiedBy>Богдан Рудюк</cp:lastModifiedBy>
  <dcterms:created xsi:type="dcterms:W3CDTF">2015-06-05T18:17:20Z</dcterms:created>
  <dcterms:modified xsi:type="dcterms:W3CDTF">2020-12-18T23:20:01Z</dcterms:modified>
</cp:coreProperties>
</file>