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orders" sheetId="2" r:id="rId5"/>
    <sheet state="visible" name="products" sheetId="3" r:id="rId6"/>
    <sheet state="visible" name="analysis raw data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<sst xmlns="http://schemas.openxmlformats.org/spreadsheetml/2006/main" count="41" uniqueCount="38">
  <si>
    <t>customer id</t>
  </si>
  <si>
    <t>customer name</t>
  </si>
  <si>
    <t>AA</t>
  </si>
  <si>
    <t>BB</t>
  </si>
  <si>
    <t>CC</t>
  </si>
  <si>
    <t>order id</t>
  </si>
  <si>
    <t>oerder date</t>
  </si>
  <si>
    <t>product id</t>
  </si>
  <si>
    <t>product unit price</t>
  </si>
  <si>
    <t>quantity purchased</t>
  </si>
  <si>
    <t>revenue</t>
  </si>
  <si>
    <t>revenue per order</t>
  </si>
  <si>
    <t>oerder date - سنة، شهر</t>
  </si>
  <si>
    <t>COUNT من order id</t>
  </si>
  <si>
    <t>SUM من revenue</t>
  </si>
  <si>
    <t>2021-يناير</t>
  </si>
  <si>
    <t>2021-فبراير</t>
  </si>
  <si>
    <t>2021-مارس</t>
  </si>
  <si>
    <t>2021-أبريل</t>
  </si>
  <si>
    <t>2021-مايو</t>
  </si>
  <si>
    <t>2021-يونيو</t>
  </si>
  <si>
    <t>2021-يوليو</t>
  </si>
  <si>
    <t>2021-سبتمبر</t>
  </si>
  <si>
    <t>2021-أكتوبر</t>
  </si>
  <si>
    <t>2021-نوفمبر</t>
  </si>
  <si>
    <t>2021-ديسمبر</t>
  </si>
  <si>
    <t>2022-يناير</t>
  </si>
  <si>
    <t>2022-فبراير</t>
  </si>
  <si>
    <t>2022-مارس</t>
  </si>
  <si>
    <t>2022-أبريل</t>
  </si>
  <si>
    <t>2022-مايو</t>
  </si>
  <si>
    <t>2022-يونيو</t>
  </si>
  <si>
    <t>2022-يوليو</t>
  </si>
  <si>
    <t>2022-أغسطس</t>
  </si>
  <si>
    <t>2022-سبتمبر</t>
  </si>
  <si>
    <t>2022-نوفمبر</t>
  </si>
  <si>
    <t>2022-ديسمبر</t>
  </si>
  <si>
    <t>الإجمالي العام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</si>
</sst>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m/dd"/>
    <numFmt numFmtId="166" formatCode="m/d/yyyy h:mm:ss"/>
  </numFmts>
  <fonts count="5">
    <font>
      <sz val="10.0"/>
      <color rgb="FF000000"/>
      <name val="Arial"/>
      <scheme val="minor"/>
    </font>
    <font>
      <color theme="1"/>
      <name val="Lemonada"/>
    </font>
    <font>
      <sz val="9.0"/>
      <color rgb="FF000000"/>
      <name val="&quot;Google Sans Mono&quot;"/>
    </font>
    <font>
      <color theme="1"/>
      <name val="Arial"/>
      <scheme val="minor"/>
    </font>
    <font>
      <b/>
      <color theme="1"/>
      <name val="Lemonad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6" xfId="0" applyFont="1" applyNumberFormat="1"/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orders-style">
      <tableStyleElement dxfId="4" type="headerRow"/>
      <tableStyleElement dxfId="2" type="firstRowStripe"/>
      <tableStyleElement dxfId="5" type="secondRowStripe"/>
    </tableStyle>
    <tableStyle count="3" pivot="0" name="products-style">
      <tableStyleElement dxfId="6" type="headerRow"/>
      <tableStyleElement dxfId="2" type="firstRowStripe"/>
      <tableStyleElement dxfId="7" type="secondRowStripe"/>
    </tableStyle>
    <tableStyle count="3" pivot="0" name="analysis raw data-style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0" sheet="analysis raw data"/>
  </cacheSource>
  <cacheFields>
    <cacheField name="product id" numFmtId="0">
      <sharedItems containsString="0" containsBlank="1" containsNumber="1" containsInteger="1">
        <n v="4.1752154E7"/>
        <n v="7.8080835E7"/>
        <n v="8.9044431E7"/>
        <n v="9.3933502E7"/>
        <n v="8.6846486E7"/>
        <n v="7.0702693E7"/>
        <n v="5.0595275E7"/>
        <n v="7.8658729E7"/>
        <n v="2.5191561E7"/>
        <n v="9.2914571E7"/>
        <n v="8.4831645E7"/>
        <n v="1.240031E7"/>
        <n v="7.7231258E7"/>
        <n v="1.7369697E7"/>
        <n v="5.6731452E7"/>
        <n v="8.5872592E7"/>
        <n v="7.7491147E7"/>
        <n v="5.4624767E7"/>
        <n v="3.6566332E7"/>
        <n v="6.6218381E7"/>
        <n v="4.0833334E7"/>
        <n v="4.4214894E7"/>
        <n v="4.1521042E7"/>
        <n v="8.4575636E7"/>
        <n v="6.4568656E7"/>
        <n v="9.5498618E7"/>
        <n v="6.4521651E7"/>
        <n v="3.508429E7"/>
        <n v="6.8526102E7"/>
        <n v="3.4545251E7"/>
        <n v="6.5892952E7"/>
        <n v="8.3758817E7"/>
        <n v="1.7298526E7"/>
        <n v="9.0846614E7"/>
        <n v="1.6990901E7"/>
        <n v="1.0818133E7"/>
        <n v="8.6315357E7"/>
        <n v="2.2957446E7"/>
        <n v="2.8793798E7"/>
        <n v="5.8042976E7"/>
        <n v="6.6137137E7"/>
        <n v="3.5303594E7"/>
        <n v="7.2586278E7"/>
        <n v="1.3521913E7"/>
        <n v="3.7423352E7"/>
        <n v="7.9344299E7"/>
        <n v="5.4333145E7"/>
        <n v="1.9750615E7"/>
        <n v="9.2394194E7"/>
        <n v="2.1034697E7"/>
        <n v="7.9115369E7"/>
        <n v="2.7465096E7"/>
        <n v="2.7288499E7"/>
        <n v="9.3106897E7"/>
        <n v="6.7088547E7"/>
        <n v="4.6818111E7"/>
        <n v="4.4314266E7"/>
        <n v="1.5072793E7"/>
        <n v="6.7824484E7"/>
        <n v="2.9548892E7"/>
        <n v="4.089479E7"/>
        <n v="2.604897E7"/>
        <n v="1.560942E7"/>
        <n v="3.0649974E7"/>
        <n v="8.8632594E7"/>
        <n v="1.5513939E7"/>
        <n v="8.4297865E7"/>
        <n v="5.5700843E7"/>
        <n v="3.4344983E7"/>
        <n v="5.4930067E7"/>
        <n v="6.6658855E7"/>
        <n v="1.0516654E7"/>
        <n v="6.076918E7"/>
        <n v="1.8797443E7"/>
        <n v="1.9801848E7"/>
        <n v="1.3051281E7"/>
        <n v="5.5091634E7"/>
        <n v="4.7154134E7"/>
        <n v="2.5232386E7"/>
        <n v="9.3597517E7"/>
        <n v="3.9325268E7"/>
        <n v="6.2797061E7"/>
        <n v="5.936301E7"/>
        <n v="4.8243181E7"/>
        <n v="6.7740024E7"/>
        <n v="8.5569998E7"/>
        <n v="4.7892815E7"/>
        <n v="6.2270497E7"/>
        <n v="2.304624E7"/>
        <n v="9.2949938E7"/>
        <n v="4.5369429E7"/>
        <n v="5.4727028E7"/>
        <n v="8.4837043E7"/>
        <n v="9.0860384E7"/>
        <n v="5.9460123E7"/>
        <n v="5.2750048E7"/>
        <n v="4.0915007E7"/>
        <n v="5.1149819E7"/>
        <n v="3.798404E7"/>
        <n v="7.4392213E7"/>
        <n v="5.4560105E7"/>
        <n v="3.2495968E7"/>
        <n v="7.5595574E7"/>
        <n v="2.1674889E7"/>
        <n v="6.8539956E7"/>
        <n v="6.9631106E7"/>
        <n v="5.6159199E7"/>
        <n v="4.1386554E7"/>
        <n v="5.9720155E7"/>
        <n v="8.1731076E7"/>
        <n v="5.6319003E7"/>
        <n v="5.9747172E7"/>
        <n v="4.6501528E7"/>
        <n v="4.4570321E7"/>
        <n v="6.5541522E7"/>
        <n v="3.8475477E7"/>
        <n v="5.4992813E7"/>
        <n v="8.2617562E7"/>
        <n v="9.7998441E7"/>
        <n v="3.4024584E7"/>
        <n v="4.8821451E7"/>
        <n v="4.6631545E7"/>
        <n v="4.2056015E7"/>
        <n v="9.8792433E7"/>
        <n v="1.179173E7"/>
        <n v="7.9513439E7"/>
        <n v="8.3851054E7"/>
        <n v="3.2966971E7"/>
        <n v="4.2218746E7"/>
        <n v="7.8182386E7"/>
        <n v="5.2458616E7"/>
        <n v="4.8332126E7"/>
        <n v="1.2698236E7"/>
        <n v="6.206282E7"/>
        <n v="9.5494529E7"/>
        <n v="5.0839044E7"/>
        <n v="4.9316509E7"/>
        <n v="4.9407039E7"/>
        <n v="4.564617E7"/>
        <n v="8.7038095E7"/>
        <n v="3.9861306E7"/>
        <n v="8.1123741E7"/>
        <n v="3.0587907E7"/>
        <n v="7.057073E7"/>
        <n v="2.146359E7"/>
        <n v="5.8042999E7"/>
        <n v="6.1012906E7"/>
        <n v="3.8836201E7"/>
        <n v="3.4281926E7"/>
        <n v="2.1620421E7"/>
        <n v="5.7891324E7"/>
        <n v="1.8317133E7"/>
        <n v="1.5226231E7"/>
        <m/>
      </sharedItems>
    </cacheField>
    <cacheField name="product unit price" numFmtId="0">
      <sharedItems containsString="0" containsBlank="1" containsNumber="1" containsInteger="1">
        <n v="70.0"/>
        <n v="74.0"/>
        <n v="81.0"/>
        <n v="69.0"/>
        <n v="39.0"/>
        <n v="80.0"/>
        <n v="45.0"/>
        <n v="58.0"/>
        <n v="87.0"/>
        <n v="101.0"/>
        <n v="52.0"/>
        <n v="93.0"/>
        <n v="33.0"/>
        <n v="49.0"/>
        <n v="42.0"/>
        <n v="91.0"/>
        <n v="28.0"/>
        <n v="95.0"/>
        <n v="118.0"/>
        <n v="48.0"/>
        <n v="38.0"/>
        <n v="35.0"/>
        <n v="96.0"/>
        <n v="43.0"/>
        <n v="92.0"/>
        <n v="112.0"/>
        <n v="37.0"/>
        <n v="76.0"/>
        <n v="67.0"/>
        <n v="60.0"/>
        <n v="99.0"/>
        <n v="120.0"/>
        <n v="108.0"/>
        <n v="57.0"/>
        <n v="110.0"/>
        <n v="47.0"/>
        <n v="117.0"/>
        <n v="104.0"/>
        <n v="82.0"/>
        <n v="44.0"/>
        <n v="31.0"/>
        <n v="90.0"/>
        <n v="56.0"/>
        <n v="79.0"/>
        <n v="40.0"/>
        <n v="23.0"/>
        <n v="109.0"/>
        <n v="20.0"/>
        <n v="83.0"/>
        <n v="46.0"/>
        <n v="30.0"/>
        <n v="89.0"/>
        <n v="59.0"/>
        <n v="77.0"/>
        <n v="103.0"/>
        <n v="111.0"/>
        <n v="114.0"/>
        <n v="71.0"/>
        <n v="27.0"/>
        <n v="102.0"/>
        <n v="53.0"/>
        <n v="85.0"/>
        <n v="36.0"/>
        <n v="50.0"/>
        <n v="22.0"/>
        <n v="64.0"/>
        <n v="66.0"/>
        <n v="113.0"/>
        <n v="73.0"/>
        <n v="61.0"/>
        <n v="51.0"/>
        <n v="32.0"/>
        <n v="86.0"/>
        <n v="94.0"/>
        <n v="62.0"/>
        <n v="34.0"/>
        <n v="72.0"/>
        <n v="68.0"/>
        <n v="78.0"/>
        <n v="63.0"/>
        <n v="75.0"/>
        <n v="12.0"/>
        <m/>
      </sharedItems>
    </cacheField>
    <cacheField name="quantity purchased" numFmtId="0">
      <sharedItems containsString="0" containsBlank="1" containsNumber="1" containsInteger="1">
        <n v="1.0"/>
        <n v="2.0"/>
        <n v="3.0"/>
        <m/>
      </sharedItems>
    </cacheField>
    <cacheField name="order id" numFmtId="0">
      <sharedItems containsString="0" containsBlank="1" containsNumber="1" containsInteger="1">
        <n v="5930708.0"/>
        <n v="5291324.0"/>
        <n v="3393817.0"/>
        <n v="1933991.0"/>
        <n v="9816128.0"/>
        <n v="4657353.0"/>
        <n v="2473988.0"/>
        <n v="9790250.0"/>
        <n v="2607086.0"/>
        <n v="9427009.0"/>
        <n v="3361762.0"/>
        <n v="2053909.0"/>
        <n v="6941406.0"/>
        <n v="6781240.0"/>
        <n v="2129153.0"/>
        <n v="5965621.0"/>
        <n v="2836359.0"/>
        <n v="8246297.0"/>
        <n v="2352591.0"/>
        <n v="1359028.0"/>
        <n v="9869978.0"/>
        <n v="6818166.0"/>
        <n v="6170589.0"/>
        <n v="6285705.0"/>
        <n v="1097181.0"/>
        <n v="4368029.0"/>
        <n v="5275402.0"/>
        <n v="4717104.0"/>
        <n v="8172535.0"/>
        <n v="6761767.0"/>
        <n v="5820756.0"/>
        <n v="8583178.0"/>
        <n v="6711081.0"/>
        <n v="1381396.0"/>
        <n v="8490432.0"/>
        <n v="8490355.0"/>
        <n v="6134424.0"/>
        <n v="9897470.0"/>
        <n v="3391436.0"/>
        <n v="2950813.0"/>
        <n v="5121392.0"/>
        <n v="6208865.0"/>
        <n v="6010670.0"/>
        <n v="3850495.0"/>
        <n v="1310870.0"/>
        <n v="2439984.0"/>
        <n v="9205474.0"/>
        <n v="3185077.0"/>
        <n v="1089001.0"/>
        <n v="8765313.0"/>
        <n v="6651423.0"/>
        <n v="7659876.0"/>
        <n v="7789123.0"/>
        <m/>
      </sharedItems>
    </cacheField>
    <cacheField name="oerder date" numFmtId="14">
      <sharedItems containsDate="1" containsString="0" containsBlank="1">
        <d v="2021-06-19T00:00:00Z"/>
        <d v="2021-10-03T00:00:00Z"/>
        <d v="2021-12-22T00:00:00Z"/>
        <d v="2021-07-24T00:00:00Z"/>
        <d v="2022-11-13T00:00:00Z"/>
        <d v="2022-12-05T00:00:00Z"/>
        <d v="2021-01-20T00:00:00Z"/>
        <d v="2022-09-15T00:00:00Z"/>
        <d v="2022-08-13T00:00:00Z"/>
        <d v="2022-03-28T00:00:00Z"/>
        <d v="2022-06-10T00:00:00Z"/>
        <d v="2022-02-23T00:00:00Z"/>
        <d v="2021-09-12T00:00:00Z"/>
        <d v="2022-08-28T00:00:00Z"/>
        <d v="2022-05-27T00:00:00Z"/>
        <d v="2022-03-22T00:00:00Z"/>
        <d v="2022-02-01T00:00:00Z"/>
        <d v="2021-11-18T00:00:00Z"/>
        <d v="2021-02-09T00:00:00Z"/>
        <d v="2022-01-04T00:00:00Z"/>
        <d v="2021-09-13T00:00:00Z"/>
        <d v="2021-09-26T00:00:00Z"/>
        <d v="2021-05-18T00:00:00Z"/>
        <d v="2022-04-06T00:00:00Z"/>
        <d v="2021-07-23T00:00:00Z"/>
        <d v="2021-04-09T00:00:00Z"/>
        <d v="2021-11-06T00:00:00Z"/>
        <d v="2021-09-02T00:00:00Z"/>
        <d v="2021-04-17T00:00:00Z"/>
        <d v="2021-04-12T00:00:00Z"/>
        <d v="2022-12-07T00:00:00Z"/>
        <d v="2021-07-19T00:00:00Z"/>
        <d v="2022-11-11T00:00:00Z"/>
        <d v="2021-06-16T00:00:00Z"/>
        <d v="2021-05-08T00:00:00Z"/>
        <d v="2021-05-02T00:00:00Z"/>
        <d v="2021-06-20T00:00:00Z"/>
        <d v="2022-09-16T00:00:00Z"/>
        <d v="2022-04-11T00:00:00Z"/>
        <d v="2022-07-27T00:00:00Z"/>
        <d v="2022-06-06T00:00:00Z"/>
        <d v="2021-03-26T00:00:00Z"/>
        <d v="2021-10-01T00:00:00Z"/>
        <d v="2021-10-26T00:00:00Z"/>
        <d v="2021-10-05T00:00:00Z"/>
        <d v="2021-11-23T00:00:00Z"/>
        <d v="2021-10-22T00:00:00Z"/>
        <d v="2021-10-31T00:00:00Z"/>
        <d v="2022-03-30T00:00:00Z"/>
        <d v="2022-04-02T00:00:00Z"/>
        <m/>
      </sharedItems>
    </cacheField>
    <cacheField name="revenue" numFmtId="0">
      <sharedItems containsString="0" containsBlank="1" containsNumber="1" containsInteger="1">
        <n v="70.0"/>
        <n v="74.0"/>
        <n v="162.0"/>
        <n v="69.0"/>
        <n v="117.0"/>
        <n v="240.0"/>
        <n v="45.0"/>
        <n v="174.0"/>
        <n v="87.0"/>
        <n v="303.0"/>
        <n v="52.0"/>
        <n v="93.0"/>
        <n v="99.0"/>
        <n v="156.0"/>
        <n v="49.0"/>
        <n v="243.0"/>
        <n v="84.0"/>
        <n v="91.0"/>
        <n v="56.0"/>
        <n v="285.0"/>
        <n v="354.0"/>
        <n v="48.0"/>
        <n v="76.0"/>
        <n v="96.0"/>
        <n v="129.0"/>
        <n v="276.0"/>
        <n v="336.0"/>
        <n v="134.0"/>
        <n v="120.0"/>
        <n v="297.0"/>
        <n v="66.0"/>
        <n v="324.0"/>
        <n v="184.0"/>
        <n v="57.0"/>
        <n v="330.0"/>
        <n v="141.0"/>
        <n v="351.0"/>
        <n v="312.0"/>
        <n v="279.0"/>
        <n v="82.0"/>
        <n v="88.0"/>
        <n v="270.0"/>
        <n v="237.0"/>
        <n v="148.0"/>
        <n v="80.0"/>
        <n v="23.0"/>
        <n v="218.0"/>
        <n v="20.0"/>
        <n v="83.0"/>
        <n v="43.0"/>
        <n v="112.0"/>
        <n v="180.0"/>
        <n v="92.0"/>
        <n v="186.0"/>
        <n v="30.0"/>
        <n v="89.0"/>
        <n v="118.0"/>
        <n v="360.0"/>
        <n v="154.0"/>
        <n v="132.0"/>
        <n v="103.0"/>
        <n v="222.0"/>
        <n v="228.0"/>
        <n v="142.0"/>
        <n v="27.0"/>
        <n v="204.0"/>
        <n v="208.0"/>
        <n v="67.0"/>
        <n v="90.0"/>
        <n v="40.0"/>
        <n v="109.0"/>
        <n v="106.0"/>
        <n v="255.0"/>
        <n v="108.0"/>
        <n v="44.0"/>
        <n v="100.0"/>
        <n v="170.0"/>
        <n v="111.0"/>
        <n v="114.0"/>
        <n v="64.0"/>
        <n v="60.0"/>
        <n v="150.0"/>
        <n v="273.0"/>
        <n v="113.0"/>
        <n v="146.0"/>
        <n v="183.0"/>
        <n v="51.0"/>
        <n v="32.0"/>
        <n v="258.0"/>
        <n v="138.0"/>
        <n v="37.0"/>
        <n v="36.0"/>
        <n v="342.0"/>
        <n v="224.0"/>
        <n v="54.0"/>
        <n v="188.0"/>
        <n v="62.0"/>
        <n v="68.0"/>
        <n v="72.0"/>
        <n v="178.0"/>
        <n v="136.0"/>
        <n v="234.0"/>
        <n v="78.0"/>
        <n v="63.0"/>
        <n v="116.0"/>
        <n v="75.0"/>
        <n v="202.0"/>
        <n v="158.0"/>
        <n v="140.0"/>
        <n v="86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0" sheet="analysis raw data"/>
  </cacheSource>
  <cacheFields>
    <cacheField name="product id" numFmtId="0">
      <sharedItems containsString="0" containsBlank="1" containsNumber="1" containsInteger="1">
        <n v="4.1752154E7"/>
        <n v="7.8080835E7"/>
        <n v="8.9044431E7"/>
        <n v="9.3933502E7"/>
        <n v="8.6846486E7"/>
        <n v="7.0702693E7"/>
        <n v="5.0595275E7"/>
        <n v="7.8658729E7"/>
        <n v="2.5191561E7"/>
        <n v="9.2914571E7"/>
        <n v="8.4831645E7"/>
        <n v="1.240031E7"/>
        <n v="7.7231258E7"/>
        <n v="1.7369697E7"/>
        <n v="5.6731452E7"/>
        <n v="8.5872592E7"/>
        <n v="7.7491147E7"/>
        <n v="5.4624767E7"/>
        <n v="3.6566332E7"/>
        <n v="6.6218381E7"/>
        <n v="4.0833334E7"/>
        <n v="4.4214894E7"/>
        <n v="4.1521042E7"/>
        <n v="8.4575636E7"/>
        <n v="6.4568656E7"/>
        <n v="9.5498618E7"/>
        <n v="6.4521651E7"/>
        <n v="3.508429E7"/>
        <n v="6.8526102E7"/>
        <n v="3.4545251E7"/>
        <n v="6.5892952E7"/>
        <n v="8.3758817E7"/>
        <n v="1.7298526E7"/>
        <n v="9.0846614E7"/>
        <n v="1.6990901E7"/>
        <n v="1.0818133E7"/>
        <n v="8.6315357E7"/>
        <n v="2.2957446E7"/>
        <n v="2.8793798E7"/>
        <n v="5.8042976E7"/>
        <n v="6.6137137E7"/>
        <n v="3.5303594E7"/>
        <n v="7.2586278E7"/>
        <n v="1.3521913E7"/>
        <n v="3.7423352E7"/>
        <n v="7.9344299E7"/>
        <n v="5.4333145E7"/>
        <n v="1.9750615E7"/>
        <n v="9.2394194E7"/>
        <n v="2.1034697E7"/>
        <n v="7.9115369E7"/>
        <n v="2.7465096E7"/>
        <n v="2.7288499E7"/>
        <n v="9.3106897E7"/>
        <n v="6.7088547E7"/>
        <n v="4.6818111E7"/>
        <n v="4.4314266E7"/>
        <n v="1.5072793E7"/>
        <n v="6.7824484E7"/>
        <n v="2.9548892E7"/>
        <n v="4.089479E7"/>
        <n v="2.604897E7"/>
        <n v="1.560942E7"/>
        <n v="3.0649974E7"/>
        <n v="8.8632594E7"/>
        <n v="1.5513939E7"/>
        <n v="8.4297865E7"/>
        <n v="5.5700843E7"/>
        <n v="3.4344983E7"/>
        <n v="5.4930067E7"/>
        <n v="6.6658855E7"/>
        <n v="1.0516654E7"/>
        <n v="6.076918E7"/>
        <n v="1.8797443E7"/>
        <n v="1.9801848E7"/>
        <n v="1.3051281E7"/>
        <n v="5.5091634E7"/>
        <n v="4.7154134E7"/>
        <n v="2.5232386E7"/>
        <n v="9.3597517E7"/>
        <n v="3.9325268E7"/>
        <n v="6.2797061E7"/>
        <n v="5.936301E7"/>
        <n v="4.8243181E7"/>
        <n v="6.7740024E7"/>
        <n v="8.5569998E7"/>
        <n v="4.7892815E7"/>
        <n v="6.2270497E7"/>
        <n v="2.304624E7"/>
        <n v="9.2949938E7"/>
        <n v="4.5369429E7"/>
        <n v="5.4727028E7"/>
        <n v="8.4837043E7"/>
        <n v="9.0860384E7"/>
        <n v="5.9460123E7"/>
        <n v="5.2750048E7"/>
        <n v="4.0915007E7"/>
        <n v="5.1149819E7"/>
        <n v="3.798404E7"/>
        <n v="7.4392213E7"/>
        <n v="5.4560105E7"/>
        <n v="3.2495968E7"/>
        <n v="7.5595574E7"/>
        <n v="2.1674889E7"/>
        <n v="6.8539956E7"/>
        <n v="6.9631106E7"/>
        <n v="5.6159199E7"/>
        <n v="4.1386554E7"/>
        <n v="5.9720155E7"/>
        <n v="8.1731076E7"/>
        <n v="5.6319003E7"/>
        <n v="5.9747172E7"/>
        <n v="4.6501528E7"/>
        <n v="4.4570321E7"/>
        <n v="6.5541522E7"/>
        <n v="3.8475477E7"/>
        <n v="5.4992813E7"/>
        <n v="8.2617562E7"/>
        <n v="9.7998441E7"/>
        <n v="3.4024584E7"/>
        <n v="4.8821451E7"/>
        <n v="4.6631545E7"/>
        <n v="4.2056015E7"/>
        <n v="9.8792433E7"/>
        <n v="1.179173E7"/>
        <n v="7.9513439E7"/>
        <n v="8.3851054E7"/>
        <n v="3.2966971E7"/>
        <n v="4.2218746E7"/>
        <n v="7.8182386E7"/>
        <n v="5.2458616E7"/>
        <n v="4.8332126E7"/>
        <n v="1.2698236E7"/>
        <n v="6.206282E7"/>
        <n v="9.5494529E7"/>
        <n v="5.0839044E7"/>
        <n v="4.9316509E7"/>
        <n v="4.9407039E7"/>
        <n v="4.564617E7"/>
        <n v="8.7038095E7"/>
        <n v="3.9861306E7"/>
        <n v="8.1123741E7"/>
        <n v="3.0587907E7"/>
        <n v="7.057073E7"/>
        <n v="2.146359E7"/>
        <n v="5.8042999E7"/>
        <n v="6.1012906E7"/>
        <n v="3.8836201E7"/>
        <n v="3.4281926E7"/>
        <n v="2.1620421E7"/>
        <n v="5.7891324E7"/>
        <n v="1.8317133E7"/>
        <n v="1.5226231E7"/>
        <m/>
      </sharedItems>
    </cacheField>
    <cacheField name="product unit price" numFmtId="0">
      <sharedItems containsString="0" containsBlank="1" containsNumber="1" containsInteger="1">
        <n v="70.0"/>
        <n v="74.0"/>
        <n v="81.0"/>
        <n v="69.0"/>
        <n v="39.0"/>
        <n v="80.0"/>
        <n v="45.0"/>
        <n v="58.0"/>
        <n v="87.0"/>
        <n v="101.0"/>
        <n v="52.0"/>
        <n v="93.0"/>
        <n v="33.0"/>
        <n v="49.0"/>
        <n v="42.0"/>
        <n v="91.0"/>
        <n v="28.0"/>
        <n v="95.0"/>
        <n v="118.0"/>
        <n v="48.0"/>
        <n v="38.0"/>
        <n v="35.0"/>
        <n v="96.0"/>
        <n v="43.0"/>
        <n v="92.0"/>
        <n v="112.0"/>
        <n v="37.0"/>
        <n v="76.0"/>
        <n v="67.0"/>
        <n v="60.0"/>
        <n v="99.0"/>
        <n v="120.0"/>
        <n v="108.0"/>
        <n v="57.0"/>
        <n v="110.0"/>
        <n v="47.0"/>
        <n v="117.0"/>
        <n v="104.0"/>
        <n v="82.0"/>
        <n v="44.0"/>
        <n v="31.0"/>
        <n v="90.0"/>
        <n v="56.0"/>
        <n v="79.0"/>
        <n v="40.0"/>
        <n v="23.0"/>
        <n v="109.0"/>
        <n v="20.0"/>
        <n v="83.0"/>
        <n v="46.0"/>
        <n v="30.0"/>
        <n v="89.0"/>
        <n v="59.0"/>
        <n v="77.0"/>
        <n v="103.0"/>
        <n v="111.0"/>
        <n v="114.0"/>
        <n v="71.0"/>
        <n v="27.0"/>
        <n v="102.0"/>
        <n v="53.0"/>
        <n v="85.0"/>
        <n v="36.0"/>
        <n v="50.0"/>
        <n v="22.0"/>
        <n v="64.0"/>
        <n v="66.0"/>
        <n v="113.0"/>
        <n v="73.0"/>
        <n v="61.0"/>
        <n v="51.0"/>
        <n v="32.0"/>
        <n v="86.0"/>
        <n v="94.0"/>
        <n v="62.0"/>
        <n v="34.0"/>
        <n v="72.0"/>
        <n v="68.0"/>
        <n v="78.0"/>
        <n v="63.0"/>
        <n v="75.0"/>
        <n v="12.0"/>
        <m/>
      </sharedItems>
    </cacheField>
    <cacheField name="quantity purchased" numFmtId="0">
      <sharedItems containsString="0" containsBlank="1" containsNumber="1" containsInteger="1">
        <n v="1.0"/>
        <n v="2.0"/>
        <n v="3.0"/>
        <m/>
      </sharedItems>
    </cacheField>
    <cacheField name="order id" numFmtId="0">
      <sharedItems containsString="0" containsBlank="1" containsNumber="1" containsInteger="1">
        <n v="5930708.0"/>
        <n v="5291324.0"/>
        <n v="3393817.0"/>
        <n v="1933991.0"/>
        <n v="9816128.0"/>
        <n v="4657353.0"/>
        <n v="2473988.0"/>
        <n v="9790250.0"/>
        <n v="2607086.0"/>
        <n v="9427009.0"/>
        <n v="3361762.0"/>
        <n v="2053909.0"/>
        <n v="6941406.0"/>
        <n v="6781240.0"/>
        <n v="2129153.0"/>
        <n v="5965621.0"/>
        <n v="2836359.0"/>
        <n v="8246297.0"/>
        <n v="2352591.0"/>
        <n v="1359028.0"/>
        <n v="9869978.0"/>
        <n v="6818166.0"/>
        <n v="6170589.0"/>
        <n v="6285705.0"/>
        <n v="1097181.0"/>
        <n v="4368029.0"/>
        <n v="5275402.0"/>
        <n v="4717104.0"/>
        <n v="8172535.0"/>
        <n v="6761767.0"/>
        <n v="5820756.0"/>
        <n v="8583178.0"/>
        <n v="6711081.0"/>
        <n v="1381396.0"/>
        <n v="8490432.0"/>
        <n v="8490355.0"/>
        <n v="6134424.0"/>
        <n v="9897470.0"/>
        <n v="3391436.0"/>
        <n v="2950813.0"/>
        <n v="5121392.0"/>
        <n v="6208865.0"/>
        <n v="6010670.0"/>
        <n v="3850495.0"/>
        <n v="1310870.0"/>
        <n v="2439984.0"/>
        <n v="9205474.0"/>
        <n v="3185077.0"/>
        <n v="1089001.0"/>
        <n v="8765313.0"/>
        <n v="6651423.0"/>
        <n v="7659876.0"/>
        <n v="7789123.0"/>
        <m/>
      </sharedItems>
    </cacheField>
    <cacheField name="oerder date" numFmtId="14">
      <sharedItems containsDate="1" containsString="0" containsBlank="1">
        <d v="2021-06-19T00:00:00Z"/>
        <d v="2021-10-03T00:00:00Z"/>
        <d v="2021-12-22T00:00:00Z"/>
        <d v="2021-07-24T00:00:00Z"/>
        <d v="2022-11-13T00:00:00Z"/>
        <d v="2022-12-05T00:00:00Z"/>
        <d v="2021-01-20T00:00:00Z"/>
        <d v="2022-09-15T00:00:00Z"/>
        <d v="2022-08-13T00:00:00Z"/>
        <d v="2022-03-28T00:00:00Z"/>
        <d v="2022-06-10T00:00:00Z"/>
        <d v="2022-02-23T00:00:00Z"/>
        <d v="2021-09-12T00:00:00Z"/>
        <d v="2022-08-28T00:00:00Z"/>
        <d v="2022-05-27T00:00:00Z"/>
        <d v="2022-03-22T00:00:00Z"/>
        <d v="2022-02-01T00:00:00Z"/>
        <d v="2021-11-18T00:00:00Z"/>
        <d v="2021-02-09T00:00:00Z"/>
        <d v="2022-01-04T00:00:00Z"/>
        <d v="2021-09-13T00:00:00Z"/>
        <d v="2021-09-26T00:00:00Z"/>
        <d v="2021-05-18T00:00:00Z"/>
        <d v="2022-04-06T00:00:00Z"/>
        <d v="2021-07-23T00:00:00Z"/>
        <d v="2021-04-09T00:00:00Z"/>
        <d v="2021-11-06T00:00:00Z"/>
        <d v="2021-09-02T00:00:00Z"/>
        <d v="2021-04-17T00:00:00Z"/>
        <d v="2021-04-12T00:00:00Z"/>
        <d v="2022-12-07T00:00:00Z"/>
        <d v="2021-07-19T00:00:00Z"/>
        <d v="2022-11-11T00:00:00Z"/>
        <d v="2021-06-16T00:00:00Z"/>
        <d v="2021-05-08T00:00:00Z"/>
        <d v="2021-05-02T00:00:00Z"/>
        <d v="2021-06-20T00:00:00Z"/>
        <d v="2022-09-16T00:00:00Z"/>
        <d v="2022-04-11T00:00:00Z"/>
        <d v="2022-07-27T00:00:00Z"/>
        <d v="2022-06-06T00:00:00Z"/>
        <d v="2021-03-26T00:00:00Z"/>
        <d v="2021-10-01T00:00:00Z"/>
        <d v="2021-10-26T00:00:00Z"/>
        <d v="2021-10-05T00:00:00Z"/>
        <d v="2021-11-23T00:00:00Z"/>
        <d v="2021-10-22T00:00:00Z"/>
        <d v="2021-10-31T00:00:00Z"/>
        <d v="2022-03-30T00:00:00Z"/>
        <d v="2022-04-02T00:00:00Z"/>
        <m/>
      </sharedItems>
    </cacheField>
    <cacheField name="revenue" numFmtId="0">
      <sharedItems containsString="0" containsBlank="1" containsNumber="1" containsInteger="1">
        <n v="70.0"/>
        <n v="74.0"/>
        <n v="162.0"/>
        <n v="69.0"/>
        <n v="117.0"/>
        <n v="240.0"/>
        <n v="45.0"/>
        <n v="174.0"/>
        <n v="87.0"/>
        <n v="303.0"/>
        <n v="52.0"/>
        <n v="93.0"/>
        <n v="99.0"/>
        <n v="156.0"/>
        <n v="49.0"/>
        <n v="243.0"/>
        <n v="84.0"/>
        <n v="91.0"/>
        <n v="56.0"/>
        <n v="285.0"/>
        <n v="354.0"/>
        <n v="48.0"/>
        <n v="76.0"/>
        <n v="96.0"/>
        <n v="129.0"/>
        <n v="276.0"/>
        <n v="336.0"/>
        <n v="134.0"/>
        <n v="120.0"/>
        <n v="297.0"/>
        <n v="66.0"/>
        <n v="324.0"/>
        <n v="184.0"/>
        <n v="57.0"/>
        <n v="330.0"/>
        <n v="141.0"/>
        <n v="351.0"/>
        <n v="312.0"/>
        <n v="279.0"/>
        <n v="82.0"/>
        <n v="88.0"/>
        <n v="270.0"/>
        <n v="237.0"/>
        <n v="148.0"/>
        <n v="80.0"/>
        <n v="23.0"/>
        <n v="218.0"/>
        <n v="20.0"/>
        <n v="83.0"/>
        <n v="43.0"/>
        <n v="112.0"/>
        <n v="180.0"/>
        <n v="92.0"/>
        <n v="186.0"/>
        <n v="30.0"/>
        <n v="89.0"/>
        <n v="118.0"/>
        <n v="360.0"/>
        <n v="154.0"/>
        <n v="132.0"/>
        <n v="103.0"/>
        <n v="222.0"/>
        <n v="228.0"/>
        <n v="142.0"/>
        <n v="27.0"/>
        <n v="204.0"/>
        <n v="208.0"/>
        <n v="67.0"/>
        <n v="90.0"/>
        <n v="40.0"/>
        <n v="109.0"/>
        <n v="106.0"/>
        <n v="255.0"/>
        <n v="108.0"/>
        <n v="44.0"/>
        <n v="100.0"/>
        <n v="170.0"/>
        <n v="111.0"/>
        <n v="114.0"/>
        <n v="64.0"/>
        <n v="60.0"/>
        <n v="150.0"/>
        <n v="273.0"/>
        <n v="113.0"/>
        <n v="146.0"/>
        <n v="183.0"/>
        <n v="51.0"/>
        <n v="32.0"/>
        <n v="258.0"/>
        <n v="138.0"/>
        <n v="37.0"/>
        <n v="36.0"/>
        <n v="342.0"/>
        <n v="224.0"/>
        <n v="54.0"/>
        <n v="188.0"/>
        <n v="62.0"/>
        <n v="68.0"/>
        <n v="72.0"/>
        <n v="178.0"/>
        <n v="136.0"/>
        <n v="234.0"/>
        <n v="78.0"/>
        <n v="63.0"/>
        <n v="116.0"/>
        <n v="75.0"/>
        <n v="202.0"/>
        <n v="158.0"/>
        <n v="140.0"/>
        <n v="86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analysis raw data" cacheId="0" dataCaption="" rowGrandTotals="0" compact="0" compactData="0">
  <location ref="H3:I57" firstHeaderRow="0" firstDataRow="1" firstDataCol="0"/>
  <pivotFields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product 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quantity purchased" compact="0" outline="0" multipleItemSelectionAllowed="1" showAll="0">
      <items>
        <item x="0"/>
        <item x="1"/>
        <item x="2"/>
        <item x="3"/>
        <item t="default"/>
      </items>
    </pivotField>
    <pivotField name="order id" axis="axisRow" compact="0" outline="0" multipleItemSelectionAllowed="1" showAll="0" sortType="ascending">
      <items>
        <item x="53"/>
        <item x="48"/>
        <item x="24"/>
        <item x="44"/>
        <item x="19"/>
        <item x="33"/>
        <item x="3"/>
        <item x="11"/>
        <item x="14"/>
        <item x="18"/>
        <item x="45"/>
        <item x="6"/>
        <item x="8"/>
        <item x="16"/>
        <item x="39"/>
        <item x="47"/>
        <item x="10"/>
        <item x="38"/>
        <item x="2"/>
        <item x="43"/>
        <item x="25"/>
        <item x="5"/>
        <item x="27"/>
        <item x="40"/>
        <item x="26"/>
        <item x="1"/>
        <item x="30"/>
        <item x="0"/>
        <item x="15"/>
        <item x="42"/>
        <item x="36"/>
        <item x="22"/>
        <item x="41"/>
        <item x="23"/>
        <item x="50"/>
        <item x="32"/>
        <item x="29"/>
        <item x="13"/>
        <item x="21"/>
        <item x="12"/>
        <item x="51"/>
        <item x="52"/>
        <item x="28"/>
        <item x="17"/>
        <item x="35"/>
        <item x="34"/>
        <item x="31"/>
        <item x="49"/>
        <item x="46"/>
        <item x="9"/>
        <item x="7"/>
        <item x="4"/>
        <item x="20"/>
        <item x="37"/>
        <item t="default"/>
      </items>
    </pivotField>
    <pivotField name="oerder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</pivotFields>
  <rowFields>
    <field x="3"/>
  </rowFields>
  <dataFields>
    <dataField name="revenue per order" fld="5" baseField="0"/>
  </dataFields>
</pivotTableDefinition>
</file>

<file path=xl/pivotTables/pivotTable2.xml><?xml version="1.0" encoding="utf-8"?>
<pivotTableDefinition xmlns="http://schemas.openxmlformats.org/spreadsheetml/2006/main" name="analysis raw data 2" cacheId="1" dataCaption="" compact="0" compactData="0">
  <location ref="K6:M30" firstHeaderRow="0" firstDataRow="2" firstDataCol="0"/>
  <pivotFields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product 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quantity purchased" compact="0" outline="0" multipleItemSelectionAllowed="1" showAll="0">
      <items>
        <item x="0"/>
        <item x="1"/>
        <item x="2"/>
        <item x="3"/>
        <item t="default"/>
      </items>
    </pivotField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oerder date" axis="axisRow" compact="0" numFmtId="14" outline="0" multipleItemSelectionAllowed="1" showAll="0" sortType="ascending">
      <items>
        <item x="50"/>
        <item x="6"/>
        <item x="18"/>
        <item x="41"/>
        <item x="25"/>
        <item x="29"/>
        <item x="28"/>
        <item x="35"/>
        <item x="34"/>
        <item x="22"/>
        <item x="33"/>
        <item x="0"/>
        <item x="36"/>
        <item x="31"/>
        <item x="24"/>
        <item x="3"/>
        <item x="27"/>
        <item x="12"/>
        <item x="20"/>
        <item x="21"/>
        <item x="42"/>
        <item x="1"/>
        <item x="44"/>
        <item x="46"/>
        <item x="43"/>
        <item x="47"/>
        <item x="26"/>
        <item x="17"/>
        <item x="45"/>
        <item x="2"/>
        <item x="19"/>
        <item x="16"/>
        <item x="11"/>
        <item x="15"/>
        <item x="9"/>
        <item x="48"/>
        <item x="49"/>
        <item x="23"/>
        <item x="38"/>
        <item x="14"/>
        <item x="40"/>
        <item x="10"/>
        <item x="39"/>
        <item x="8"/>
        <item x="13"/>
        <item x="7"/>
        <item x="37"/>
        <item x="32"/>
        <item x="4"/>
        <item x="5"/>
        <item x="30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</pivotFields>
  <rowFields>
    <field x="4"/>
  </rowFields>
  <colFields>
    <field x="-2"/>
  </colFields>
  <dataFields>
    <dataField name="COUNT of order id" fld="3" subtotal="countNums" baseField="0"/>
    <dataField name="SUM of revenue" fld="5" baseField="0"/>
  </dataFields>
</pivotTableDefinition>
</file>

<file path=xl/tables/table1.xml><?xml version="1.0" encoding="utf-8"?>
<table xmlns="http://schemas.openxmlformats.org/spreadsheetml/2006/main" ref="A1:B54" displayName="Table_1" name="Table_1" id="1">
  <tableColumns count="2">
    <tableColumn name="customer id" id="1"/>
    <tableColumn name="customer name" id="2"/>
  </tableColumns>
  <tableStyleInfo name="customers-style" showColumnStripes="0" showFirstColumn="1" showLastColumn="1" showRowStripes="1"/>
</table>
</file>

<file path=xl/tables/table2.xml><?xml version="1.0" encoding="utf-8"?>
<table xmlns="http://schemas.openxmlformats.org/spreadsheetml/2006/main" ref="A1:C54" displayName="Table_2" name="Table_2" id="2">
  <tableColumns count="3">
    <tableColumn name="order id" id="1"/>
    <tableColumn name="oerder date" id="2"/>
    <tableColumn name="customer id" id="3"/>
  </tableColumns>
  <tableStyleInfo name="orders-style" showColumnStripes="0" showFirstColumn="1" showLastColumn="1" showRowStripes="1"/>
</table>
</file>

<file path=xl/tables/table3.xml><?xml version="1.0" encoding="utf-8"?>
<table xmlns="http://schemas.openxmlformats.org/spreadsheetml/2006/main" ref="A1:D154" displayName="Table_3" name="Table_3" id="3">
  <tableColumns count="4">
    <tableColumn name="product id" id="1"/>
    <tableColumn name="product unit price" id="2"/>
    <tableColumn name="quantity purchased" id="3"/>
    <tableColumn name="order id" id="4"/>
  </tableColumns>
  <tableStyleInfo name="products-style" showColumnStripes="0" showFirstColumn="1" showLastColumn="1" showRowStripes="1"/>
</table>
</file>

<file path=xl/tables/table4.xml><?xml version="1.0" encoding="utf-8"?>
<table xmlns="http://schemas.openxmlformats.org/spreadsheetml/2006/main" ref="A1:F154" displayName="Table_4" name="Table_4" id="4">
  <tableColumns count="6">
    <tableColumn name="product id" id="1"/>
    <tableColumn name="product unit price" id="2"/>
    <tableColumn name="quantity purchased" id="3"/>
    <tableColumn name="order id" id="4"/>
    <tableColumn name="oerder date" id="5"/>
    <tableColumn name="revenue" id="6"/>
  </tableColumns>
  <tableStyleInfo name="analysis raw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4.x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0</v>
      </c>
      <c r="B1" s="1" t="s">
        <v>1</v>
      </c>
    </row>
    <row r="2">
      <c r="A2" s="2">
        <v>637431.0</v>
      </c>
      <c r="B2" s="2" t="str">
        <f t="shared" ref="B2:B51" si="1">CONCAT(CHAR(RANDBETWEEN(65,90)),CHAR(RANDBETWEEN(65,90)))</f>
        <v>UJ</v>
      </c>
    </row>
    <row r="3">
      <c r="A3" s="2">
        <v>353327.0</v>
      </c>
      <c r="B3" s="2" t="str">
        <f t="shared" si="1"/>
        <v>XX</v>
      </c>
    </row>
    <row r="4">
      <c r="A4" s="2">
        <v>216528.0</v>
      </c>
      <c r="B4" s="2" t="str">
        <f t="shared" si="1"/>
        <v>WW</v>
      </c>
    </row>
    <row r="5">
      <c r="A5" s="2">
        <v>717999.0</v>
      </c>
      <c r="B5" s="2" t="str">
        <f t="shared" si="1"/>
        <v>QF</v>
      </c>
    </row>
    <row r="6">
      <c r="A6" s="2">
        <v>517970.0</v>
      </c>
      <c r="B6" s="2" t="str">
        <f t="shared" si="1"/>
        <v>LO</v>
      </c>
    </row>
    <row r="7">
      <c r="A7" s="2">
        <v>291735.0</v>
      </c>
      <c r="B7" s="2" t="str">
        <f t="shared" si="1"/>
        <v>SJ</v>
      </c>
    </row>
    <row r="8">
      <c r="A8" s="2">
        <v>302053.0</v>
      </c>
      <c r="B8" s="2" t="str">
        <f t="shared" si="1"/>
        <v>GE</v>
      </c>
    </row>
    <row r="9">
      <c r="A9" s="2">
        <v>582767.0</v>
      </c>
      <c r="B9" s="2" t="str">
        <f t="shared" si="1"/>
        <v>FM</v>
      </c>
    </row>
    <row r="10">
      <c r="A10" s="2">
        <v>418047.0</v>
      </c>
      <c r="B10" s="2" t="str">
        <f t="shared" si="1"/>
        <v>DH</v>
      </c>
    </row>
    <row r="11">
      <c r="A11" s="2">
        <v>185207.0</v>
      </c>
      <c r="B11" s="2" t="str">
        <f t="shared" si="1"/>
        <v>HO</v>
      </c>
    </row>
    <row r="12">
      <c r="A12" s="2">
        <v>569196.0</v>
      </c>
      <c r="B12" s="2" t="str">
        <f t="shared" si="1"/>
        <v>VA</v>
      </c>
    </row>
    <row r="13">
      <c r="A13" s="2">
        <v>993063.0</v>
      </c>
      <c r="B13" s="2" t="str">
        <f t="shared" si="1"/>
        <v>TF</v>
      </c>
    </row>
    <row r="14">
      <c r="A14" s="2">
        <v>991358.0</v>
      </c>
      <c r="B14" s="2" t="str">
        <f t="shared" si="1"/>
        <v>FH</v>
      </c>
    </row>
    <row r="15">
      <c r="A15" s="2">
        <v>846915.0</v>
      </c>
      <c r="B15" s="2" t="str">
        <f t="shared" si="1"/>
        <v>MZ</v>
      </c>
    </row>
    <row r="16">
      <c r="A16" s="2">
        <v>918316.0</v>
      </c>
      <c r="B16" s="2" t="str">
        <f t="shared" si="1"/>
        <v>DH</v>
      </c>
    </row>
    <row r="17">
      <c r="A17" s="2">
        <v>194100.0</v>
      </c>
      <c r="B17" s="2" t="str">
        <f t="shared" si="1"/>
        <v>TX</v>
      </c>
    </row>
    <row r="18">
      <c r="A18" s="2">
        <v>537458.0</v>
      </c>
      <c r="B18" s="2" t="str">
        <f t="shared" si="1"/>
        <v>CK</v>
      </c>
    </row>
    <row r="19">
      <c r="A19" s="2">
        <v>172104.0</v>
      </c>
      <c r="B19" s="2" t="str">
        <f t="shared" si="1"/>
        <v>OZ</v>
      </c>
    </row>
    <row r="20">
      <c r="A20" s="2">
        <v>294373.0</v>
      </c>
      <c r="B20" s="2" t="str">
        <f t="shared" si="1"/>
        <v>PZ</v>
      </c>
    </row>
    <row r="21">
      <c r="A21" s="2">
        <v>182896.0</v>
      </c>
      <c r="B21" s="2" t="str">
        <f t="shared" si="1"/>
        <v>ZR</v>
      </c>
    </row>
    <row r="22">
      <c r="A22" s="2">
        <v>131676.0</v>
      </c>
      <c r="B22" s="2" t="str">
        <f t="shared" si="1"/>
        <v>UN</v>
      </c>
    </row>
    <row r="23">
      <c r="A23" s="2">
        <v>277145.0</v>
      </c>
      <c r="B23" s="2" t="str">
        <f t="shared" si="1"/>
        <v>CB</v>
      </c>
    </row>
    <row r="24">
      <c r="A24" s="2">
        <v>932906.0</v>
      </c>
      <c r="B24" s="2" t="str">
        <f t="shared" si="1"/>
        <v>XR</v>
      </c>
    </row>
    <row r="25">
      <c r="A25" s="2">
        <v>877515.0</v>
      </c>
      <c r="B25" s="2" t="str">
        <f t="shared" si="1"/>
        <v>TQ</v>
      </c>
    </row>
    <row r="26">
      <c r="A26" s="2">
        <v>637463.0</v>
      </c>
      <c r="B26" s="2" t="str">
        <f t="shared" si="1"/>
        <v>KK</v>
      </c>
    </row>
    <row r="27">
      <c r="A27" s="2">
        <v>231775.0</v>
      </c>
      <c r="B27" s="2" t="str">
        <f t="shared" si="1"/>
        <v>JP</v>
      </c>
    </row>
    <row r="28">
      <c r="A28" s="2">
        <v>737300.0</v>
      </c>
      <c r="B28" s="2" t="str">
        <f t="shared" si="1"/>
        <v>IM</v>
      </c>
    </row>
    <row r="29">
      <c r="A29" s="2">
        <v>943053.0</v>
      </c>
      <c r="B29" s="2" t="str">
        <f t="shared" si="1"/>
        <v>QJ</v>
      </c>
    </row>
    <row r="30">
      <c r="A30" s="2">
        <v>914318.0</v>
      </c>
      <c r="B30" s="2" t="str">
        <f t="shared" si="1"/>
        <v>FM</v>
      </c>
    </row>
    <row r="31">
      <c r="A31" s="2">
        <v>696796.0</v>
      </c>
      <c r="B31" s="2" t="str">
        <f t="shared" si="1"/>
        <v>HP</v>
      </c>
    </row>
    <row r="32">
      <c r="A32" s="2">
        <v>422388.0</v>
      </c>
      <c r="B32" s="2" t="str">
        <f t="shared" si="1"/>
        <v>GE</v>
      </c>
    </row>
    <row r="33">
      <c r="A33" s="2">
        <v>213631.0</v>
      </c>
      <c r="B33" s="2" t="str">
        <f t="shared" si="1"/>
        <v>TS</v>
      </c>
    </row>
    <row r="34">
      <c r="A34" s="2">
        <v>516553.0</v>
      </c>
      <c r="B34" s="2" t="str">
        <f t="shared" si="1"/>
        <v>JN</v>
      </c>
    </row>
    <row r="35">
      <c r="A35" s="2">
        <v>353061.0</v>
      </c>
      <c r="B35" s="2" t="str">
        <f t="shared" si="1"/>
        <v>QD</v>
      </c>
    </row>
    <row r="36">
      <c r="A36" s="2">
        <v>830650.0</v>
      </c>
      <c r="B36" s="2" t="str">
        <f t="shared" si="1"/>
        <v>HO</v>
      </c>
    </row>
    <row r="37">
      <c r="A37" s="2">
        <v>274805.0</v>
      </c>
      <c r="B37" s="2" t="str">
        <f t="shared" si="1"/>
        <v>AL</v>
      </c>
    </row>
    <row r="38">
      <c r="A38" s="2">
        <v>363421.0</v>
      </c>
      <c r="B38" s="2" t="str">
        <f t="shared" si="1"/>
        <v>TX</v>
      </c>
    </row>
    <row r="39">
      <c r="A39" s="2">
        <v>409223.0</v>
      </c>
      <c r="B39" s="2" t="str">
        <f t="shared" si="1"/>
        <v>SV</v>
      </c>
    </row>
    <row r="40">
      <c r="A40" s="2">
        <v>351569.0</v>
      </c>
      <c r="B40" s="2" t="str">
        <f t="shared" si="1"/>
        <v>WA</v>
      </c>
    </row>
    <row r="41">
      <c r="A41" s="2">
        <v>973971.0</v>
      </c>
      <c r="B41" s="2" t="str">
        <f t="shared" si="1"/>
        <v>KY</v>
      </c>
    </row>
    <row r="42">
      <c r="A42" s="2">
        <v>149504.0</v>
      </c>
      <c r="B42" s="2" t="str">
        <f t="shared" si="1"/>
        <v>QC</v>
      </c>
    </row>
    <row r="43">
      <c r="A43" s="2">
        <v>605510.0</v>
      </c>
      <c r="B43" s="2" t="str">
        <f t="shared" si="1"/>
        <v>VR</v>
      </c>
    </row>
    <row r="44">
      <c r="A44" s="2">
        <v>252163.0</v>
      </c>
      <c r="B44" s="2" t="str">
        <f t="shared" si="1"/>
        <v>UX</v>
      </c>
    </row>
    <row r="45">
      <c r="A45" s="2">
        <v>407735.0</v>
      </c>
      <c r="B45" s="2" t="str">
        <f t="shared" si="1"/>
        <v>BI</v>
      </c>
    </row>
    <row r="46">
      <c r="A46" s="2">
        <v>855764.0</v>
      </c>
      <c r="B46" s="2" t="str">
        <f t="shared" si="1"/>
        <v>VX</v>
      </c>
    </row>
    <row r="47">
      <c r="A47" s="2">
        <v>288702.0</v>
      </c>
      <c r="B47" s="2" t="str">
        <f t="shared" si="1"/>
        <v>HZ</v>
      </c>
    </row>
    <row r="48">
      <c r="A48" s="2">
        <v>457271.0</v>
      </c>
      <c r="B48" s="2" t="str">
        <f t="shared" si="1"/>
        <v>PM</v>
      </c>
    </row>
    <row r="49">
      <c r="A49" s="2">
        <v>894673.0</v>
      </c>
      <c r="B49" s="2" t="str">
        <f t="shared" si="1"/>
        <v>IS</v>
      </c>
    </row>
    <row r="50">
      <c r="A50" s="2">
        <v>416296.0</v>
      </c>
      <c r="B50" s="2" t="str">
        <f t="shared" si="1"/>
        <v>VA</v>
      </c>
    </row>
    <row r="51">
      <c r="A51" s="2">
        <v>619518.0</v>
      </c>
      <c r="B51" s="2" t="str">
        <f t="shared" si="1"/>
        <v>NT</v>
      </c>
    </row>
    <row r="52">
      <c r="A52" s="3">
        <v>356134.0</v>
      </c>
      <c r="B52" s="3" t="s">
        <v>2</v>
      </c>
    </row>
    <row r="53">
      <c r="A53" s="3">
        <v>376890.0</v>
      </c>
      <c r="B53" s="3" t="s">
        <v>3</v>
      </c>
    </row>
    <row r="54">
      <c r="A54" s="3">
        <v>344332.0</v>
      </c>
      <c r="B54" s="3" t="s">
        <v>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0</v>
      </c>
    </row>
    <row r="2">
      <c r="A2" s="4">
        <v>5930708.0</v>
      </c>
      <c r="B2" s="5">
        <v>44366.0</v>
      </c>
      <c r="C2" s="2">
        <v>637431.0</v>
      </c>
    </row>
    <row r="3">
      <c r="A3" s="4">
        <v>5291324.0</v>
      </c>
      <c r="B3" s="5">
        <v>44472.0</v>
      </c>
      <c r="C3" s="2">
        <v>353327.0</v>
      </c>
    </row>
    <row r="4">
      <c r="A4" s="4">
        <v>3393817.0</v>
      </c>
      <c r="B4" s="5">
        <v>44552.0</v>
      </c>
      <c r="C4" s="2">
        <v>216528.0</v>
      </c>
    </row>
    <row r="5">
      <c r="A5" s="4">
        <v>1933991.0</v>
      </c>
      <c r="B5" s="5">
        <v>44401.0</v>
      </c>
      <c r="C5" s="2">
        <v>717999.0</v>
      </c>
    </row>
    <row r="6">
      <c r="A6" s="4">
        <v>9816128.0</v>
      </c>
      <c r="B6" s="5">
        <v>44878.0</v>
      </c>
      <c r="C6" s="2">
        <v>517970.0</v>
      </c>
    </row>
    <row r="7">
      <c r="A7" s="4">
        <v>4657353.0</v>
      </c>
      <c r="B7" s="5">
        <v>44900.0</v>
      </c>
      <c r="C7" s="2">
        <v>291735.0</v>
      </c>
    </row>
    <row r="8">
      <c r="A8" s="4">
        <v>2473988.0</v>
      </c>
      <c r="B8" s="5">
        <v>44216.0</v>
      </c>
      <c r="C8" s="2">
        <v>302053.0</v>
      </c>
    </row>
    <row r="9">
      <c r="A9" s="4">
        <v>9790250.0</v>
      </c>
      <c r="B9" s="5">
        <v>44819.0</v>
      </c>
      <c r="C9" s="2">
        <v>582767.0</v>
      </c>
    </row>
    <row r="10">
      <c r="A10" s="4">
        <v>2607086.0</v>
      </c>
      <c r="B10" s="5">
        <v>44786.0</v>
      </c>
      <c r="C10" s="2">
        <v>418047.0</v>
      </c>
    </row>
    <row r="11">
      <c r="A11" s="4">
        <v>9427009.0</v>
      </c>
      <c r="B11" s="5">
        <v>44648.0</v>
      </c>
      <c r="C11" s="2">
        <v>185207.0</v>
      </c>
    </row>
    <row r="12">
      <c r="A12" s="4">
        <v>3361762.0</v>
      </c>
      <c r="B12" s="5">
        <v>44722.0</v>
      </c>
      <c r="C12" s="2">
        <v>569196.0</v>
      </c>
    </row>
    <row r="13">
      <c r="A13" s="4">
        <v>2053909.0</v>
      </c>
      <c r="B13" s="5">
        <v>44615.0</v>
      </c>
      <c r="C13" s="2">
        <v>993063.0</v>
      </c>
    </row>
    <row r="14">
      <c r="A14" s="4">
        <v>6941406.0</v>
      </c>
      <c r="B14" s="5">
        <v>44451.0</v>
      </c>
      <c r="C14" s="2">
        <v>991358.0</v>
      </c>
    </row>
    <row r="15">
      <c r="A15" s="4">
        <v>6781240.0</v>
      </c>
      <c r="B15" s="5">
        <v>44801.0</v>
      </c>
      <c r="C15" s="2">
        <v>846915.0</v>
      </c>
    </row>
    <row r="16">
      <c r="A16" s="4">
        <v>2129153.0</v>
      </c>
      <c r="B16" s="5">
        <v>44615.0</v>
      </c>
      <c r="C16" s="2">
        <v>918316.0</v>
      </c>
    </row>
    <row r="17">
      <c r="A17" s="4">
        <v>5965621.0</v>
      </c>
      <c r="B17" s="5">
        <v>44708.0</v>
      </c>
      <c r="C17" s="2">
        <v>194100.0</v>
      </c>
    </row>
    <row r="18">
      <c r="A18" s="4">
        <v>2836359.0</v>
      </c>
      <c r="B18" s="5">
        <v>44642.0</v>
      </c>
      <c r="C18" s="2">
        <v>537458.0</v>
      </c>
    </row>
    <row r="19">
      <c r="A19" s="4">
        <v>8246297.0</v>
      </c>
      <c r="B19" s="5">
        <v>44593.0</v>
      </c>
      <c r="C19" s="2">
        <v>172104.0</v>
      </c>
    </row>
    <row r="20">
      <c r="A20" s="4">
        <v>2352591.0</v>
      </c>
      <c r="B20" s="5">
        <v>44518.0</v>
      </c>
      <c r="C20" s="2">
        <v>294373.0</v>
      </c>
    </row>
    <row r="21">
      <c r="A21" s="4">
        <v>1359028.0</v>
      </c>
      <c r="B21" s="5">
        <v>44236.0</v>
      </c>
      <c r="C21" s="2">
        <v>182896.0</v>
      </c>
    </row>
    <row r="22">
      <c r="A22" s="4">
        <v>9869978.0</v>
      </c>
      <c r="B22" s="5">
        <v>44565.0</v>
      </c>
      <c r="C22" s="2">
        <v>131676.0</v>
      </c>
    </row>
    <row r="23">
      <c r="A23" s="4">
        <v>6818166.0</v>
      </c>
      <c r="B23" s="5">
        <v>44452.0</v>
      </c>
      <c r="C23" s="2">
        <v>277145.0</v>
      </c>
    </row>
    <row r="24">
      <c r="A24" s="4">
        <v>6170589.0</v>
      </c>
      <c r="B24" s="5">
        <v>44465.0</v>
      </c>
      <c r="C24" s="2">
        <v>932906.0</v>
      </c>
    </row>
    <row r="25">
      <c r="A25" s="4">
        <v>6285705.0</v>
      </c>
      <c r="B25" s="5">
        <v>44334.0</v>
      </c>
      <c r="C25" s="2">
        <v>877515.0</v>
      </c>
    </row>
    <row r="26">
      <c r="A26" s="4">
        <v>1097181.0</v>
      </c>
      <c r="B26" s="5">
        <v>44657.0</v>
      </c>
      <c r="C26" s="2">
        <v>637463.0</v>
      </c>
    </row>
    <row r="27">
      <c r="A27" s="4">
        <v>4368029.0</v>
      </c>
      <c r="B27" s="5">
        <v>44400.0</v>
      </c>
      <c r="C27" s="2">
        <v>231775.0</v>
      </c>
    </row>
    <row r="28">
      <c r="A28" s="4">
        <v>5275402.0</v>
      </c>
      <c r="B28" s="5">
        <v>44295.0</v>
      </c>
      <c r="C28" s="2">
        <v>737300.0</v>
      </c>
    </row>
    <row r="29">
      <c r="A29" s="4">
        <v>4717104.0</v>
      </c>
      <c r="B29" s="5">
        <v>44506.0</v>
      </c>
      <c r="C29" s="2">
        <v>943053.0</v>
      </c>
    </row>
    <row r="30">
      <c r="A30" s="4">
        <v>8172535.0</v>
      </c>
      <c r="B30" s="5">
        <v>44441.0</v>
      </c>
      <c r="C30" s="2">
        <v>914318.0</v>
      </c>
    </row>
    <row r="31">
      <c r="A31" s="4">
        <v>6761767.0</v>
      </c>
      <c r="B31" s="5">
        <v>44303.0</v>
      </c>
      <c r="C31" s="2">
        <v>696796.0</v>
      </c>
    </row>
    <row r="32">
      <c r="A32" s="4">
        <v>5820756.0</v>
      </c>
      <c r="B32" s="5">
        <v>44298.0</v>
      </c>
      <c r="C32" s="2">
        <v>422388.0</v>
      </c>
    </row>
    <row r="33">
      <c r="A33" s="4">
        <v>8583178.0</v>
      </c>
      <c r="B33" s="5">
        <v>44902.0</v>
      </c>
      <c r="C33" s="2">
        <v>213631.0</v>
      </c>
    </row>
    <row r="34">
      <c r="A34" s="4">
        <v>6711081.0</v>
      </c>
      <c r="B34" s="5">
        <v>44396.0</v>
      </c>
      <c r="C34" s="2">
        <v>516553.0</v>
      </c>
    </row>
    <row r="35">
      <c r="A35" s="4">
        <v>1381396.0</v>
      </c>
      <c r="B35" s="5">
        <v>44876.0</v>
      </c>
      <c r="C35" s="2">
        <v>353061.0</v>
      </c>
    </row>
    <row r="36">
      <c r="A36" s="4">
        <v>8490432.0</v>
      </c>
      <c r="B36" s="5">
        <v>44363.0</v>
      </c>
      <c r="C36" s="2">
        <v>830650.0</v>
      </c>
    </row>
    <row r="37">
      <c r="A37" s="4">
        <v>8490355.0</v>
      </c>
      <c r="B37" s="5">
        <v>44324.0</v>
      </c>
      <c r="C37" s="2">
        <v>274805.0</v>
      </c>
    </row>
    <row r="38">
      <c r="A38" s="4">
        <v>6134424.0</v>
      </c>
      <c r="B38" s="5">
        <v>44303.0</v>
      </c>
      <c r="C38" s="2">
        <v>363421.0</v>
      </c>
    </row>
    <row r="39">
      <c r="A39" s="4">
        <v>9897470.0</v>
      </c>
      <c r="B39" s="5">
        <v>44318.0</v>
      </c>
      <c r="C39" s="2">
        <v>409223.0</v>
      </c>
    </row>
    <row r="40">
      <c r="A40" s="4">
        <v>3391436.0</v>
      </c>
      <c r="B40" s="5">
        <v>44367.0</v>
      </c>
      <c r="C40" s="2">
        <v>351569.0</v>
      </c>
    </row>
    <row r="41">
      <c r="A41" s="4">
        <v>2950813.0</v>
      </c>
      <c r="B41" s="5">
        <v>44820.0</v>
      </c>
      <c r="C41" s="2">
        <v>973971.0</v>
      </c>
    </row>
    <row r="42">
      <c r="A42" s="4">
        <v>5121392.0</v>
      </c>
      <c r="B42" s="5">
        <v>44662.0</v>
      </c>
      <c r="C42" s="2">
        <v>149504.0</v>
      </c>
    </row>
    <row r="43">
      <c r="A43" s="4">
        <v>6208865.0</v>
      </c>
      <c r="B43" s="5">
        <v>44769.0</v>
      </c>
      <c r="C43" s="2">
        <v>605510.0</v>
      </c>
    </row>
    <row r="44">
      <c r="A44" s="4">
        <v>6010670.0</v>
      </c>
      <c r="B44" s="5">
        <v>44718.0</v>
      </c>
      <c r="C44" s="2">
        <v>252163.0</v>
      </c>
    </row>
    <row r="45">
      <c r="A45" s="4">
        <v>3850495.0</v>
      </c>
      <c r="B45" s="5">
        <v>44281.0</v>
      </c>
      <c r="C45" s="2">
        <v>407735.0</v>
      </c>
    </row>
    <row r="46">
      <c r="A46" s="4">
        <v>1310870.0</v>
      </c>
      <c r="B46" s="5">
        <v>44470.0</v>
      </c>
      <c r="C46" s="2">
        <v>855764.0</v>
      </c>
    </row>
    <row r="47">
      <c r="A47" s="4">
        <v>2439984.0</v>
      </c>
      <c r="B47" s="5">
        <v>44495.0</v>
      </c>
      <c r="C47" s="2">
        <v>288702.0</v>
      </c>
    </row>
    <row r="48">
      <c r="A48" s="4">
        <v>9205474.0</v>
      </c>
      <c r="B48" s="5">
        <v>44474.0</v>
      </c>
      <c r="C48" s="2">
        <v>457271.0</v>
      </c>
    </row>
    <row r="49">
      <c r="A49" s="4">
        <v>3185077.0</v>
      </c>
      <c r="B49" s="5">
        <v>44523.0</v>
      </c>
      <c r="C49" s="2">
        <v>894673.0</v>
      </c>
    </row>
    <row r="50">
      <c r="A50" s="4">
        <v>1089001.0</v>
      </c>
      <c r="B50" s="5">
        <v>44452.0</v>
      </c>
      <c r="C50" s="2">
        <v>416296.0</v>
      </c>
    </row>
    <row r="51">
      <c r="A51" s="4">
        <v>8765313.0</v>
      </c>
      <c r="B51" s="5">
        <v>44491.0</v>
      </c>
      <c r="C51" s="2">
        <v>619518.0</v>
      </c>
    </row>
    <row r="52">
      <c r="A52" s="3">
        <v>6651423.0</v>
      </c>
      <c r="B52" s="6">
        <v>44500.0</v>
      </c>
      <c r="C52" s="3">
        <v>356134.0</v>
      </c>
    </row>
    <row r="53">
      <c r="A53" s="3">
        <v>7659876.0</v>
      </c>
      <c r="B53" s="7">
        <v>44650.0</v>
      </c>
      <c r="C53" s="3">
        <v>376890.0</v>
      </c>
    </row>
    <row r="54">
      <c r="A54" s="3">
        <v>7789123.0</v>
      </c>
      <c r="B54" s="7">
        <v>44653.0</v>
      </c>
      <c r="C54" s="3">
        <v>344332.0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8.38"/>
  </cols>
  <sheetData>
    <row r="1">
      <c r="A1" s="8" t="s">
        <v>7</v>
      </c>
      <c r="B1" s="8" t="s">
        <v>8</v>
      </c>
      <c r="C1" s="8" t="s">
        <v>9</v>
      </c>
      <c r="D1" s="8" t="s">
        <v>5</v>
      </c>
    </row>
    <row r="2">
      <c r="A2" s="4">
        <v>4.1752154E7</v>
      </c>
      <c r="B2" s="4">
        <v>70.0</v>
      </c>
      <c r="C2" s="4">
        <v>1.0</v>
      </c>
      <c r="D2" s="4">
        <v>5930708.0</v>
      </c>
    </row>
    <row r="3">
      <c r="A3" s="4">
        <v>7.8080835E7</v>
      </c>
      <c r="B3" s="4">
        <v>74.0</v>
      </c>
      <c r="C3" s="4">
        <v>1.0</v>
      </c>
      <c r="D3" s="4">
        <v>5291324.0</v>
      </c>
    </row>
    <row r="4">
      <c r="A4" s="4">
        <v>8.9044431E7</v>
      </c>
      <c r="B4" s="4">
        <v>81.0</v>
      </c>
      <c r="C4" s="4">
        <v>2.0</v>
      </c>
      <c r="D4" s="4">
        <v>3393817.0</v>
      </c>
    </row>
    <row r="5">
      <c r="A5" s="4">
        <v>9.3933502E7</v>
      </c>
      <c r="B5" s="4">
        <v>69.0</v>
      </c>
      <c r="C5" s="4">
        <v>1.0</v>
      </c>
      <c r="D5" s="4">
        <v>1933991.0</v>
      </c>
    </row>
    <row r="6">
      <c r="A6" s="4">
        <v>8.6846486E7</v>
      </c>
      <c r="B6" s="4">
        <v>39.0</v>
      </c>
      <c r="C6" s="4">
        <v>3.0</v>
      </c>
      <c r="D6" s="4">
        <v>9816128.0</v>
      </c>
    </row>
    <row r="7">
      <c r="A7" s="4">
        <v>7.0702693E7</v>
      </c>
      <c r="B7" s="4">
        <v>80.0</v>
      </c>
      <c r="C7" s="4">
        <v>3.0</v>
      </c>
      <c r="D7" s="4">
        <v>4657353.0</v>
      </c>
    </row>
    <row r="8">
      <c r="A8" s="4">
        <v>5.0595275E7</v>
      </c>
      <c r="B8" s="4">
        <v>45.0</v>
      </c>
      <c r="C8" s="4">
        <v>1.0</v>
      </c>
      <c r="D8" s="4">
        <v>2473988.0</v>
      </c>
    </row>
    <row r="9">
      <c r="A9" s="4">
        <v>7.8658729E7</v>
      </c>
      <c r="B9" s="4">
        <v>58.0</v>
      </c>
      <c r="C9" s="4">
        <v>3.0</v>
      </c>
      <c r="D9" s="4">
        <v>9790250.0</v>
      </c>
    </row>
    <row r="10">
      <c r="A10" s="4">
        <v>2.5191561E7</v>
      </c>
      <c r="B10" s="4">
        <v>87.0</v>
      </c>
      <c r="C10" s="4">
        <v>1.0</v>
      </c>
      <c r="D10" s="4">
        <v>2607086.0</v>
      </c>
    </row>
    <row r="11">
      <c r="A11" s="4">
        <v>9.2914571E7</v>
      </c>
      <c r="B11" s="4">
        <v>101.0</v>
      </c>
      <c r="C11" s="4">
        <v>3.0</v>
      </c>
      <c r="D11" s="4">
        <v>9427009.0</v>
      </c>
    </row>
    <row r="12">
      <c r="A12" s="4">
        <v>8.4831645E7</v>
      </c>
      <c r="B12" s="4">
        <v>52.0</v>
      </c>
      <c r="C12" s="4">
        <v>1.0</v>
      </c>
      <c r="D12" s="4">
        <v>3361762.0</v>
      </c>
    </row>
    <row r="13">
      <c r="A13" s="4">
        <v>1.240031E7</v>
      </c>
      <c r="B13" s="4">
        <v>93.0</v>
      </c>
      <c r="C13" s="4">
        <v>1.0</v>
      </c>
      <c r="D13" s="4">
        <v>2053909.0</v>
      </c>
    </row>
    <row r="14">
      <c r="A14" s="4">
        <v>7.7231258E7</v>
      </c>
      <c r="B14" s="4">
        <v>33.0</v>
      </c>
      <c r="C14" s="4">
        <v>3.0</v>
      </c>
      <c r="D14" s="4">
        <v>6941406.0</v>
      </c>
    </row>
    <row r="15">
      <c r="A15" s="4">
        <v>1.7369697E7</v>
      </c>
      <c r="B15" s="4">
        <v>52.0</v>
      </c>
      <c r="C15" s="4">
        <v>3.0</v>
      </c>
      <c r="D15" s="4">
        <v>6781240.0</v>
      </c>
    </row>
    <row r="16">
      <c r="A16" s="4">
        <v>5.6731452E7</v>
      </c>
      <c r="B16" s="4">
        <v>49.0</v>
      </c>
      <c r="C16" s="4">
        <v>1.0</v>
      </c>
      <c r="D16" s="4">
        <v>2129153.0</v>
      </c>
    </row>
    <row r="17">
      <c r="A17" s="4">
        <v>8.5872592E7</v>
      </c>
      <c r="B17" s="4">
        <v>81.0</v>
      </c>
      <c r="C17" s="4">
        <v>3.0</v>
      </c>
      <c r="D17" s="4">
        <v>5965621.0</v>
      </c>
    </row>
    <row r="18">
      <c r="A18" s="4">
        <v>7.7491147E7</v>
      </c>
      <c r="B18" s="4">
        <v>42.0</v>
      </c>
      <c r="C18" s="4">
        <v>2.0</v>
      </c>
      <c r="D18" s="4">
        <v>2836359.0</v>
      </c>
    </row>
    <row r="19">
      <c r="A19" s="4">
        <v>5.4624767E7</v>
      </c>
      <c r="B19" s="4">
        <v>87.0</v>
      </c>
      <c r="C19" s="4">
        <v>2.0</v>
      </c>
      <c r="D19" s="4">
        <v>8246297.0</v>
      </c>
    </row>
    <row r="20">
      <c r="A20" s="4">
        <v>3.6566332E7</v>
      </c>
      <c r="B20" s="4">
        <v>91.0</v>
      </c>
      <c r="C20" s="4">
        <v>1.0</v>
      </c>
      <c r="D20" s="4">
        <v>2352591.0</v>
      </c>
    </row>
    <row r="21">
      <c r="A21" s="4">
        <v>6.6218381E7</v>
      </c>
      <c r="B21" s="4">
        <v>28.0</v>
      </c>
      <c r="C21" s="4">
        <v>2.0</v>
      </c>
      <c r="D21" s="4">
        <v>1359028.0</v>
      </c>
    </row>
    <row r="22">
      <c r="A22" s="4">
        <v>4.0833334E7</v>
      </c>
      <c r="B22" s="4">
        <v>95.0</v>
      </c>
      <c r="C22" s="4">
        <v>3.0</v>
      </c>
      <c r="D22" s="4">
        <v>9869978.0</v>
      </c>
    </row>
    <row r="23">
      <c r="A23" s="4">
        <v>4.4214894E7</v>
      </c>
      <c r="B23" s="4">
        <v>118.0</v>
      </c>
      <c r="C23" s="4">
        <v>3.0</v>
      </c>
      <c r="D23" s="4">
        <v>6818166.0</v>
      </c>
    </row>
    <row r="24">
      <c r="A24" s="4">
        <v>4.1521042E7</v>
      </c>
      <c r="B24" s="4">
        <v>48.0</v>
      </c>
      <c r="C24" s="4">
        <v>1.0</v>
      </c>
      <c r="D24" s="4">
        <v>6170589.0</v>
      </c>
    </row>
    <row r="25">
      <c r="A25" s="4">
        <v>8.4575636E7</v>
      </c>
      <c r="B25" s="4">
        <v>38.0</v>
      </c>
      <c r="C25" s="4">
        <v>2.0</v>
      </c>
      <c r="D25" s="4">
        <v>6285705.0</v>
      </c>
    </row>
    <row r="26">
      <c r="A26" s="4">
        <v>6.4568656E7</v>
      </c>
      <c r="B26" s="4">
        <v>35.0</v>
      </c>
      <c r="C26" s="4">
        <v>2.0</v>
      </c>
      <c r="D26" s="4">
        <v>1097181.0</v>
      </c>
    </row>
    <row r="27">
      <c r="A27" s="4">
        <v>9.5498618E7</v>
      </c>
      <c r="B27" s="4">
        <v>96.0</v>
      </c>
      <c r="C27" s="4">
        <v>1.0</v>
      </c>
      <c r="D27" s="4">
        <v>4368029.0</v>
      </c>
    </row>
    <row r="28">
      <c r="A28" s="4">
        <v>6.4521651E7</v>
      </c>
      <c r="B28" s="4">
        <v>43.0</v>
      </c>
      <c r="C28" s="4">
        <v>3.0</v>
      </c>
      <c r="D28" s="4">
        <v>5275402.0</v>
      </c>
    </row>
    <row r="29">
      <c r="A29" s="4">
        <v>3.508429E7</v>
      </c>
      <c r="B29" s="4">
        <v>92.0</v>
      </c>
      <c r="C29" s="4">
        <v>3.0</v>
      </c>
      <c r="D29" s="4">
        <v>4717104.0</v>
      </c>
    </row>
    <row r="30">
      <c r="A30" s="4">
        <v>6.8526102E7</v>
      </c>
      <c r="B30" s="4">
        <v>112.0</v>
      </c>
      <c r="C30" s="4">
        <v>3.0</v>
      </c>
      <c r="D30" s="4">
        <v>8172535.0</v>
      </c>
    </row>
    <row r="31">
      <c r="A31" s="4">
        <v>3.4545251E7</v>
      </c>
      <c r="B31" s="4">
        <v>37.0</v>
      </c>
      <c r="C31" s="4">
        <v>2.0</v>
      </c>
      <c r="D31" s="4">
        <v>6761767.0</v>
      </c>
    </row>
    <row r="32">
      <c r="A32" s="4">
        <v>6.5892952E7</v>
      </c>
      <c r="B32" s="4">
        <v>76.0</v>
      </c>
      <c r="C32" s="4">
        <v>1.0</v>
      </c>
      <c r="D32" s="4">
        <v>5820756.0</v>
      </c>
    </row>
    <row r="33">
      <c r="A33" s="4">
        <v>8.3758817E7</v>
      </c>
      <c r="B33" s="4">
        <v>67.0</v>
      </c>
      <c r="C33" s="4">
        <v>2.0</v>
      </c>
      <c r="D33" s="4">
        <v>8583178.0</v>
      </c>
    </row>
    <row r="34">
      <c r="A34" s="4">
        <v>1.7298526E7</v>
      </c>
      <c r="B34" s="4">
        <v>60.0</v>
      </c>
      <c r="C34" s="4">
        <v>2.0</v>
      </c>
      <c r="D34" s="4">
        <v>6711081.0</v>
      </c>
    </row>
    <row r="35">
      <c r="A35" s="4">
        <v>9.0846614E7</v>
      </c>
      <c r="B35" s="4">
        <v>99.0</v>
      </c>
      <c r="C35" s="4">
        <v>3.0</v>
      </c>
      <c r="D35" s="4">
        <v>1381396.0</v>
      </c>
    </row>
    <row r="36">
      <c r="A36" s="4">
        <v>1.6990901E7</v>
      </c>
      <c r="B36" s="4">
        <v>120.0</v>
      </c>
      <c r="C36" s="4">
        <v>2.0</v>
      </c>
      <c r="D36" s="4">
        <v>8490432.0</v>
      </c>
    </row>
    <row r="37">
      <c r="A37" s="4">
        <v>1.0818133E7</v>
      </c>
      <c r="B37" s="4">
        <v>33.0</v>
      </c>
      <c r="C37" s="4">
        <v>2.0</v>
      </c>
      <c r="D37" s="4">
        <v>8490355.0</v>
      </c>
    </row>
    <row r="38">
      <c r="A38" s="4">
        <v>8.6315357E7</v>
      </c>
      <c r="B38" s="4">
        <v>28.0</v>
      </c>
      <c r="C38" s="4">
        <v>2.0</v>
      </c>
      <c r="D38" s="4">
        <v>6134424.0</v>
      </c>
    </row>
    <row r="39">
      <c r="A39" s="4">
        <v>2.2957446E7</v>
      </c>
      <c r="B39" s="4">
        <v>108.0</v>
      </c>
      <c r="C39" s="4">
        <v>3.0</v>
      </c>
      <c r="D39" s="4">
        <v>9897470.0</v>
      </c>
    </row>
    <row r="40">
      <c r="A40" s="4">
        <v>2.8793798E7</v>
      </c>
      <c r="B40" s="4">
        <v>92.0</v>
      </c>
      <c r="C40" s="4">
        <v>2.0</v>
      </c>
      <c r="D40" s="4">
        <v>3391436.0</v>
      </c>
    </row>
    <row r="41">
      <c r="A41" s="4">
        <v>5.8042976E7</v>
      </c>
      <c r="B41" s="4">
        <v>57.0</v>
      </c>
      <c r="C41" s="4">
        <v>1.0</v>
      </c>
      <c r="D41" s="4">
        <v>2950813.0</v>
      </c>
    </row>
    <row r="42">
      <c r="A42" s="4">
        <v>6.6137137E7</v>
      </c>
      <c r="B42" s="4">
        <v>110.0</v>
      </c>
      <c r="C42" s="4">
        <v>3.0</v>
      </c>
      <c r="D42" s="4">
        <v>5121392.0</v>
      </c>
    </row>
    <row r="43">
      <c r="A43" s="4">
        <v>3.5303594E7</v>
      </c>
      <c r="B43" s="4">
        <v>47.0</v>
      </c>
      <c r="C43" s="4">
        <v>3.0</v>
      </c>
      <c r="D43" s="4">
        <v>6208865.0</v>
      </c>
    </row>
    <row r="44">
      <c r="A44" s="4">
        <v>7.2586278E7</v>
      </c>
      <c r="B44" s="4">
        <v>117.0</v>
      </c>
      <c r="C44" s="4">
        <v>3.0</v>
      </c>
      <c r="D44" s="4">
        <v>6010670.0</v>
      </c>
    </row>
    <row r="45">
      <c r="A45" s="4">
        <v>1.3521913E7</v>
      </c>
      <c r="B45" s="4">
        <v>104.0</v>
      </c>
      <c r="C45" s="4">
        <v>3.0</v>
      </c>
      <c r="D45" s="4">
        <v>3850495.0</v>
      </c>
    </row>
    <row r="46">
      <c r="A46" s="4">
        <v>3.7423352E7</v>
      </c>
      <c r="B46" s="4">
        <v>93.0</v>
      </c>
      <c r="C46" s="4">
        <v>3.0</v>
      </c>
      <c r="D46" s="4">
        <v>1310870.0</v>
      </c>
    </row>
    <row r="47">
      <c r="A47" s="4">
        <v>7.9344299E7</v>
      </c>
      <c r="B47" s="4">
        <v>82.0</v>
      </c>
      <c r="C47" s="4">
        <v>1.0</v>
      </c>
      <c r="D47" s="4">
        <v>2439984.0</v>
      </c>
    </row>
    <row r="48">
      <c r="A48" s="4">
        <v>5.4333145E7</v>
      </c>
      <c r="B48" s="4">
        <v>44.0</v>
      </c>
      <c r="C48" s="4">
        <v>2.0</v>
      </c>
      <c r="D48" s="4">
        <v>9205474.0</v>
      </c>
    </row>
    <row r="49">
      <c r="A49" s="4">
        <v>1.9750615E7</v>
      </c>
      <c r="B49" s="4">
        <v>31.0</v>
      </c>
      <c r="C49" s="4">
        <v>3.0</v>
      </c>
      <c r="D49" s="4">
        <v>3185077.0</v>
      </c>
    </row>
    <row r="50">
      <c r="A50" s="4">
        <v>9.2394194E7</v>
      </c>
      <c r="B50" s="4">
        <v>90.0</v>
      </c>
      <c r="C50" s="4">
        <v>3.0</v>
      </c>
      <c r="D50" s="4">
        <v>1089001.0</v>
      </c>
    </row>
    <row r="51">
      <c r="A51" s="4">
        <v>2.1034697E7</v>
      </c>
      <c r="B51" s="4">
        <v>56.0</v>
      </c>
      <c r="C51" s="4">
        <v>1.0</v>
      </c>
      <c r="D51" s="4">
        <v>8765313.0</v>
      </c>
    </row>
    <row r="52">
      <c r="A52" s="4">
        <v>7.9115369E7</v>
      </c>
      <c r="B52" s="4">
        <v>79.0</v>
      </c>
      <c r="C52" s="4">
        <v>3.0</v>
      </c>
      <c r="D52" s="4">
        <v>5930708.0</v>
      </c>
    </row>
    <row r="53">
      <c r="A53" s="4">
        <v>2.7465096E7</v>
      </c>
      <c r="B53" s="4">
        <v>74.0</v>
      </c>
      <c r="C53" s="4">
        <v>2.0</v>
      </c>
      <c r="D53" s="4">
        <v>5291324.0</v>
      </c>
    </row>
    <row r="54">
      <c r="A54" s="4">
        <v>2.7288499E7</v>
      </c>
      <c r="B54" s="4">
        <v>40.0</v>
      </c>
      <c r="C54" s="4">
        <v>2.0</v>
      </c>
      <c r="D54" s="4">
        <v>3393817.0</v>
      </c>
    </row>
    <row r="55">
      <c r="A55" s="4">
        <v>9.3106897E7</v>
      </c>
      <c r="B55" s="4">
        <v>23.0</v>
      </c>
      <c r="C55" s="4">
        <v>1.0</v>
      </c>
      <c r="D55" s="4">
        <v>1933991.0</v>
      </c>
    </row>
    <row r="56">
      <c r="A56" s="4">
        <v>6.7088547E7</v>
      </c>
      <c r="B56" s="4">
        <v>109.0</v>
      </c>
      <c r="C56" s="4">
        <v>2.0</v>
      </c>
      <c r="D56" s="4">
        <v>9816128.0</v>
      </c>
    </row>
    <row r="57">
      <c r="A57" s="4">
        <v>4.6818111E7</v>
      </c>
      <c r="B57" s="4">
        <v>20.0</v>
      </c>
      <c r="C57" s="4">
        <v>1.0</v>
      </c>
      <c r="D57" s="4">
        <v>4657353.0</v>
      </c>
    </row>
    <row r="58">
      <c r="A58" s="4">
        <v>4.4314266E7</v>
      </c>
      <c r="B58" s="4">
        <v>83.0</v>
      </c>
      <c r="C58" s="4">
        <v>1.0</v>
      </c>
      <c r="D58" s="4">
        <v>2473988.0</v>
      </c>
    </row>
    <row r="59">
      <c r="A59" s="4">
        <v>1.5072793E7</v>
      </c>
      <c r="B59" s="4">
        <v>43.0</v>
      </c>
      <c r="C59" s="4">
        <v>1.0</v>
      </c>
      <c r="D59" s="4">
        <v>9790250.0</v>
      </c>
    </row>
    <row r="60">
      <c r="A60" s="4">
        <v>6.7824484E7</v>
      </c>
      <c r="B60" s="4">
        <v>56.0</v>
      </c>
      <c r="C60" s="4">
        <v>2.0</v>
      </c>
      <c r="D60" s="4">
        <v>2607086.0</v>
      </c>
    </row>
    <row r="61">
      <c r="A61" s="4">
        <v>2.9548892E7</v>
      </c>
      <c r="B61" s="4">
        <v>60.0</v>
      </c>
      <c r="C61" s="4">
        <v>3.0</v>
      </c>
      <c r="D61" s="4">
        <v>9427009.0</v>
      </c>
    </row>
    <row r="62">
      <c r="A62" s="4">
        <v>4.089479E7</v>
      </c>
      <c r="B62" s="4">
        <v>46.0</v>
      </c>
      <c r="C62" s="4">
        <v>2.0</v>
      </c>
      <c r="D62" s="4">
        <v>3361762.0</v>
      </c>
    </row>
    <row r="63">
      <c r="A63" s="4">
        <v>2.604897E7</v>
      </c>
      <c r="B63" s="4">
        <v>93.0</v>
      </c>
      <c r="C63" s="4">
        <v>2.0</v>
      </c>
      <c r="D63" s="4">
        <v>2053909.0</v>
      </c>
    </row>
    <row r="64">
      <c r="A64" s="4">
        <v>1.560942E7</v>
      </c>
      <c r="B64" s="4">
        <v>52.0</v>
      </c>
      <c r="C64" s="4">
        <v>1.0</v>
      </c>
      <c r="D64" s="4">
        <v>6941406.0</v>
      </c>
    </row>
    <row r="65">
      <c r="A65" s="4">
        <v>3.0649974E7</v>
      </c>
      <c r="B65" s="4">
        <v>74.0</v>
      </c>
      <c r="C65" s="4">
        <v>1.0</v>
      </c>
      <c r="D65" s="4">
        <v>6781240.0</v>
      </c>
    </row>
    <row r="66">
      <c r="A66" s="4">
        <v>8.8632594E7</v>
      </c>
      <c r="B66" s="4">
        <v>60.0</v>
      </c>
      <c r="C66" s="4">
        <v>3.0</v>
      </c>
      <c r="D66" s="4">
        <v>2129153.0</v>
      </c>
    </row>
    <row r="67">
      <c r="A67" s="4">
        <v>1.5513939E7</v>
      </c>
      <c r="B67" s="4">
        <v>30.0</v>
      </c>
      <c r="C67" s="4">
        <v>1.0</v>
      </c>
      <c r="D67" s="4">
        <v>5965621.0</v>
      </c>
    </row>
    <row r="68">
      <c r="A68" s="4">
        <v>8.4297865E7</v>
      </c>
      <c r="B68" s="4">
        <v>89.0</v>
      </c>
      <c r="C68" s="4">
        <v>1.0</v>
      </c>
      <c r="D68" s="4">
        <v>2836359.0</v>
      </c>
    </row>
    <row r="69">
      <c r="A69" s="4">
        <v>5.5700843E7</v>
      </c>
      <c r="B69" s="4">
        <v>104.0</v>
      </c>
      <c r="C69" s="4">
        <v>3.0</v>
      </c>
      <c r="D69" s="4">
        <v>8246297.0</v>
      </c>
    </row>
    <row r="70">
      <c r="A70" s="4">
        <v>3.4344983E7</v>
      </c>
      <c r="B70" s="4">
        <v>59.0</v>
      </c>
      <c r="C70" s="4">
        <v>2.0</v>
      </c>
      <c r="D70" s="4">
        <v>2352591.0</v>
      </c>
    </row>
    <row r="71">
      <c r="A71" s="4">
        <v>5.4930067E7</v>
      </c>
      <c r="B71" s="4">
        <v>118.0</v>
      </c>
      <c r="C71" s="4">
        <v>3.0</v>
      </c>
      <c r="D71" s="4">
        <v>1359028.0</v>
      </c>
    </row>
    <row r="72">
      <c r="A72" s="4">
        <v>6.6658855E7</v>
      </c>
      <c r="B72" s="4">
        <v>99.0</v>
      </c>
      <c r="C72" s="4">
        <v>3.0</v>
      </c>
      <c r="D72" s="4">
        <v>9869978.0</v>
      </c>
    </row>
    <row r="73">
      <c r="A73" s="4">
        <v>1.0516654E7</v>
      </c>
      <c r="B73" s="4">
        <v>87.0</v>
      </c>
      <c r="C73" s="4">
        <v>1.0</v>
      </c>
      <c r="D73" s="4">
        <v>6818166.0</v>
      </c>
    </row>
    <row r="74">
      <c r="A74" s="4">
        <v>6.076918E7</v>
      </c>
      <c r="B74" s="4">
        <v>120.0</v>
      </c>
      <c r="C74" s="4">
        <v>3.0</v>
      </c>
      <c r="D74" s="4">
        <v>6170589.0</v>
      </c>
    </row>
    <row r="75">
      <c r="A75" s="4">
        <v>1.8797443E7</v>
      </c>
      <c r="B75" s="4">
        <v>77.0</v>
      </c>
      <c r="C75" s="4">
        <v>2.0</v>
      </c>
      <c r="D75" s="4">
        <v>6285705.0</v>
      </c>
    </row>
    <row r="76">
      <c r="A76" s="4">
        <v>1.9801848E7</v>
      </c>
      <c r="B76" s="4">
        <v>44.0</v>
      </c>
      <c r="C76" s="4">
        <v>3.0</v>
      </c>
      <c r="D76" s="4">
        <v>1097181.0</v>
      </c>
    </row>
    <row r="77">
      <c r="A77" s="4">
        <v>1.3051281E7</v>
      </c>
      <c r="B77" s="4">
        <v>103.0</v>
      </c>
      <c r="C77" s="4">
        <v>1.0</v>
      </c>
      <c r="D77" s="4">
        <v>4368029.0</v>
      </c>
    </row>
    <row r="78">
      <c r="A78" s="4">
        <v>5.5091634E7</v>
      </c>
      <c r="B78" s="4">
        <v>111.0</v>
      </c>
      <c r="C78" s="4">
        <v>2.0</v>
      </c>
      <c r="D78" s="4">
        <v>5275402.0</v>
      </c>
    </row>
    <row r="79">
      <c r="A79" s="4">
        <v>4.7154134E7</v>
      </c>
      <c r="B79" s="4">
        <v>114.0</v>
      </c>
      <c r="C79" s="4">
        <v>2.0</v>
      </c>
      <c r="D79" s="4">
        <v>4717104.0</v>
      </c>
    </row>
    <row r="80">
      <c r="A80" s="4">
        <v>2.5232386E7</v>
      </c>
      <c r="B80" s="4">
        <v>71.0</v>
      </c>
      <c r="C80" s="4">
        <v>2.0</v>
      </c>
      <c r="D80" s="4">
        <v>8172535.0</v>
      </c>
    </row>
    <row r="81">
      <c r="A81" s="4">
        <v>9.3597517E7</v>
      </c>
      <c r="B81" s="4">
        <v>27.0</v>
      </c>
      <c r="C81" s="4">
        <v>1.0</v>
      </c>
      <c r="D81" s="4">
        <v>6761767.0</v>
      </c>
    </row>
    <row r="82">
      <c r="A82" s="4">
        <v>3.9325268E7</v>
      </c>
      <c r="B82" s="4">
        <v>102.0</v>
      </c>
      <c r="C82" s="4">
        <v>2.0</v>
      </c>
      <c r="D82" s="4">
        <v>5820756.0</v>
      </c>
    </row>
    <row r="83">
      <c r="A83" s="4">
        <v>6.2797061E7</v>
      </c>
      <c r="B83" s="4">
        <v>104.0</v>
      </c>
      <c r="C83" s="4">
        <v>2.0</v>
      </c>
      <c r="D83" s="4">
        <v>8583178.0</v>
      </c>
    </row>
    <row r="84">
      <c r="A84" s="4">
        <v>5.936301E7</v>
      </c>
      <c r="B84" s="4">
        <v>60.0</v>
      </c>
      <c r="C84" s="4">
        <v>3.0</v>
      </c>
      <c r="D84" s="4">
        <v>6711081.0</v>
      </c>
    </row>
    <row r="85">
      <c r="A85" s="4">
        <v>4.8243181E7</v>
      </c>
      <c r="B85" s="4">
        <v>95.0</v>
      </c>
      <c r="C85" s="4">
        <v>3.0</v>
      </c>
      <c r="D85" s="4">
        <v>1381396.0</v>
      </c>
    </row>
    <row r="86">
      <c r="A86" s="4">
        <v>6.7740024E7</v>
      </c>
      <c r="B86" s="4">
        <v>67.0</v>
      </c>
      <c r="C86" s="4">
        <v>1.0</v>
      </c>
      <c r="D86" s="4">
        <v>8490432.0</v>
      </c>
    </row>
    <row r="87">
      <c r="A87" s="4">
        <v>8.5569998E7</v>
      </c>
      <c r="B87" s="4">
        <v>45.0</v>
      </c>
      <c r="C87" s="4">
        <v>2.0</v>
      </c>
      <c r="D87" s="4">
        <v>8490355.0</v>
      </c>
    </row>
    <row r="88">
      <c r="A88" s="4">
        <v>4.7892815E7</v>
      </c>
      <c r="B88" s="4">
        <v>56.0</v>
      </c>
      <c r="C88" s="4">
        <v>1.0</v>
      </c>
      <c r="D88" s="4">
        <v>6134424.0</v>
      </c>
    </row>
    <row r="89">
      <c r="A89" s="4">
        <v>6.2270497E7</v>
      </c>
      <c r="B89" s="4">
        <v>20.0</v>
      </c>
      <c r="C89" s="4">
        <v>2.0</v>
      </c>
      <c r="D89" s="4">
        <v>9897470.0</v>
      </c>
    </row>
    <row r="90">
      <c r="A90" s="4">
        <v>2.304624E7</v>
      </c>
      <c r="B90" s="4">
        <v>109.0</v>
      </c>
      <c r="C90" s="4">
        <v>1.0</v>
      </c>
      <c r="D90" s="4">
        <v>3391436.0</v>
      </c>
    </row>
    <row r="91">
      <c r="A91" s="4">
        <v>9.2949938E7</v>
      </c>
      <c r="B91" s="4">
        <v>53.0</v>
      </c>
      <c r="C91" s="4">
        <v>2.0</v>
      </c>
      <c r="D91" s="4">
        <v>2950813.0</v>
      </c>
    </row>
    <row r="92">
      <c r="A92" s="4">
        <v>4.5369429E7</v>
      </c>
      <c r="B92" s="4">
        <v>85.0</v>
      </c>
      <c r="C92" s="4">
        <v>3.0</v>
      </c>
      <c r="D92" s="4">
        <v>5121392.0</v>
      </c>
    </row>
    <row r="93">
      <c r="A93" s="4">
        <v>5.4727028E7</v>
      </c>
      <c r="B93" s="4">
        <v>36.0</v>
      </c>
      <c r="C93" s="4">
        <v>3.0</v>
      </c>
      <c r="D93" s="4">
        <v>6208865.0</v>
      </c>
    </row>
    <row r="94">
      <c r="A94" s="4">
        <v>8.4837043E7</v>
      </c>
      <c r="B94" s="4">
        <v>44.0</v>
      </c>
      <c r="C94" s="4">
        <v>1.0</v>
      </c>
      <c r="D94" s="4">
        <v>6010670.0</v>
      </c>
    </row>
    <row r="95">
      <c r="A95" s="4">
        <v>9.0860384E7</v>
      </c>
      <c r="B95" s="4">
        <v>50.0</v>
      </c>
      <c r="C95" s="4">
        <v>2.0</v>
      </c>
      <c r="D95" s="4">
        <v>3850495.0</v>
      </c>
    </row>
    <row r="96">
      <c r="A96" s="4">
        <v>5.9460123E7</v>
      </c>
      <c r="B96" s="4">
        <v>22.0</v>
      </c>
      <c r="C96" s="4">
        <v>2.0</v>
      </c>
      <c r="D96" s="4">
        <v>1310870.0</v>
      </c>
    </row>
    <row r="97">
      <c r="A97" s="4">
        <v>5.2750048E7</v>
      </c>
      <c r="B97" s="4">
        <v>85.0</v>
      </c>
      <c r="C97" s="4">
        <v>2.0</v>
      </c>
      <c r="D97" s="4">
        <v>2439984.0</v>
      </c>
    </row>
    <row r="98">
      <c r="A98" s="4">
        <v>4.0915007E7</v>
      </c>
      <c r="B98" s="4">
        <v>28.0</v>
      </c>
      <c r="C98" s="4">
        <v>3.0</v>
      </c>
      <c r="D98" s="4">
        <v>9205474.0</v>
      </c>
    </row>
    <row r="99">
      <c r="A99" s="4">
        <v>5.1149819E7</v>
      </c>
      <c r="B99" s="4">
        <v>59.0</v>
      </c>
      <c r="C99" s="4">
        <v>2.0</v>
      </c>
      <c r="D99" s="4">
        <v>3185077.0</v>
      </c>
    </row>
    <row r="100">
      <c r="A100" s="4">
        <v>3.798404E7</v>
      </c>
      <c r="B100" s="4">
        <v>111.0</v>
      </c>
      <c r="C100" s="4">
        <v>1.0</v>
      </c>
      <c r="D100" s="4">
        <v>1089001.0</v>
      </c>
    </row>
    <row r="101">
      <c r="A101" s="4">
        <v>7.4392213E7</v>
      </c>
      <c r="B101" s="4">
        <v>38.0</v>
      </c>
      <c r="C101" s="4">
        <v>3.0</v>
      </c>
      <c r="D101" s="4">
        <v>8765313.0</v>
      </c>
    </row>
    <row r="102">
      <c r="A102" s="4">
        <v>5.4560105E7</v>
      </c>
      <c r="B102" s="4">
        <v>33.0</v>
      </c>
      <c r="C102" s="4">
        <v>3.0</v>
      </c>
      <c r="D102" s="4">
        <v>5930708.0</v>
      </c>
    </row>
    <row r="103">
      <c r="A103" s="4">
        <v>3.2495968E7</v>
      </c>
      <c r="B103" s="4">
        <v>64.0</v>
      </c>
      <c r="C103" s="4">
        <v>1.0</v>
      </c>
      <c r="D103" s="4">
        <v>5291324.0</v>
      </c>
    </row>
    <row r="104">
      <c r="A104" s="4">
        <v>7.5595574E7</v>
      </c>
      <c r="B104" s="4">
        <v>66.0</v>
      </c>
      <c r="C104" s="4">
        <v>1.0</v>
      </c>
      <c r="D104" s="4">
        <v>3393817.0</v>
      </c>
    </row>
    <row r="105">
      <c r="A105" s="4">
        <v>2.1674889E7</v>
      </c>
      <c r="B105" s="4">
        <v>60.0</v>
      </c>
      <c r="C105" s="4">
        <v>1.0</v>
      </c>
      <c r="D105" s="4">
        <v>1933991.0</v>
      </c>
    </row>
    <row r="106">
      <c r="A106" s="4">
        <v>6.8539956E7</v>
      </c>
      <c r="B106" s="4">
        <v>50.0</v>
      </c>
      <c r="C106" s="4">
        <v>3.0</v>
      </c>
      <c r="D106" s="4">
        <v>9816128.0</v>
      </c>
    </row>
    <row r="107">
      <c r="A107" s="4">
        <v>6.9631106E7</v>
      </c>
      <c r="B107" s="4">
        <v>42.0</v>
      </c>
      <c r="C107" s="4">
        <v>2.0</v>
      </c>
      <c r="D107" s="4">
        <v>4657353.0</v>
      </c>
    </row>
    <row r="108">
      <c r="A108" s="4">
        <v>5.6159199E7</v>
      </c>
      <c r="B108" s="4">
        <v>57.0</v>
      </c>
      <c r="C108" s="4">
        <v>2.0</v>
      </c>
      <c r="D108" s="4">
        <v>2473988.0</v>
      </c>
    </row>
    <row r="109">
      <c r="A109" s="4">
        <v>4.1386554E7</v>
      </c>
      <c r="B109" s="4">
        <v>40.0</v>
      </c>
      <c r="C109" s="4">
        <v>1.0</v>
      </c>
      <c r="D109" s="4">
        <v>9790250.0</v>
      </c>
    </row>
    <row r="110">
      <c r="A110" s="4">
        <v>5.9720155E7</v>
      </c>
      <c r="B110" s="4">
        <v>91.0</v>
      </c>
      <c r="C110" s="4">
        <v>3.0</v>
      </c>
      <c r="D110" s="4">
        <v>2607086.0</v>
      </c>
    </row>
    <row r="111">
      <c r="A111" s="4">
        <v>8.1731076E7</v>
      </c>
      <c r="B111" s="4">
        <v>113.0</v>
      </c>
      <c r="C111" s="4">
        <v>1.0</v>
      </c>
      <c r="D111" s="4">
        <v>9427009.0</v>
      </c>
    </row>
    <row r="112">
      <c r="A112" s="4">
        <v>5.6319003E7</v>
      </c>
      <c r="B112" s="4">
        <v>73.0</v>
      </c>
      <c r="C112" s="4">
        <v>2.0</v>
      </c>
      <c r="D112" s="4">
        <v>3361762.0</v>
      </c>
    </row>
    <row r="113">
      <c r="A113" s="4">
        <v>5.9747172E7</v>
      </c>
      <c r="B113" s="4">
        <v>61.0</v>
      </c>
      <c r="C113" s="4">
        <v>3.0</v>
      </c>
      <c r="D113" s="4">
        <v>2053909.0</v>
      </c>
    </row>
    <row r="114">
      <c r="A114" s="4">
        <v>4.6501528E7</v>
      </c>
      <c r="B114" s="4">
        <v>103.0</v>
      </c>
      <c r="C114" s="4">
        <v>1.0</v>
      </c>
      <c r="D114" s="4">
        <v>6941406.0</v>
      </c>
    </row>
    <row r="115">
      <c r="A115" s="4">
        <v>4.4570321E7</v>
      </c>
      <c r="B115" s="4">
        <v>51.0</v>
      </c>
      <c r="C115" s="4">
        <v>1.0</v>
      </c>
      <c r="D115" s="4">
        <v>6781240.0</v>
      </c>
    </row>
    <row r="116">
      <c r="A116" s="4">
        <v>6.5541522E7</v>
      </c>
      <c r="B116" s="4">
        <v>32.0</v>
      </c>
      <c r="C116" s="4">
        <v>1.0</v>
      </c>
      <c r="D116" s="4">
        <v>2129153.0</v>
      </c>
    </row>
    <row r="117">
      <c r="A117" s="4">
        <v>3.8475477E7</v>
      </c>
      <c r="B117" s="4">
        <v>40.0</v>
      </c>
      <c r="C117" s="4">
        <v>1.0</v>
      </c>
      <c r="D117" s="4">
        <v>5965621.0</v>
      </c>
    </row>
    <row r="118">
      <c r="A118" s="4">
        <v>5.4992813E7</v>
      </c>
      <c r="B118" s="4">
        <v>86.0</v>
      </c>
      <c r="C118" s="4">
        <v>3.0</v>
      </c>
      <c r="D118" s="4">
        <v>2836359.0</v>
      </c>
    </row>
    <row r="119">
      <c r="A119" s="4">
        <v>8.2617562E7</v>
      </c>
      <c r="B119" s="4">
        <v>69.0</v>
      </c>
      <c r="C119" s="4">
        <v>2.0</v>
      </c>
      <c r="D119" s="4">
        <v>8246297.0</v>
      </c>
    </row>
    <row r="120">
      <c r="A120" s="4">
        <v>9.7998441E7</v>
      </c>
      <c r="B120" s="4">
        <v>37.0</v>
      </c>
      <c r="C120" s="4">
        <v>1.0</v>
      </c>
      <c r="D120" s="4">
        <v>2352591.0</v>
      </c>
    </row>
    <row r="121">
      <c r="A121" s="4">
        <v>3.4024584E7</v>
      </c>
      <c r="B121" s="4">
        <v>36.0</v>
      </c>
      <c r="C121" s="4">
        <v>1.0</v>
      </c>
      <c r="D121" s="4">
        <v>1359028.0</v>
      </c>
    </row>
    <row r="122">
      <c r="A122" s="4">
        <v>4.8821451E7</v>
      </c>
      <c r="B122" s="4">
        <v>64.0</v>
      </c>
      <c r="C122" s="4">
        <v>1.0</v>
      </c>
      <c r="D122" s="4">
        <v>9869978.0</v>
      </c>
    </row>
    <row r="123">
      <c r="A123" s="4">
        <v>4.6631545E7</v>
      </c>
      <c r="B123" s="4">
        <v>114.0</v>
      </c>
      <c r="C123" s="4">
        <v>3.0</v>
      </c>
      <c r="D123" s="4">
        <v>6818166.0</v>
      </c>
    </row>
    <row r="124">
      <c r="A124" s="4">
        <v>4.2056015E7</v>
      </c>
      <c r="B124" s="4">
        <v>76.0</v>
      </c>
      <c r="C124" s="4">
        <v>1.0</v>
      </c>
      <c r="D124" s="4">
        <v>6170589.0</v>
      </c>
    </row>
    <row r="125">
      <c r="A125" s="4">
        <v>9.8792433E7</v>
      </c>
      <c r="B125" s="4">
        <v>112.0</v>
      </c>
      <c r="C125" s="4">
        <v>2.0</v>
      </c>
      <c r="D125" s="4">
        <v>6285705.0</v>
      </c>
    </row>
    <row r="126">
      <c r="A126" s="4">
        <v>1.179173E7</v>
      </c>
      <c r="B126" s="4">
        <v>27.0</v>
      </c>
      <c r="C126" s="4">
        <v>2.0</v>
      </c>
      <c r="D126" s="4">
        <v>1097181.0</v>
      </c>
    </row>
    <row r="127">
      <c r="A127" s="4">
        <v>7.9513439E7</v>
      </c>
      <c r="B127" s="4">
        <v>94.0</v>
      </c>
      <c r="C127" s="4">
        <v>2.0</v>
      </c>
      <c r="D127" s="4">
        <v>4368029.0</v>
      </c>
    </row>
    <row r="128">
      <c r="A128" s="4">
        <v>8.3851054E7</v>
      </c>
      <c r="B128" s="4">
        <v>62.0</v>
      </c>
      <c r="C128" s="4">
        <v>1.0</v>
      </c>
      <c r="D128" s="4">
        <v>5275402.0</v>
      </c>
    </row>
    <row r="129">
      <c r="A129" s="4">
        <v>3.2966971E7</v>
      </c>
      <c r="B129" s="4">
        <v>36.0</v>
      </c>
      <c r="C129" s="4">
        <v>1.0</v>
      </c>
      <c r="D129" s="4">
        <v>4717104.0</v>
      </c>
    </row>
    <row r="130">
      <c r="A130" s="4">
        <v>4.2218746E7</v>
      </c>
      <c r="B130" s="4">
        <v>34.0</v>
      </c>
      <c r="C130" s="4">
        <v>2.0</v>
      </c>
      <c r="D130" s="4">
        <v>8172535.0</v>
      </c>
    </row>
    <row r="131">
      <c r="A131" s="4">
        <v>7.8182386E7</v>
      </c>
      <c r="B131" s="4">
        <v>72.0</v>
      </c>
      <c r="C131" s="4">
        <v>1.0</v>
      </c>
      <c r="D131" s="4">
        <v>6761767.0</v>
      </c>
    </row>
    <row r="132">
      <c r="A132" s="4">
        <v>5.2458616E7</v>
      </c>
      <c r="B132" s="4">
        <v>89.0</v>
      </c>
      <c r="C132" s="4">
        <v>2.0</v>
      </c>
      <c r="D132" s="4">
        <v>5820756.0</v>
      </c>
    </row>
    <row r="133">
      <c r="A133" s="4">
        <v>4.8332126E7</v>
      </c>
      <c r="B133" s="4">
        <v>68.0</v>
      </c>
      <c r="C133" s="4">
        <v>2.0</v>
      </c>
      <c r="D133" s="4">
        <v>8583178.0</v>
      </c>
    </row>
    <row r="134">
      <c r="A134" s="4">
        <v>1.2698236E7</v>
      </c>
      <c r="B134" s="4">
        <v>91.0</v>
      </c>
      <c r="C134" s="4">
        <v>1.0</v>
      </c>
      <c r="D134" s="4">
        <v>6711081.0</v>
      </c>
    </row>
    <row r="135">
      <c r="A135" s="4">
        <v>6.206282E7</v>
      </c>
      <c r="B135" s="4">
        <v>91.0</v>
      </c>
      <c r="C135" s="4">
        <v>1.0</v>
      </c>
      <c r="D135" s="4">
        <v>1381396.0</v>
      </c>
    </row>
    <row r="136">
      <c r="A136" s="4">
        <v>9.5494529E7</v>
      </c>
      <c r="B136" s="4">
        <v>117.0</v>
      </c>
      <c r="C136" s="4">
        <v>2.0</v>
      </c>
      <c r="D136" s="4">
        <v>8490432.0</v>
      </c>
    </row>
    <row r="137">
      <c r="A137" s="4">
        <v>5.0839044E7</v>
      </c>
      <c r="B137" s="4">
        <v>103.0</v>
      </c>
      <c r="C137" s="4">
        <v>1.0</v>
      </c>
      <c r="D137" s="4">
        <v>8490355.0</v>
      </c>
    </row>
    <row r="138">
      <c r="A138" s="4">
        <v>4.9316509E7</v>
      </c>
      <c r="B138" s="4">
        <v>47.0</v>
      </c>
      <c r="C138" s="4">
        <v>3.0</v>
      </c>
      <c r="D138" s="4">
        <v>6134424.0</v>
      </c>
    </row>
    <row r="139">
      <c r="A139" s="4">
        <v>4.9407039E7</v>
      </c>
      <c r="B139" s="4">
        <v>111.0</v>
      </c>
      <c r="C139" s="4">
        <v>2.0</v>
      </c>
      <c r="D139" s="4">
        <v>9897470.0</v>
      </c>
    </row>
    <row r="140">
      <c r="A140" s="4">
        <v>4.564617E7</v>
      </c>
      <c r="B140" s="4">
        <v>78.0</v>
      </c>
      <c r="C140" s="4">
        <v>1.0</v>
      </c>
      <c r="D140" s="4">
        <v>3391436.0</v>
      </c>
    </row>
    <row r="141">
      <c r="A141" s="4">
        <v>8.7038095E7</v>
      </c>
      <c r="B141" s="4">
        <v>70.0</v>
      </c>
      <c r="C141" s="4">
        <v>1.0</v>
      </c>
      <c r="D141" s="4">
        <v>2950813.0</v>
      </c>
    </row>
    <row r="142">
      <c r="A142" s="4">
        <v>3.9861306E7</v>
      </c>
      <c r="B142" s="4">
        <v>33.0</v>
      </c>
      <c r="C142" s="4">
        <v>3.0</v>
      </c>
      <c r="D142" s="4">
        <v>5121392.0</v>
      </c>
    </row>
    <row r="143">
      <c r="A143" s="4">
        <v>8.1123741E7</v>
      </c>
      <c r="B143" s="4">
        <v>63.0</v>
      </c>
      <c r="C143" s="4">
        <v>1.0</v>
      </c>
      <c r="D143" s="4">
        <v>6208865.0</v>
      </c>
    </row>
    <row r="144">
      <c r="A144" s="4">
        <v>3.0587907E7</v>
      </c>
      <c r="B144" s="4">
        <v>58.0</v>
      </c>
      <c r="C144" s="4">
        <v>2.0</v>
      </c>
      <c r="D144" s="4">
        <v>6010670.0</v>
      </c>
    </row>
    <row r="145">
      <c r="A145" s="4">
        <v>7.057073E7</v>
      </c>
      <c r="B145" s="4">
        <v>37.0</v>
      </c>
      <c r="C145" s="4">
        <v>3.0</v>
      </c>
      <c r="D145" s="4">
        <v>3850495.0</v>
      </c>
    </row>
    <row r="146">
      <c r="A146" s="4">
        <v>2.146359E7</v>
      </c>
      <c r="B146" s="4">
        <v>75.0</v>
      </c>
      <c r="C146" s="4">
        <v>1.0</v>
      </c>
      <c r="D146" s="4">
        <v>1310870.0</v>
      </c>
    </row>
    <row r="147">
      <c r="A147" s="4">
        <v>5.8042999E7</v>
      </c>
      <c r="B147" s="4">
        <v>101.0</v>
      </c>
      <c r="C147" s="4">
        <v>2.0</v>
      </c>
      <c r="D147" s="4">
        <v>2439984.0</v>
      </c>
    </row>
    <row r="148">
      <c r="A148" s="4">
        <v>6.1012906E7</v>
      </c>
      <c r="B148" s="4">
        <v>76.0</v>
      </c>
      <c r="C148" s="4">
        <v>3.0</v>
      </c>
      <c r="D148" s="4">
        <v>9205474.0</v>
      </c>
    </row>
    <row r="149">
      <c r="A149" s="4">
        <v>3.8836201E7</v>
      </c>
      <c r="B149" s="4">
        <v>79.0</v>
      </c>
      <c r="C149" s="4">
        <v>2.0</v>
      </c>
      <c r="D149" s="4">
        <v>3185077.0</v>
      </c>
    </row>
    <row r="150">
      <c r="A150" s="4">
        <v>3.4281926E7</v>
      </c>
      <c r="B150" s="4">
        <v>70.0</v>
      </c>
      <c r="C150" s="4">
        <v>2.0</v>
      </c>
      <c r="D150" s="4">
        <v>1089001.0</v>
      </c>
    </row>
    <row r="151">
      <c r="A151" s="4">
        <v>2.1620421E7</v>
      </c>
      <c r="B151" s="4">
        <v>43.0</v>
      </c>
      <c r="C151" s="4">
        <v>2.0</v>
      </c>
      <c r="D151" s="4">
        <v>8765313.0</v>
      </c>
    </row>
    <row r="152">
      <c r="A152" s="3">
        <v>5.7891324E7</v>
      </c>
      <c r="B152" s="3">
        <v>12.0</v>
      </c>
      <c r="C152" s="3">
        <v>3.0</v>
      </c>
      <c r="D152" s="3">
        <v>6651423.0</v>
      </c>
    </row>
    <row r="153">
      <c r="A153" s="3">
        <v>1.8317133E7</v>
      </c>
      <c r="B153" s="3">
        <v>89.0</v>
      </c>
      <c r="C153" s="3">
        <v>1.0</v>
      </c>
      <c r="D153" s="3">
        <v>7659876.0</v>
      </c>
    </row>
    <row r="154">
      <c r="A154" s="3">
        <v>1.5226231E7</v>
      </c>
      <c r="B154" s="3">
        <v>35.0</v>
      </c>
      <c r="C154" s="3">
        <v>2.0</v>
      </c>
      <c r="D154" s="3">
        <v>7789123.0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IFERROR(__xludf.DUMMYFUNCTION("IMPORTRANGE(""https://docs.google.com/spreadsheets/d/1tcAQtrt69IaXR1keEO0EeL-7XmW8YgpmaEqX80iKMlw/edit?usp=sharing"",""products!A:D"")"),"product id")</f>
        <v>product id</v>
      </c>
      <c r="B1" s="9" t="str">
        <f>IFERROR(__xludf.DUMMYFUNCTION("""COMPUTED_VALUE"""),"product unit price")</f>
        <v>product unit price</v>
      </c>
      <c r="C1" s="9" t="str">
        <f>IFERROR(__xludf.DUMMYFUNCTION("""COMPUTED_VALUE"""),"quantity purchased")</f>
        <v>quantity purchased</v>
      </c>
      <c r="D1" s="9" t="str">
        <f>IFERROR(__xludf.DUMMYFUNCTION("""COMPUTED_VALUE"""),"order id")</f>
        <v>order id</v>
      </c>
      <c r="E1" s="9" t="str">
        <f t="array" ref="E1">XLOOKUP(D:D,orders!A:A,orders!B:B)</f>
        <v>oerder date</v>
      </c>
      <c r="F1" s="8" t="s">
        <v>10</v>
      </c>
    </row>
    <row r="2">
      <c r="A2" s="4">
        <f>IFERROR(__xludf.DUMMYFUNCTION("""COMPUTED_VALUE"""),4.1752154E7)</f>
        <v>41752154</v>
      </c>
      <c r="B2" s="4">
        <f>IFERROR(__xludf.DUMMYFUNCTION("""COMPUTED_VALUE"""),70.0)</f>
        <v>70</v>
      </c>
      <c r="C2" s="4">
        <f>IFERROR(__xludf.DUMMYFUNCTION("""COMPUTED_VALUE"""),1.0)</f>
        <v>1</v>
      </c>
      <c r="D2" s="4">
        <f>IFERROR(__xludf.DUMMYFUNCTION("""COMPUTED_VALUE"""),5930708.0)</f>
        <v>5930708</v>
      </c>
      <c r="E2" s="5">
        <f t="array" ref="E2">XLOOKUP(D:D,orders!A:A,orders!B:B)</f>
        <v>44366</v>
      </c>
      <c r="F2" s="4">
        <f t="shared" ref="F2:F154" si="1">B2*C2</f>
        <v>70</v>
      </c>
    </row>
    <row r="3">
      <c r="A3" s="4">
        <f>IFERROR(__xludf.DUMMYFUNCTION("""COMPUTED_VALUE"""),7.8080835E7)</f>
        <v>78080835</v>
      </c>
      <c r="B3" s="4">
        <f>IFERROR(__xludf.DUMMYFUNCTION("""COMPUTED_VALUE"""),74.0)</f>
        <v>74</v>
      </c>
      <c r="C3" s="4">
        <f>IFERROR(__xludf.DUMMYFUNCTION("""COMPUTED_VALUE"""),1.0)</f>
        <v>1</v>
      </c>
      <c r="D3" s="4">
        <f>IFERROR(__xludf.DUMMYFUNCTION("""COMPUTED_VALUE"""),5291324.0)</f>
        <v>5291324</v>
      </c>
      <c r="E3" s="5">
        <f t="array" ref="E3">XLOOKUP(D:D,orders!A:A,orders!B:B)</f>
        <v>44472</v>
      </c>
      <c r="F3" s="4">
        <f t="shared" si="1"/>
        <v>74</v>
      </c>
    </row>
    <row r="4">
      <c r="A4" s="4">
        <f>IFERROR(__xludf.DUMMYFUNCTION("""COMPUTED_VALUE"""),8.9044431E7)</f>
        <v>89044431</v>
      </c>
      <c r="B4" s="4">
        <f>IFERROR(__xludf.DUMMYFUNCTION("""COMPUTED_VALUE"""),81.0)</f>
        <v>81</v>
      </c>
      <c r="C4" s="4">
        <f>IFERROR(__xludf.DUMMYFUNCTION("""COMPUTED_VALUE"""),2.0)</f>
        <v>2</v>
      </c>
      <c r="D4" s="4">
        <f>IFERROR(__xludf.DUMMYFUNCTION("""COMPUTED_VALUE"""),3393817.0)</f>
        <v>3393817</v>
      </c>
      <c r="E4" s="5">
        <f t="array" ref="E4">XLOOKUP(D:D,orders!A:A,orders!B:B)</f>
        <v>44552</v>
      </c>
      <c r="F4" s="4">
        <f t="shared" si="1"/>
        <v>162</v>
      </c>
    </row>
    <row r="5">
      <c r="A5" s="4">
        <f>IFERROR(__xludf.DUMMYFUNCTION("""COMPUTED_VALUE"""),9.3933502E7)</f>
        <v>93933502</v>
      </c>
      <c r="B5" s="4">
        <f>IFERROR(__xludf.DUMMYFUNCTION("""COMPUTED_VALUE"""),69.0)</f>
        <v>69</v>
      </c>
      <c r="C5" s="4">
        <f>IFERROR(__xludf.DUMMYFUNCTION("""COMPUTED_VALUE"""),1.0)</f>
        <v>1</v>
      </c>
      <c r="D5" s="4">
        <f>IFERROR(__xludf.DUMMYFUNCTION("""COMPUTED_VALUE"""),1933991.0)</f>
        <v>1933991</v>
      </c>
      <c r="E5" s="5">
        <f t="array" ref="E5">XLOOKUP(D:D,orders!A:A,orders!B:B)</f>
        <v>44401</v>
      </c>
      <c r="F5" s="4">
        <f t="shared" si="1"/>
        <v>69</v>
      </c>
      <c r="O5" s="11">
        <v>1.0</v>
      </c>
    </row>
    <row r="6">
      <c r="A6" s="4">
        <f>IFERROR(__xludf.DUMMYFUNCTION("""COMPUTED_VALUE"""),8.6846486E7)</f>
        <v>86846486</v>
      </c>
      <c r="B6" s="4">
        <f>IFERROR(__xludf.DUMMYFUNCTION("""COMPUTED_VALUE"""),39.0)</f>
        <v>39</v>
      </c>
      <c r="C6" s="4">
        <f>IFERROR(__xludf.DUMMYFUNCTION("""COMPUTED_VALUE"""),3.0)</f>
        <v>3</v>
      </c>
      <c r="D6" s="4">
        <f>IFERROR(__xludf.DUMMYFUNCTION("""COMPUTED_VALUE"""),9816128.0)</f>
        <v>9816128</v>
      </c>
      <c r="E6" s="5">
        <f t="array" ref="E6">XLOOKUP(D:D,orders!A:A,orders!B:B)</f>
        <v>44878</v>
      </c>
      <c r="F6" s="4">
        <f t="shared" si="1"/>
        <v>117</v>
      </c>
      <c r="O6" s="10" t="str">
        <f>INDIRECT("i" &amp; 1)
</f>
        <v/>
      </c>
    </row>
    <row r="7">
      <c r="A7" s="4">
        <f>IFERROR(__xludf.DUMMYFUNCTION("""COMPUTED_VALUE"""),7.0702693E7)</f>
        <v>70702693</v>
      </c>
      <c r="B7" s="4">
        <f>IFERROR(__xludf.DUMMYFUNCTION("""COMPUTED_VALUE"""),80.0)</f>
        <v>80</v>
      </c>
      <c r="C7" s="4">
        <f>IFERROR(__xludf.DUMMYFUNCTION("""COMPUTED_VALUE"""),3.0)</f>
        <v>3</v>
      </c>
      <c r="D7" s="4">
        <f>IFERROR(__xludf.DUMMYFUNCTION("""COMPUTED_VALUE"""),4657353.0)</f>
        <v>4657353</v>
      </c>
      <c r="E7" s="5">
        <f t="array" ref="E7">XLOOKUP(D:D,orders!A:A,orders!B:B)</f>
        <v>44900</v>
      </c>
      <c r="F7" s="4">
        <f t="shared" si="1"/>
        <v>240</v>
      </c>
      <c r="O7" s="10" t="str">
        <f>CONCATENATE("i[",O7+1,"]")</f>
        <v>#REF!</v>
      </c>
    </row>
    <row r="8">
      <c r="A8" s="4">
        <f>IFERROR(__xludf.DUMMYFUNCTION("""COMPUTED_VALUE"""),5.0595275E7)</f>
        <v>50595275</v>
      </c>
      <c r="B8" s="4">
        <f>IFERROR(__xludf.DUMMYFUNCTION("""COMPUTED_VALUE"""),45.0)</f>
        <v>45</v>
      </c>
      <c r="C8" s="4">
        <f>IFERROR(__xludf.DUMMYFUNCTION("""COMPUTED_VALUE"""),1.0)</f>
        <v>1</v>
      </c>
      <c r="D8" s="4">
        <f>IFERROR(__xludf.DUMMYFUNCTION("""COMPUTED_VALUE"""),2473988.0)</f>
        <v>2473988</v>
      </c>
      <c r="E8" s="5">
        <f t="array" ref="E8">XLOOKUP(D:D,orders!A:A,orders!B:B)</f>
        <v>44216</v>
      </c>
      <c r="F8" s="4">
        <f t="shared" si="1"/>
        <v>45</v>
      </c>
      <c r="O8" s="10" t="str">
        <f t="shared" ref="O8:O13" si="2">CONCATENATE("i[",O6+1,"]")</f>
        <v>i[1]</v>
      </c>
    </row>
    <row r="9">
      <c r="A9" s="4">
        <f>IFERROR(__xludf.DUMMYFUNCTION("""COMPUTED_VALUE"""),7.8658729E7)</f>
        <v>78658729</v>
      </c>
      <c r="B9" s="4">
        <f>IFERROR(__xludf.DUMMYFUNCTION("""COMPUTED_VALUE"""),58.0)</f>
        <v>58</v>
      </c>
      <c r="C9" s="4">
        <f>IFERROR(__xludf.DUMMYFUNCTION("""COMPUTED_VALUE"""),3.0)</f>
        <v>3</v>
      </c>
      <c r="D9" s="4">
        <f>IFERROR(__xludf.DUMMYFUNCTION("""COMPUTED_VALUE"""),9790250.0)</f>
        <v>9790250</v>
      </c>
      <c r="E9" s="5">
        <f t="array" ref="E9">XLOOKUP(D:D,orders!A:A,orders!B:B)</f>
        <v>44819</v>
      </c>
      <c r="F9" s="4">
        <f t="shared" si="1"/>
        <v>174</v>
      </c>
      <c r="O9" s="10" t="str">
        <f t="shared" si="2"/>
        <v>#REF!</v>
      </c>
    </row>
    <row r="10">
      <c r="A10" s="4">
        <f>IFERROR(__xludf.DUMMYFUNCTION("""COMPUTED_VALUE"""),2.5191561E7)</f>
        <v>25191561</v>
      </c>
      <c r="B10" s="4">
        <f>IFERROR(__xludf.DUMMYFUNCTION("""COMPUTED_VALUE"""),87.0)</f>
        <v>87</v>
      </c>
      <c r="C10" s="4">
        <f>IFERROR(__xludf.DUMMYFUNCTION("""COMPUTED_VALUE"""),1.0)</f>
        <v>1</v>
      </c>
      <c r="D10" s="4">
        <f>IFERROR(__xludf.DUMMYFUNCTION("""COMPUTED_VALUE"""),2607086.0)</f>
        <v>2607086</v>
      </c>
      <c r="E10" s="5">
        <f t="array" ref="E10">XLOOKUP(D:D,orders!A:A,orders!B:B)</f>
        <v>44786</v>
      </c>
      <c r="F10" s="4">
        <f t="shared" si="1"/>
        <v>87</v>
      </c>
      <c r="O10" s="10" t="str">
        <f t="shared" si="2"/>
        <v>#VALUE!</v>
      </c>
    </row>
    <row r="11">
      <c r="A11" s="4">
        <f>IFERROR(__xludf.DUMMYFUNCTION("""COMPUTED_VALUE"""),9.2914571E7)</f>
        <v>92914571</v>
      </c>
      <c r="B11" s="4">
        <f>IFERROR(__xludf.DUMMYFUNCTION("""COMPUTED_VALUE"""),101.0)</f>
        <v>101</v>
      </c>
      <c r="C11" s="4">
        <f>IFERROR(__xludf.DUMMYFUNCTION("""COMPUTED_VALUE"""),3.0)</f>
        <v>3</v>
      </c>
      <c r="D11" s="4">
        <f>IFERROR(__xludf.DUMMYFUNCTION("""COMPUTED_VALUE"""),9427009.0)</f>
        <v>9427009</v>
      </c>
      <c r="E11" s="5">
        <f t="array" ref="E11">XLOOKUP(D:D,orders!A:A,orders!B:B)</f>
        <v>44648</v>
      </c>
      <c r="F11" s="4">
        <f t="shared" si="1"/>
        <v>303</v>
      </c>
      <c r="O11" s="10" t="str">
        <f t="shared" si="2"/>
        <v>#REF!</v>
      </c>
    </row>
    <row r="12">
      <c r="A12" s="4">
        <f>IFERROR(__xludf.DUMMYFUNCTION("""COMPUTED_VALUE"""),8.4831645E7)</f>
        <v>84831645</v>
      </c>
      <c r="B12" s="4">
        <f>IFERROR(__xludf.DUMMYFUNCTION("""COMPUTED_VALUE"""),52.0)</f>
        <v>52</v>
      </c>
      <c r="C12" s="4">
        <f>IFERROR(__xludf.DUMMYFUNCTION("""COMPUTED_VALUE"""),1.0)</f>
        <v>1</v>
      </c>
      <c r="D12" s="4">
        <f>IFERROR(__xludf.DUMMYFUNCTION("""COMPUTED_VALUE"""),3361762.0)</f>
        <v>3361762</v>
      </c>
      <c r="E12" s="5">
        <f t="array" ref="E12">XLOOKUP(D:D,orders!A:A,orders!B:B)</f>
        <v>44722</v>
      </c>
      <c r="F12" s="4">
        <f t="shared" si="1"/>
        <v>52</v>
      </c>
      <c r="O12" s="10" t="str">
        <f t="shared" si="2"/>
        <v>#VALUE!</v>
      </c>
    </row>
    <row r="13">
      <c r="A13" s="4">
        <f>IFERROR(__xludf.DUMMYFUNCTION("""COMPUTED_VALUE"""),1.240031E7)</f>
        <v>12400310</v>
      </c>
      <c r="B13" s="4">
        <f>IFERROR(__xludf.DUMMYFUNCTION("""COMPUTED_VALUE"""),93.0)</f>
        <v>93</v>
      </c>
      <c r="C13" s="4">
        <f>IFERROR(__xludf.DUMMYFUNCTION("""COMPUTED_VALUE"""),1.0)</f>
        <v>1</v>
      </c>
      <c r="D13" s="4">
        <f>IFERROR(__xludf.DUMMYFUNCTION("""COMPUTED_VALUE"""),2053909.0)</f>
        <v>2053909</v>
      </c>
      <c r="E13" s="5">
        <f t="array" ref="E13">XLOOKUP(D:D,orders!A:A,orders!B:B)</f>
        <v>44615</v>
      </c>
      <c r="F13" s="4">
        <f t="shared" si="1"/>
        <v>93</v>
      </c>
      <c r="O13" s="10" t="str">
        <f t="shared" si="2"/>
        <v>#REF!</v>
      </c>
    </row>
    <row r="14">
      <c r="A14" s="4">
        <f>IFERROR(__xludf.DUMMYFUNCTION("""COMPUTED_VALUE"""),7.7231258E7)</f>
        <v>77231258</v>
      </c>
      <c r="B14" s="4">
        <f>IFERROR(__xludf.DUMMYFUNCTION("""COMPUTED_VALUE"""),33.0)</f>
        <v>33</v>
      </c>
      <c r="C14" s="4">
        <f>IFERROR(__xludf.DUMMYFUNCTION("""COMPUTED_VALUE"""),3.0)</f>
        <v>3</v>
      </c>
      <c r="D14" s="4">
        <f>IFERROR(__xludf.DUMMYFUNCTION("""COMPUTED_VALUE"""),6941406.0)</f>
        <v>6941406</v>
      </c>
      <c r="E14" s="5">
        <f t="array" ref="E14">XLOOKUP(D:D,orders!A:A,orders!B:B)</f>
        <v>44451</v>
      </c>
      <c r="F14" s="4">
        <f t="shared" si="1"/>
        <v>99</v>
      </c>
    </row>
    <row r="15">
      <c r="A15" s="4">
        <f>IFERROR(__xludf.DUMMYFUNCTION("""COMPUTED_VALUE"""),1.7369697E7)</f>
        <v>17369697</v>
      </c>
      <c r="B15" s="4">
        <f>IFERROR(__xludf.DUMMYFUNCTION("""COMPUTED_VALUE"""),52.0)</f>
        <v>52</v>
      </c>
      <c r="C15" s="4">
        <f>IFERROR(__xludf.DUMMYFUNCTION("""COMPUTED_VALUE"""),3.0)</f>
        <v>3</v>
      </c>
      <c r="D15" s="4">
        <f>IFERROR(__xludf.DUMMYFUNCTION("""COMPUTED_VALUE"""),6781240.0)</f>
        <v>6781240</v>
      </c>
      <c r="E15" s="5">
        <f t="array" ref="E15">XLOOKUP(D:D,orders!A:A,orders!B:B)</f>
        <v>44801</v>
      </c>
      <c r="F15" s="4">
        <f t="shared" si="1"/>
        <v>156</v>
      </c>
    </row>
    <row r="16">
      <c r="A16" s="4">
        <f>IFERROR(__xludf.DUMMYFUNCTION("""COMPUTED_VALUE"""),5.6731452E7)</f>
        <v>56731452</v>
      </c>
      <c r="B16" s="4">
        <f>IFERROR(__xludf.DUMMYFUNCTION("""COMPUTED_VALUE"""),49.0)</f>
        <v>49</v>
      </c>
      <c r="C16" s="4">
        <f>IFERROR(__xludf.DUMMYFUNCTION("""COMPUTED_VALUE"""),1.0)</f>
        <v>1</v>
      </c>
      <c r="D16" s="4">
        <f>IFERROR(__xludf.DUMMYFUNCTION("""COMPUTED_VALUE"""),2129153.0)</f>
        <v>2129153</v>
      </c>
      <c r="E16" s="5">
        <f t="array" ref="E16">XLOOKUP(D:D,orders!A:A,orders!B:B)</f>
        <v>44615</v>
      </c>
      <c r="F16" s="4">
        <f t="shared" si="1"/>
        <v>49</v>
      </c>
    </row>
    <row r="17">
      <c r="A17" s="4">
        <f>IFERROR(__xludf.DUMMYFUNCTION("""COMPUTED_VALUE"""),8.5872592E7)</f>
        <v>85872592</v>
      </c>
      <c r="B17" s="4">
        <f>IFERROR(__xludf.DUMMYFUNCTION("""COMPUTED_VALUE"""),81.0)</f>
        <v>81</v>
      </c>
      <c r="C17" s="4">
        <f>IFERROR(__xludf.DUMMYFUNCTION("""COMPUTED_VALUE"""),3.0)</f>
        <v>3</v>
      </c>
      <c r="D17" s="4">
        <f>IFERROR(__xludf.DUMMYFUNCTION("""COMPUTED_VALUE"""),5965621.0)</f>
        <v>5965621</v>
      </c>
      <c r="E17" s="5">
        <f t="array" ref="E17">XLOOKUP(D:D,orders!A:A,orders!B:B)</f>
        <v>44708</v>
      </c>
      <c r="F17" s="4">
        <f t="shared" si="1"/>
        <v>243</v>
      </c>
    </row>
    <row r="18">
      <c r="A18" s="4">
        <f>IFERROR(__xludf.DUMMYFUNCTION("""COMPUTED_VALUE"""),7.7491147E7)</f>
        <v>77491147</v>
      </c>
      <c r="B18" s="4">
        <f>IFERROR(__xludf.DUMMYFUNCTION("""COMPUTED_VALUE"""),42.0)</f>
        <v>42</v>
      </c>
      <c r="C18" s="4">
        <f>IFERROR(__xludf.DUMMYFUNCTION("""COMPUTED_VALUE"""),2.0)</f>
        <v>2</v>
      </c>
      <c r="D18" s="4">
        <f>IFERROR(__xludf.DUMMYFUNCTION("""COMPUTED_VALUE"""),2836359.0)</f>
        <v>2836359</v>
      </c>
      <c r="E18" s="5">
        <f t="array" ref="E18">XLOOKUP(D:D,orders!A:A,orders!B:B)</f>
        <v>44642</v>
      </c>
      <c r="F18" s="4">
        <f t="shared" si="1"/>
        <v>84</v>
      </c>
    </row>
    <row r="19">
      <c r="A19" s="4">
        <f>IFERROR(__xludf.DUMMYFUNCTION("""COMPUTED_VALUE"""),5.4624767E7)</f>
        <v>54624767</v>
      </c>
      <c r="B19" s="4">
        <f>IFERROR(__xludf.DUMMYFUNCTION("""COMPUTED_VALUE"""),87.0)</f>
        <v>87</v>
      </c>
      <c r="C19" s="4">
        <f>IFERROR(__xludf.DUMMYFUNCTION("""COMPUTED_VALUE"""),2.0)</f>
        <v>2</v>
      </c>
      <c r="D19" s="4">
        <f>IFERROR(__xludf.DUMMYFUNCTION("""COMPUTED_VALUE"""),8246297.0)</f>
        <v>8246297</v>
      </c>
      <c r="E19" s="5">
        <f t="array" ref="E19">XLOOKUP(D:D,orders!A:A,orders!B:B)</f>
        <v>44593</v>
      </c>
      <c r="F19" s="4">
        <f t="shared" si="1"/>
        <v>174</v>
      </c>
    </row>
    <row r="20">
      <c r="A20" s="4">
        <f>IFERROR(__xludf.DUMMYFUNCTION("""COMPUTED_VALUE"""),3.6566332E7)</f>
        <v>36566332</v>
      </c>
      <c r="B20" s="4">
        <f>IFERROR(__xludf.DUMMYFUNCTION("""COMPUTED_VALUE"""),91.0)</f>
        <v>91</v>
      </c>
      <c r="C20" s="4">
        <f>IFERROR(__xludf.DUMMYFUNCTION("""COMPUTED_VALUE"""),1.0)</f>
        <v>1</v>
      </c>
      <c r="D20" s="4">
        <f>IFERROR(__xludf.DUMMYFUNCTION("""COMPUTED_VALUE"""),2352591.0)</f>
        <v>2352591</v>
      </c>
      <c r="E20" s="5">
        <f t="array" ref="E20">XLOOKUP(D:D,orders!A:A,orders!B:B)</f>
        <v>44518</v>
      </c>
      <c r="F20" s="4">
        <f t="shared" si="1"/>
        <v>91</v>
      </c>
    </row>
    <row r="21">
      <c r="A21" s="4">
        <f>IFERROR(__xludf.DUMMYFUNCTION("""COMPUTED_VALUE"""),6.6218381E7)</f>
        <v>66218381</v>
      </c>
      <c r="B21" s="4">
        <f>IFERROR(__xludf.DUMMYFUNCTION("""COMPUTED_VALUE"""),28.0)</f>
        <v>28</v>
      </c>
      <c r="C21" s="4">
        <f>IFERROR(__xludf.DUMMYFUNCTION("""COMPUTED_VALUE"""),2.0)</f>
        <v>2</v>
      </c>
      <c r="D21" s="4">
        <f>IFERROR(__xludf.DUMMYFUNCTION("""COMPUTED_VALUE"""),1359028.0)</f>
        <v>1359028</v>
      </c>
      <c r="E21" s="5">
        <f t="array" ref="E21">XLOOKUP(D:D,orders!A:A,orders!B:B)</f>
        <v>44236</v>
      </c>
      <c r="F21" s="4">
        <f t="shared" si="1"/>
        <v>56</v>
      </c>
    </row>
    <row r="22">
      <c r="A22" s="4">
        <f>IFERROR(__xludf.DUMMYFUNCTION("""COMPUTED_VALUE"""),4.0833334E7)</f>
        <v>40833334</v>
      </c>
      <c r="B22" s="4">
        <f>IFERROR(__xludf.DUMMYFUNCTION("""COMPUTED_VALUE"""),95.0)</f>
        <v>95</v>
      </c>
      <c r="C22" s="4">
        <f>IFERROR(__xludf.DUMMYFUNCTION("""COMPUTED_VALUE"""),3.0)</f>
        <v>3</v>
      </c>
      <c r="D22" s="4">
        <f>IFERROR(__xludf.DUMMYFUNCTION("""COMPUTED_VALUE"""),9869978.0)</f>
        <v>9869978</v>
      </c>
      <c r="E22" s="5">
        <f t="array" ref="E22">XLOOKUP(D:D,orders!A:A,orders!B:B)</f>
        <v>44565</v>
      </c>
      <c r="F22" s="4">
        <f t="shared" si="1"/>
        <v>285</v>
      </c>
    </row>
    <row r="23">
      <c r="A23" s="4">
        <f>IFERROR(__xludf.DUMMYFUNCTION("""COMPUTED_VALUE"""),4.4214894E7)</f>
        <v>44214894</v>
      </c>
      <c r="B23" s="4">
        <f>IFERROR(__xludf.DUMMYFUNCTION("""COMPUTED_VALUE"""),118.0)</f>
        <v>118</v>
      </c>
      <c r="C23" s="4">
        <f>IFERROR(__xludf.DUMMYFUNCTION("""COMPUTED_VALUE"""),3.0)</f>
        <v>3</v>
      </c>
      <c r="D23" s="4">
        <f>IFERROR(__xludf.DUMMYFUNCTION("""COMPUTED_VALUE"""),6818166.0)</f>
        <v>6818166</v>
      </c>
      <c r="E23" s="5">
        <f t="array" ref="E23">XLOOKUP(D:D,orders!A:A,orders!B:B)</f>
        <v>44452</v>
      </c>
      <c r="F23" s="4">
        <f t="shared" si="1"/>
        <v>354</v>
      </c>
    </row>
    <row r="24">
      <c r="A24" s="4">
        <f>IFERROR(__xludf.DUMMYFUNCTION("""COMPUTED_VALUE"""),4.1521042E7)</f>
        <v>41521042</v>
      </c>
      <c r="B24" s="4">
        <f>IFERROR(__xludf.DUMMYFUNCTION("""COMPUTED_VALUE"""),48.0)</f>
        <v>48</v>
      </c>
      <c r="C24" s="4">
        <f>IFERROR(__xludf.DUMMYFUNCTION("""COMPUTED_VALUE"""),1.0)</f>
        <v>1</v>
      </c>
      <c r="D24" s="4">
        <f>IFERROR(__xludf.DUMMYFUNCTION("""COMPUTED_VALUE"""),6170589.0)</f>
        <v>6170589</v>
      </c>
      <c r="E24" s="5">
        <f t="array" ref="E24">XLOOKUP(D:D,orders!A:A,orders!B:B)</f>
        <v>44465</v>
      </c>
      <c r="F24" s="4">
        <f t="shared" si="1"/>
        <v>48</v>
      </c>
    </row>
    <row r="25">
      <c r="A25" s="4">
        <f>IFERROR(__xludf.DUMMYFUNCTION("""COMPUTED_VALUE"""),8.4575636E7)</f>
        <v>84575636</v>
      </c>
      <c r="B25" s="4">
        <f>IFERROR(__xludf.DUMMYFUNCTION("""COMPUTED_VALUE"""),38.0)</f>
        <v>38</v>
      </c>
      <c r="C25" s="4">
        <f>IFERROR(__xludf.DUMMYFUNCTION("""COMPUTED_VALUE"""),2.0)</f>
        <v>2</v>
      </c>
      <c r="D25" s="4">
        <f>IFERROR(__xludf.DUMMYFUNCTION("""COMPUTED_VALUE"""),6285705.0)</f>
        <v>6285705</v>
      </c>
      <c r="E25" s="5">
        <f t="array" ref="E25">XLOOKUP(D:D,orders!A:A,orders!B:B)</f>
        <v>44334</v>
      </c>
      <c r="F25" s="4">
        <f t="shared" si="1"/>
        <v>76</v>
      </c>
    </row>
    <row r="26">
      <c r="A26" s="4">
        <f>IFERROR(__xludf.DUMMYFUNCTION("""COMPUTED_VALUE"""),6.4568656E7)</f>
        <v>64568656</v>
      </c>
      <c r="B26" s="4">
        <f>IFERROR(__xludf.DUMMYFUNCTION("""COMPUTED_VALUE"""),35.0)</f>
        <v>35</v>
      </c>
      <c r="C26" s="4">
        <f>IFERROR(__xludf.DUMMYFUNCTION("""COMPUTED_VALUE"""),2.0)</f>
        <v>2</v>
      </c>
      <c r="D26" s="4">
        <f>IFERROR(__xludf.DUMMYFUNCTION("""COMPUTED_VALUE"""),1097181.0)</f>
        <v>1097181</v>
      </c>
      <c r="E26" s="5">
        <f t="array" ref="E26">XLOOKUP(D:D,orders!A:A,orders!B:B)</f>
        <v>44657</v>
      </c>
      <c r="F26" s="4">
        <f t="shared" si="1"/>
        <v>70</v>
      </c>
    </row>
    <row r="27">
      <c r="A27" s="4">
        <f>IFERROR(__xludf.DUMMYFUNCTION("""COMPUTED_VALUE"""),9.5498618E7)</f>
        <v>95498618</v>
      </c>
      <c r="B27" s="4">
        <f>IFERROR(__xludf.DUMMYFUNCTION("""COMPUTED_VALUE"""),96.0)</f>
        <v>96</v>
      </c>
      <c r="C27" s="4">
        <f>IFERROR(__xludf.DUMMYFUNCTION("""COMPUTED_VALUE"""),1.0)</f>
        <v>1</v>
      </c>
      <c r="D27" s="4">
        <f>IFERROR(__xludf.DUMMYFUNCTION("""COMPUTED_VALUE"""),4368029.0)</f>
        <v>4368029</v>
      </c>
      <c r="E27" s="5">
        <f t="array" ref="E27">XLOOKUP(D:D,orders!A:A,orders!B:B)</f>
        <v>44400</v>
      </c>
      <c r="F27" s="4">
        <f t="shared" si="1"/>
        <v>96</v>
      </c>
    </row>
    <row r="28">
      <c r="A28" s="4">
        <f>IFERROR(__xludf.DUMMYFUNCTION("""COMPUTED_VALUE"""),6.4521651E7)</f>
        <v>64521651</v>
      </c>
      <c r="B28" s="4">
        <f>IFERROR(__xludf.DUMMYFUNCTION("""COMPUTED_VALUE"""),43.0)</f>
        <v>43</v>
      </c>
      <c r="C28" s="4">
        <f>IFERROR(__xludf.DUMMYFUNCTION("""COMPUTED_VALUE"""),3.0)</f>
        <v>3</v>
      </c>
      <c r="D28" s="4">
        <f>IFERROR(__xludf.DUMMYFUNCTION("""COMPUTED_VALUE"""),5275402.0)</f>
        <v>5275402</v>
      </c>
      <c r="E28" s="5">
        <f t="array" ref="E28">XLOOKUP(D:D,orders!A:A,orders!B:B)</f>
        <v>44295</v>
      </c>
      <c r="F28" s="4">
        <f t="shared" si="1"/>
        <v>129</v>
      </c>
    </row>
    <row r="29">
      <c r="A29" s="4">
        <f>IFERROR(__xludf.DUMMYFUNCTION("""COMPUTED_VALUE"""),3.508429E7)</f>
        <v>35084290</v>
      </c>
      <c r="B29" s="4">
        <f>IFERROR(__xludf.DUMMYFUNCTION("""COMPUTED_VALUE"""),92.0)</f>
        <v>92</v>
      </c>
      <c r="C29" s="4">
        <f>IFERROR(__xludf.DUMMYFUNCTION("""COMPUTED_VALUE"""),3.0)</f>
        <v>3</v>
      </c>
      <c r="D29" s="4">
        <f>IFERROR(__xludf.DUMMYFUNCTION("""COMPUTED_VALUE"""),4717104.0)</f>
        <v>4717104</v>
      </c>
      <c r="E29" s="5">
        <f t="array" ref="E29">XLOOKUP(D:D,orders!A:A,orders!B:B)</f>
        <v>44506</v>
      </c>
      <c r="F29" s="4">
        <f t="shared" si="1"/>
        <v>276</v>
      </c>
    </row>
    <row r="30">
      <c r="A30" s="4">
        <f>IFERROR(__xludf.DUMMYFUNCTION("""COMPUTED_VALUE"""),6.8526102E7)</f>
        <v>68526102</v>
      </c>
      <c r="B30" s="4">
        <f>IFERROR(__xludf.DUMMYFUNCTION("""COMPUTED_VALUE"""),112.0)</f>
        <v>112</v>
      </c>
      <c r="C30" s="4">
        <f>IFERROR(__xludf.DUMMYFUNCTION("""COMPUTED_VALUE"""),3.0)</f>
        <v>3</v>
      </c>
      <c r="D30" s="4">
        <f>IFERROR(__xludf.DUMMYFUNCTION("""COMPUTED_VALUE"""),8172535.0)</f>
        <v>8172535</v>
      </c>
      <c r="E30" s="5">
        <f t="array" ref="E30">XLOOKUP(D:D,orders!A:A,orders!B:B)</f>
        <v>44441</v>
      </c>
      <c r="F30" s="4">
        <f t="shared" si="1"/>
        <v>336</v>
      </c>
    </row>
    <row r="31">
      <c r="A31" s="4">
        <f>IFERROR(__xludf.DUMMYFUNCTION("""COMPUTED_VALUE"""),3.4545251E7)</f>
        <v>34545251</v>
      </c>
      <c r="B31" s="4">
        <f>IFERROR(__xludf.DUMMYFUNCTION("""COMPUTED_VALUE"""),37.0)</f>
        <v>37</v>
      </c>
      <c r="C31" s="4">
        <f>IFERROR(__xludf.DUMMYFUNCTION("""COMPUTED_VALUE"""),2.0)</f>
        <v>2</v>
      </c>
      <c r="D31" s="4">
        <f>IFERROR(__xludf.DUMMYFUNCTION("""COMPUTED_VALUE"""),6761767.0)</f>
        <v>6761767</v>
      </c>
      <c r="E31" s="5">
        <f t="array" ref="E31">XLOOKUP(D:D,orders!A:A,orders!B:B)</f>
        <v>44303</v>
      </c>
      <c r="F31" s="4">
        <f t="shared" si="1"/>
        <v>74</v>
      </c>
    </row>
    <row r="32">
      <c r="A32" s="4">
        <f>IFERROR(__xludf.DUMMYFUNCTION("""COMPUTED_VALUE"""),6.5892952E7)</f>
        <v>65892952</v>
      </c>
      <c r="B32" s="4">
        <f>IFERROR(__xludf.DUMMYFUNCTION("""COMPUTED_VALUE"""),76.0)</f>
        <v>76</v>
      </c>
      <c r="C32" s="4">
        <f>IFERROR(__xludf.DUMMYFUNCTION("""COMPUTED_VALUE"""),1.0)</f>
        <v>1</v>
      </c>
      <c r="D32" s="4">
        <f>IFERROR(__xludf.DUMMYFUNCTION("""COMPUTED_VALUE"""),5820756.0)</f>
        <v>5820756</v>
      </c>
      <c r="E32" s="5">
        <f t="array" ref="E32">XLOOKUP(D:D,orders!A:A,orders!B:B)</f>
        <v>44298</v>
      </c>
      <c r="F32" s="4">
        <f t="shared" si="1"/>
        <v>76</v>
      </c>
    </row>
    <row r="33">
      <c r="A33" s="4">
        <f>IFERROR(__xludf.DUMMYFUNCTION("""COMPUTED_VALUE"""),8.3758817E7)</f>
        <v>83758817</v>
      </c>
      <c r="B33" s="4">
        <f>IFERROR(__xludf.DUMMYFUNCTION("""COMPUTED_VALUE"""),67.0)</f>
        <v>67</v>
      </c>
      <c r="C33" s="4">
        <f>IFERROR(__xludf.DUMMYFUNCTION("""COMPUTED_VALUE"""),2.0)</f>
        <v>2</v>
      </c>
      <c r="D33" s="4">
        <f>IFERROR(__xludf.DUMMYFUNCTION("""COMPUTED_VALUE"""),8583178.0)</f>
        <v>8583178</v>
      </c>
      <c r="E33" s="5">
        <f t="array" ref="E33">XLOOKUP(D:D,orders!A:A,orders!B:B)</f>
        <v>44902</v>
      </c>
      <c r="F33" s="4">
        <f t="shared" si="1"/>
        <v>134</v>
      </c>
    </row>
    <row r="34">
      <c r="A34" s="4">
        <f>IFERROR(__xludf.DUMMYFUNCTION("""COMPUTED_VALUE"""),1.7298526E7)</f>
        <v>17298526</v>
      </c>
      <c r="B34" s="4">
        <f>IFERROR(__xludf.DUMMYFUNCTION("""COMPUTED_VALUE"""),60.0)</f>
        <v>60</v>
      </c>
      <c r="C34" s="4">
        <f>IFERROR(__xludf.DUMMYFUNCTION("""COMPUTED_VALUE"""),2.0)</f>
        <v>2</v>
      </c>
      <c r="D34" s="4">
        <f>IFERROR(__xludf.DUMMYFUNCTION("""COMPUTED_VALUE"""),6711081.0)</f>
        <v>6711081</v>
      </c>
      <c r="E34" s="5">
        <f t="array" ref="E34">XLOOKUP(D:D,orders!A:A,orders!B:B)</f>
        <v>44396</v>
      </c>
      <c r="F34" s="4">
        <f t="shared" si="1"/>
        <v>120</v>
      </c>
    </row>
    <row r="35">
      <c r="A35" s="4">
        <f>IFERROR(__xludf.DUMMYFUNCTION("""COMPUTED_VALUE"""),9.0846614E7)</f>
        <v>90846614</v>
      </c>
      <c r="B35" s="4">
        <f>IFERROR(__xludf.DUMMYFUNCTION("""COMPUTED_VALUE"""),99.0)</f>
        <v>99</v>
      </c>
      <c r="C35" s="4">
        <f>IFERROR(__xludf.DUMMYFUNCTION("""COMPUTED_VALUE"""),3.0)</f>
        <v>3</v>
      </c>
      <c r="D35" s="4">
        <f>IFERROR(__xludf.DUMMYFUNCTION("""COMPUTED_VALUE"""),1381396.0)</f>
        <v>1381396</v>
      </c>
      <c r="E35" s="5">
        <f t="array" ref="E35">XLOOKUP(D:D,orders!A:A,orders!B:B)</f>
        <v>44876</v>
      </c>
      <c r="F35" s="4">
        <f t="shared" si="1"/>
        <v>297</v>
      </c>
    </row>
    <row r="36">
      <c r="A36" s="4">
        <f>IFERROR(__xludf.DUMMYFUNCTION("""COMPUTED_VALUE"""),1.6990901E7)</f>
        <v>16990901</v>
      </c>
      <c r="B36" s="4">
        <f>IFERROR(__xludf.DUMMYFUNCTION("""COMPUTED_VALUE"""),120.0)</f>
        <v>120</v>
      </c>
      <c r="C36" s="4">
        <f>IFERROR(__xludf.DUMMYFUNCTION("""COMPUTED_VALUE"""),2.0)</f>
        <v>2</v>
      </c>
      <c r="D36" s="4">
        <f>IFERROR(__xludf.DUMMYFUNCTION("""COMPUTED_VALUE"""),8490432.0)</f>
        <v>8490432</v>
      </c>
      <c r="E36" s="5">
        <f t="array" ref="E36">XLOOKUP(D:D,orders!A:A,orders!B:B)</f>
        <v>44363</v>
      </c>
      <c r="F36" s="4">
        <f t="shared" si="1"/>
        <v>240</v>
      </c>
    </row>
    <row r="37">
      <c r="A37" s="4">
        <f>IFERROR(__xludf.DUMMYFUNCTION("""COMPUTED_VALUE"""),1.0818133E7)</f>
        <v>10818133</v>
      </c>
      <c r="B37" s="4">
        <f>IFERROR(__xludf.DUMMYFUNCTION("""COMPUTED_VALUE"""),33.0)</f>
        <v>33</v>
      </c>
      <c r="C37" s="4">
        <f>IFERROR(__xludf.DUMMYFUNCTION("""COMPUTED_VALUE"""),2.0)</f>
        <v>2</v>
      </c>
      <c r="D37" s="4">
        <f>IFERROR(__xludf.DUMMYFUNCTION("""COMPUTED_VALUE"""),8490355.0)</f>
        <v>8490355</v>
      </c>
      <c r="E37" s="5">
        <f t="array" ref="E37">XLOOKUP(D:D,orders!A:A,orders!B:B)</f>
        <v>44324</v>
      </c>
      <c r="F37" s="4">
        <f t="shared" si="1"/>
        <v>66</v>
      </c>
    </row>
    <row r="38">
      <c r="A38" s="4">
        <f>IFERROR(__xludf.DUMMYFUNCTION("""COMPUTED_VALUE"""),8.6315357E7)</f>
        <v>86315357</v>
      </c>
      <c r="B38" s="4">
        <f>IFERROR(__xludf.DUMMYFUNCTION("""COMPUTED_VALUE"""),28.0)</f>
        <v>28</v>
      </c>
      <c r="C38" s="4">
        <f>IFERROR(__xludf.DUMMYFUNCTION("""COMPUTED_VALUE"""),2.0)</f>
        <v>2</v>
      </c>
      <c r="D38" s="4">
        <f>IFERROR(__xludf.DUMMYFUNCTION("""COMPUTED_VALUE"""),6134424.0)</f>
        <v>6134424</v>
      </c>
      <c r="E38" s="5">
        <f t="array" ref="E38">XLOOKUP(D:D,orders!A:A,orders!B:B)</f>
        <v>44303</v>
      </c>
      <c r="F38" s="4">
        <f t="shared" si="1"/>
        <v>56</v>
      </c>
    </row>
    <row r="39">
      <c r="A39" s="4">
        <f>IFERROR(__xludf.DUMMYFUNCTION("""COMPUTED_VALUE"""),2.2957446E7)</f>
        <v>22957446</v>
      </c>
      <c r="B39" s="4">
        <f>IFERROR(__xludf.DUMMYFUNCTION("""COMPUTED_VALUE"""),108.0)</f>
        <v>108</v>
      </c>
      <c r="C39" s="4">
        <f>IFERROR(__xludf.DUMMYFUNCTION("""COMPUTED_VALUE"""),3.0)</f>
        <v>3</v>
      </c>
      <c r="D39" s="4">
        <f>IFERROR(__xludf.DUMMYFUNCTION("""COMPUTED_VALUE"""),9897470.0)</f>
        <v>9897470</v>
      </c>
      <c r="E39" s="5">
        <f t="array" ref="E39">XLOOKUP(D:D,orders!A:A,orders!B:B)</f>
        <v>44318</v>
      </c>
      <c r="F39" s="4">
        <f t="shared" si="1"/>
        <v>324</v>
      </c>
    </row>
    <row r="40">
      <c r="A40" s="4">
        <f>IFERROR(__xludf.DUMMYFUNCTION("""COMPUTED_VALUE"""),2.8793798E7)</f>
        <v>28793798</v>
      </c>
      <c r="B40" s="4">
        <f>IFERROR(__xludf.DUMMYFUNCTION("""COMPUTED_VALUE"""),92.0)</f>
        <v>92</v>
      </c>
      <c r="C40" s="4">
        <f>IFERROR(__xludf.DUMMYFUNCTION("""COMPUTED_VALUE"""),2.0)</f>
        <v>2</v>
      </c>
      <c r="D40" s="4">
        <f>IFERROR(__xludf.DUMMYFUNCTION("""COMPUTED_VALUE"""),3391436.0)</f>
        <v>3391436</v>
      </c>
      <c r="E40" s="5">
        <f t="array" ref="E40">XLOOKUP(D:D,orders!A:A,orders!B:B)</f>
        <v>44367</v>
      </c>
      <c r="F40" s="4">
        <f t="shared" si="1"/>
        <v>184</v>
      </c>
    </row>
    <row r="41">
      <c r="A41" s="4">
        <f>IFERROR(__xludf.DUMMYFUNCTION("""COMPUTED_VALUE"""),5.8042976E7)</f>
        <v>58042976</v>
      </c>
      <c r="B41" s="4">
        <f>IFERROR(__xludf.DUMMYFUNCTION("""COMPUTED_VALUE"""),57.0)</f>
        <v>57</v>
      </c>
      <c r="C41" s="4">
        <f>IFERROR(__xludf.DUMMYFUNCTION("""COMPUTED_VALUE"""),1.0)</f>
        <v>1</v>
      </c>
      <c r="D41" s="4">
        <f>IFERROR(__xludf.DUMMYFUNCTION("""COMPUTED_VALUE"""),2950813.0)</f>
        <v>2950813</v>
      </c>
      <c r="E41" s="5">
        <f t="array" ref="E41">XLOOKUP(D:D,orders!A:A,orders!B:B)</f>
        <v>44820</v>
      </c>
      <c r="F41" s="4">
        <f t="shared" si="1"/>
        <v>57</v>
      </c>
    </row>
    <row r="42">
      <c r="A42" s="4">
        <f>IFERROR(__xludf.DUMMYFUNCTION("""COMPUTED_VALUE"""),6.6137137E7)</f>
        <v>66137137</v>
      </c>
      <c r="B42" s="4">
        <f>IFERROR(__xludf.DUMMYFUNCTION("""COMPUTED_VALUE"""),110.0)</f>
        <v>110</v>
      </c>
      <c r="C42" s="4">
        <f>IFERROR(__xludf.DUMMYFUNCTION("""COMPUTED_VALUE"""),3.0)</f>
        <v>3</v>
      </c>
      <c r="D42" s="4">
        <f>IFERROR(__xludf.DUMMYFUNCTION("""COMPUTED_VALUE"""),5121392.0)</f>
        <v>5121392</v>
      </c>
      <c r="E42" s="5">
        <f t="array" ref="E42">XLOOKUP(D:D,orders!A:A,orders!B:B)</f>
        <v>44662</v>
      </c>
      <c r="F42" s="4">
        <f t="shared" si="1"/>
        <v>330</v>
      </c>
    </row>
    <row r="43">
      <c r="A43" s="4">
        <f>IFERROR(__xludf.DUMMYFUNCTION("""COMPUTED_VALUE"""),3.5303594E7)</f>
        <v>35303594</v>
      </c>
      <c r="B43" s="4">
        <f>IFERROR(__xludf.DUMMYFUNCTION("""COMPUTED_VALUE"""),47.0)</f>
        <v>47</v>
      </c>
      <c r="C43" s="4">
        <f>IFERROR(__xludf.DUMMYFUNCTION("""COMPUTED_VALUE"""),3.0)</f>
        <v>3</v>
      </c>
      <c r="D43" s="4">
        <f>IFERROR(__xludf.DUMMYFUNCTION("""COMPUTED_VALUE"""),6208865.0)</f>
        <v>6208865</v>
      </c>
      <c r="E43" s="5">
        <f t="array" ref="E43">XLOOKUP(D:D,orders!A:A,orders!B:B)</f>
        <v>44769</v>
      </c>
      <c r="F43" s="4">
        <f t="shared" si="1"/>
        <v>141</v>
      </c>
    </row>
    <row r="44">
      <c r="A44" s="4">
        <f>IFERROR(__xludf.DUMMYFUNCTION("""COMPUTED_VALUE"""),7.2586278E7)</f>
        <v>72586278</v>
      </c>
      <c r="B44" s="4">
        <f>IFERROR(__xludf.DUMMYFUNCTION("""COMPUTED_VALUE"""),117.0)</f>
        <v>117</v>
      </c>
      <c r="C44" s="4">
        <f>IFERROR(__xludf.DUMMYFUNCTION("""COMPUTED_VALUE"""),3.0)</f>
        <v>3</v>
      </c>
      <c r="D44" s="4">
        <f>IFERROR(__xludf.DUMMYFUNCTION("""COMPUTED_VALUE"""),6010670.0)</f>
        <v>6010670</v>
      </c>
      <c r="E44" s="5">
        <f t="array" ref="E44">XLOOKUP(D:D,orders!A:A,orders!B:B)</f>
        <v>44718</v>
      </c>
      <c r="F44" s="4">
        <f t="shared" si="1"/>
        <v>351</v>
      </c>
    </row>
    <row r="45">
      <c r="A45" s="4">
        <f>IFERROR(__xludf.DUMMYFUNCTION("""COMPUTED_VALUE"""),1.3521913E7)</f>
        <v>13521913</v>
      </c>
      <c r="B45" s="4">
        <f>IFERROR(__xludf.DUMMYFUNCTION("""COMPUTED_VALUE"""),104.0)</f>
        <v>104</v>
      </c>
      <c r="C45" s="4">
        <f>IFERROR(__xludf.DUMMYFUNCTION("""COMPUTED_VALUE"""),3.0)</f>
        <v>3</v>
      </c>
      <c r="D45" s="4">
        <f>IFERROR(__xludf.DUMMYFUNCTION("""COMPUTED_VALUE"""),3850495.0)</f>
        <v>3850495</v>
      </c>
      <c r="E45" s="5">
        <f t="array" ref="E45">XLOOKUP(D:D,orders!A:A,orders!B:B)</f>
        <v>44281</v>
      </c>
      <c r="F45" s="4">
        <f t="shared" si="1"/>
        <v>312</v>
      </c>
    </row>
    <row r="46">
      <c r="A46" s="4">
        <f>IFERROR(__xludf.DUMMYFUNCTION("""COMPUTED_VALUE"""),3.7423352E7)</f>
        <v>37423352</v>
      </c>
      <c r="B46" s="4">
        <f>IFERROR(__xludf.DUMMYFUNCTION("""COMPUTED_VALUE"""),93.0)</f>
        <v>93</v>
      </c>
      <c r="C46" s="4">
        <f>IFERROR(__xludf.DUMMYFUNCTION("""COMPUTED_VALUE"""),3.0)</f>
        <v>3</v>
      </c>
      <c r="D46" s="4">
        <f>IFERROR(__xludf.DUMMYFUNCTION("""COMPUTED_VALUE"""),1310870.0)</f>
        <v>1310870</v>
      </c>
      <c r="E46" s="5">
        <f t="array" ref="E46">XLOOKUP(D:D,orders!A:A,orders!B:B)</f>
        <v>44470</v>
      </c>
      <c r="F46" s="4">
        <f t="shared" si="1"/>
        <v>279</v>
      </c>
    </row>
    <row r="47">
      <c r="A47" s="4">
        <f>IFERROR(__xludf.DUMMYFUNCTION("""COMPUTED_VALUE"""),7.9344299E7)</f>
        <v>79344299</v>
      </c>
      <c r="B47" s="4">
        <f>IFERROR(__xludf.DUMMYFUNCTION("""COMPUTED_VALUE"""),82.0)</f>
        <v>82</v>
      </c>
      <c r="C47" s="4">
        <f>IFERROR(__xludf.DUMMYFUNCTION("""COMPUTED_VALUE"""),1.0)</f>
        <v>1</v>
      </c>
      <c r="D47" s="4">
        <f>IFERROR(__xludf.DUMMYFUNCTION("""COMPUTED_VALUE"""),2439984.0)</f>
        <v>2439984</v>
      </c>
      <c r="E47" s="5">
        <f t="array" ref="E47">XLOOKUP(D:D,orders!A:A,orders!B:B)</f>
        <v>44495</v>
      </c>
      <c r="F47" s="4">
        <f t="shared" si="1"/>
        <v>82</v>
      </c>
    </row>
    <row r="48">
      <c r="A48" s="4">
        <f>IFERROR(__xludf.DUMMYFUNCTION("""COMPUTED_VALUE"""),5.4333145E7)</f>
        <v>54333145</v>
      </c>
      <c r="B48" s="4">
        <f>IFERROR(__xludf.DUMMYFUNCTION("""COMPUTED_VALUE"""),44.0)</f>
        <v>44</v>
      </c>
      <c r="C48" s="4">
        <f>IFERROR(__xludf.DUMMYFUNCTION("""COMPUTED_VALUE"""),2.0)</f>
        <v>2</v>
      </c>
      <c r="D48" s="4">
        <f>IFERROR(__xludf.DUMMYFUNCTION("""COMPUTED_VALUE"""),9205474.0)</f>
        <v>9205474</v>
      </c>
      <c r="E48" s="5">
        <f t="array" ref="E48">XLOOKUP(D:D,orders!A:A,orders!B:B)</f>
        <v>44474</v>
      </c>
      <c r="F48" s="4">
        <f t="shared" si="1"/>
        <v>88</v>
      </c>
    </row>
    <row r="49">
      <c r="A49" s="4">
        <f>IFERROR(__xludf.DUMMYFUNCTION("""COMPUTED_VALUE"""),1.9750615E7)</f>
        <v>19750615</v>
      </c>
      <c r="B49" s="4">
        <f>IFERROR(__xludf.DUMMYFUNCTION("""COMPUTED_VALUE"""),31.0)</f>
        <v>31</v>
      </c>
      <c r="C49" s="4">
        <f>IFERROR(__xludf.DUMMYFUNCTION("""COMPUTED_VALUE"""),3.0)</f>
        <v>3</v>
      </c>
      <c r="D49" s="4">
        <f>IFERROR(__xludf.DUMMYFUNCTION("""COMPUTED_VALUE"""),3185077.0)</f>
        <v>3185077</v>
      </c>
      <c r="E49" s="5">
        <f t="array" ref="E49">XLOOKUP(D:D,orders!A:A,orders!B:B)</f>
        <v>44523</v>
      </c>
      <c r="F49" s="4">
        <f t="shared" si="1"/>
        <v>93</v>
      </c>
    </row>
    <row r="50">
      <c r="A50" s="4">
        <f>IFERROR(__xludf.DUMMYFUNCTION("""COMPUTED_VALUE"""),9.2394194E7)</f>
        <v>92394194</v>
      </c>
      <c r="B50" s="4">
        <f>IFERROR(__xludf.DUMMYFUNCTION("""COMPUTED_VALUE"""),90.0)</f>
        <v>90</v>
      </c>
      <c r="C50" s="4">
        <f>IFERROR(__xludf.DUMMYFUNCTION("""COMPUTED_VALUE"""),3.0)</f>
        <v>3</v>
      </c>
      <c r="D50" s="4">
        <f>IFERROR(__xludf.DUMMYFUNCTION("""COMPUTED_VALUE"""),1089001.0)</f>
        <v>1089001</v>
      </c>
      <c r="E50" s="5">
        <f t="array" ref="E50">XLOOKUP(D:D,orders!A:A,orders!B:B)</f>
        <v>44452</v>
      </c>
      <c r="F50" s="4">
        <f t="shared" si="1"/>
        <v>270</v>
      </c>
    </row>
    <row r="51">
      <c r="A51" s="4">
        <f>IFERROR(__xludf.DUMMYFUNCTION("""COMPUTED_VALUE"""),2.1034697E7)</f>
        <v>21034697</v>
      </c>
      <c r="B51" s="4">
        <f>IFERROR(__xludf.DUMMYFUNCTION("""COMPUTED_VALUE"""),56.0)</f>
        <v>56</v>
      </c>
      <c r="C51" s="4">
        <f>IFERROR(__xludf.DUMMYFUNCTION("""COMPUTED_VALUE"""),1.0)</f>
        <v>1</v>
      </c>
      <c r="D51" s="4">
        <f>IFERROR(__xludf.DUMMYFUNCTION("""COMPUTED_VALUE"""),8765313.0)</f>
        <v>8765313</v>
      </c>
      <c r="E51" s="5">
        <f t="array" ref="E51">XLOOKUP(D:D,orders!A:A,orders!B:B)</f>
        <v>44491</v>
      </c>
      <c r="F51" s="4">
        <f t="shared" si="1"/>
        <v>56</v>
      </c>
    </row>
    <row r="52">
      <c r="A52" s="4">
        <f>IFERROR(__xludf.DUMMYFUNCTION("""COMPUTED_VALUE"""),7.9115369E7)</f>
        <v>79115369</v>
      </c>
      <c r="B52" s="4">
        <f>IFERROR(__xludf.DUMMYFUNCTION("""COMPUTED_VALUE"""),79.0)</f>
        <v>79</v>
      </c>
      <c r="C52" s="4">
        <f>IFERROR(__xludf.DUMMYFUNCTION("""COMPUTED_VALUE"""),3.0)</f>
        <v>3</v>
      </c>
      <c r="D52" s="4">
        <f>IFERROR(__xludf.DUMMYFUNCTION("""COMPUTED_VALUE"""),5930708.0)</f>
        <v>5930708</v>
      </c>
      <c r="E52" s="5">
        <f t="array" ref="E52">XLOOKUP(D:D,orders!A:A,orders!B:B)</f>
        <v>44366</v>
      </c>
      <c r="F52" s="4">
        <f t="shared" si="1"/>
        <v>237</v>
      </c>
    </row>
    <row r="53">
      <c r="A53" s="4">
        <f>IFERROR(__xludf.DUMMYFUNCTION("""COMPUTED_VALUE"""),2.7465096E7)</f>
        <v>27465096</v>
      </c>
      <c r="B53" s="4">
        <f>IFERROR(__xludf.DUMMYFUNCTION("""COMPUTED_VALUE"""),74.0)</f>
        <v>74</v>
      </c>
      <c r="C53" s="4">
        <f>IFERROR(__xludf.DUMMYFUNCTION("""COMPUTED_VALUE"""),2.0)</f>
        <v>2</v>
      </c>
      <c r="D53" s="4">
        <f>IFERROR(__xludf.DUMMYFUNCTION("""COMPUTED_VALUE"""),5291324.0)</f>
        <v>5291324</v>
      </c>
      <c r="E53" s="5">
        <f t="array" ref="E53">XLOOKUP(D:D,orders!A:A,orders!B:B)</f>
        <v>44472</v>
      </c>
      <c r="F53" s="4">
        <f t="shared" si="1"/>
        <v>148</v>
      </c>
    </row>
    <row r="54">
      <c r="A54" s="4">
        <f>IFERROR(__xludf.DUMMYFUNCTION("""COMPUTED_VALUE"""),2.7288499E7)</f>
        <v>27288499</v>
      </c>
      <c r="B54" s="4">
        <f>IFERROR(__xludf.DUMMYFUNCTION("""COMPUTED_VALUE"""),40.0)</f>
        <v>40</v>
      </c>
      <c r="C54" s="4">
        <f>IFERROR(__xludf.DUMMYFUNCTION("""COMPUTED_VALUE"""),2.0)</f>
        <v>2</v>
      </c>
      <c r="D54" s="4">
        <f>IFERROR(__xludf.DUMMYFUNCTION("""COMPUTED_VALUE"""),3393817.0)</f>
        <v>3393817</v>
      </c>
      <c r="E54" s="5">
        <f t="array" ref="E54">XLOOKUP(D:D,orders!A:A,orders!B:B)</f>
        <v>44552</v>
      </c>
      <c r="F54" s="4">
        <f t="shared" si="1"/>
        <v>80</v>
      </c>
    </row>
    <row r="55">
      <c r="A55" s="4">
        <f>IFERROR(__xludf.DUMMYFUNCTION("""COMPUTED_VALUE"""),9.3106897E7)</f>
        <v>93106897</v>
      </c>
      <c r="B55" s="4">
        <f>IFERROR(__xludf.DUMMYFUNCTION("""COMPUTED_VALUE"""),23.0)</f>
        <v>23</v>
      </c>
      <c r="C55" s="4">
        <f>IFERROR(__xludf.DUMMYFUNCTION("""COMPUTED_VALUE"""),1.0)</f>
        <v>1</v>
      </c>
      <c r="D55" s="4">
        <f>IFERROR(__xludf.DUMMYFUNCTION("""COMPUTED_VALUE"""),1933991.0)</f>
        <v>1933991</v>
      </c>
      <c r="E55" s="5">
        <f t="array" ref="E55">XLOOKUP(D:D,orders!A:A,orders!B:B)</f>
        <v>44401</v>
      </c>
      <c r="F55" s="4">
        <f t="shared" si="1"/>
        <v>23</v>
      </c>
    </row>
    <row r="56">
      <c r="A56" s="4">
        <f>IFERROR(__xludf.DUMMYFUNCTION("""COMPUTED_VALUE"""),6.7088547E7)</f>
        <v>67088547</v>
      </c>
      <c r="B56" s="4">
        <f>IFERROR(__xludf.DUMMYFUNCTION("""COMPUTED_VALUE"""),109.0)</f>
        <v>109</v>
      </c>
      <c r="C56" s="4">
        <f>IFERROR(__xludf.DUMMYFUNCTION("""COMPUTED_VALUE"""),2.0)</f>
        <v>2</v>
      </c>
      <c r="D56" s="4">
        <f>IFERROR(__xludf.DUMMYFUNCTION("""COMPUTED_VALUE"""),9816128.0)</f>
        <v>9816128</v>
      </c>
      <c r="E56" s="5">
        <f t="array" ref="E56">XLOOKUP(D:D,orders!A:A,orders!B:B)</f>
        <v>44878</v>
      </c>
      <c r="F56" s="4">
        <f t="shared" si="1"/>
        <v>218</v>
      </c>
    </row>
    <row r="57">
      <c r="A57" s="4">
        <f>IFERROR(__xludf.DUMMYFUNCTION("""COMPUTED_VALUE"""),4.6818111E7)</f>
        <v>46818111</v>
      </c>
      <c r="B57" s="4">
        <f>IFERROR(__xludf.DUMMYFUNCTION("""COMPUTED_VALUE"""),20.0)</f>
        <v>20</v>
      </c>
      <c r="C57" s="4">
        <f>IFERROR(__xludf.DUMMYFUNCTION("""COMPUTED_VALUE"""),1.0)</f>
        <v>1</v>
      </c>
      <c r="D57" s="4">
        <f>IFERROR(__xludf.DUMMYFUNCTION("""COMPUTED_VALUE"""),4657353.0)</f>
        <v>4657353</v>
      </c>
      <c r="E57" s="5">
        <f t="array" ref="E57">XLOOKUP(D:D,orders!A:A,orders!B:B)</f>
        <v>44900</v>
      </c>
      <c r="F57" s="4">
        <f t="shared" si="1"/>
        <v>20</v>
      </c>
    </row>
    <row r="58">
      <c r="A58" s="4">
        <f>IFERROR(__xludf.DUMMYFUNCTION("""COMPUTED_VALUE"""),4.4314266E7)</f>
        <v>44314266</v>
      </c>
      <c r="B58" s="4">
        <f>IFERROR(__xludf.DUMMYFUNCTION("""COMPUTED_VALUE"""),83.0)</f>
        <v>83</v>
      </c>
      <c r="C58" s="4">
        <f>IFERROR(__xludf.DUMMYFUNCTION("""COMPUTED_VALUE"""),1.0)</f>
        <v>1</v>
      </c>
      <c r="D58" s="4">
        <f>IFERROR(__xludf.DUMMYFUNCTION("""COMPUTED_VALUE"""),2473988.0)</f>
        <v>2473988</v>
      </c>
      <c r="E58" s="5">
        <f t="array" ref="E58">XLOOKUP(D:D,orders!A:A,orders!B:B)</f>
        <v>44216</v>
      </c>
      <c r="F58" s="4">
        <f t="shared" si="1"/>
        <v>83</v>
      </c>
    </row>
    <row r="59">
      <c r="A59" s="4">
        <f>IFERROR(__xludf.DUMMYFUNCTION("""COMPUTED_VALUE"""),1.5072793E7)</f>
        <v>15072793</v>
      </c>
      <c r="B59" s="4">
        <f>IFERROR(__xludf.DUMMYFUNCTION("""COMPUTED_VALUE"""),43.0)</f>
        <v>43</v>
      </c>
      <c r="C59" s="4">
        <f>IFERROR(__xludf.DUMMYFUNCTION("""COMPUTED_VALUE"""),1.0)</f>
        <v>1</v>
      </c>
      <c r="D59" s="4">
        <f>IFERROR(__xludf.DUMMYFUNCTION("""COMPUTED_VALUE"""),9790250.0)</f>
        <v>9790250</v>
      </c>
      <c r="E59" s="5">
        <f t="array" ref="E59">XLOOKUP(D:D,orders!A:A,orders!B:B)</f>
        <v>44819</v>
      </c>
      <c r="F59" s="4">
        <f t="shared" si="1"/>
        <v>43</v>
      </c>
    </row>
    <row r="60">
      <c r="A60" s="4">
        <f>IFERROR(__xludf.DUMMYFUNCTION("""COMPUTED_VALUE"""),6.7824484E7)</f>
        <v>67824484</v>
      </c>
      <c r="B60" s="4">
        <f>IFERROR(__xludf.DUMMYFUNCTION("""COMPUTED_VALUE"""),56.0)</f>
        <v>56</v>
      </c>
      <c r="C60" s="4">
        <f>IFERROR(__xludf.DUMMYFUNCTION("""COMPUTED_VALUE"""),2.0)</f>
        <v>2</v>
      </c>
      <c r="D60" s="4">
        <f>IFERROR(__xludf.DUMMYFUNCTION("""COMPUTED_VALUE"""),2607086.0)</f>
        <v>2607086</v>
      </c>
      <c r="E60" s="5">
        <f t="array" ref="E60">XLOOKUP(D:D,orders!A:A,orders!B:B)</f>
        <v>44786</v>
      </c>
      <c r="F60" s="4">
        <f t="shared" si="1"/>
        <v>112</v>
      </c>
    </row>
    <row r="61">
      <c r="A61" s="4">
        <f>IFERROR(__xludf.DUMMYFUNCTION("""COMPUTED_VALUE"""),2.9548892E7)</f>
        <v>29548892</v>
      </c>
      <c r="B61" s="4">
        <f>IFERROR(__xludf.DUMMYFUNCTION("""COMPUTED_VALUE"""),60.0)</f>
        <v>60</v>
      </c>
      <c r="C61" s="4">
        <f>IFERROR(__xludf.DUMMYFUNCTION("""COMPUTED_VALUE"""),3.0)</f>
        <v>3</v>
      </c>
      <c r="D61" s="4">
        <f>IFERROR(__xludf.DUMMYFUNCTION("""COMPUTED_VALUE"""),9427009.0)</f>
        <v>9427009</v>
      </c>
      <c r="E61" s="5">
        <f t="array" ref="E61">XLOOKUP(D:D,orders!A:A,orders!B:B)</f>
        <v>44648</v>
      </c>
      <c r="F61" s="4">
        <f t="shared" si="1"/>
        <v>180</v>
      </c>
    </row>
    <row r="62">
      <c r="A62" s="4">
        <f>IFERROR(__xludf.DUMMYFUNCTION("""COMPUTED_VALUE"""),4.089479E7)</f>
        <v>40894790</v>
      </c>
      <c r="B62" s="4">
        <f>IFERROR(__xludf.DUMMYFUNCTION("""COMPUTED_VALUE"""),46.0)</f>
        <v>46</v>
      </c>
      <c r="C62" s="4">
        <f>IFERROR(__xludf.DUMMYFUNCTION("""COMPUTED_VALUE"""),2.0)</f>
        <v>2</v>
      </c>
      <c r="D62" s="4">
        <f>IFERROR(__xludf.DUMMYFUNCTION("""COMPUTED_VALUE"""),3361762.0)</f>
        <v>3361762</v>
      </c>
      <c r="E62" s="5">
        <f t="array" ref="E62">XLOOKUP(D:D,orders!A:A,orders!B:B)</f>
        <v>44722</v>
      </c>
      <c r="F62" s="4">
        <f t="shared" si="1"/>
        <v>92</v>
      </c>
    </row>
    <row r="63">
      <c r="A63" s="4">
        <f>IFERROR(__xludf.DUMMYFUNCTION("""COMPUTED_VALUE"""),2.604897E7)</f>
        <v>26048970</v>
      </c>
      <c r="B63" s="4">
        <f>IFERROR(__xludf.DUMMYFUNCTION("""COMPUTED_VALUE"""),93.0)</f>
        <v>93</v>
      </c>
      <c r="C63" s="4">
        <f>IFERROR(__xludf.DUMMYFUNCTION("""COMPUTED_VALUE"""),2.0)</f>
        <v>2</v>
      </c>
      <c r="D63" s="4">
        <f>IFERROR(__xludf.DUMMYFUNCTION("""COMPUTED_VALUE"""),2053909.0)</f>
        <v>2053909</v>
      </c>
      <c r="E63" s="5">
        <f t="array" ref="E63">XLOOKUP(D:D,orders!A:A,orders!B:B)</f>
        <v>44615</v>
      </c>
      <c r="F63" s="4">
        <f t="shared" si="1"/>
        <v>186</v>
      </c>
    </row>
    <row r="64">
      <c r="A64" s="4">
        <f>IFERROR(__xludf.DUMMYFUNCTION("""COMPUTED_VALUE"""),1.560942E7)</f>
        <v>15609420</v>
      </c>
      <c r="B64" s="4">
        <f>IFERROR(__xludf.DUMMYFUNCTION("""COMPUTED_VALUE"""),52.0)</f>
        <v>52</v>
      </c>
      <c r="C64" s="4">
        <f>IFERROR(__xludf.DUMMYFUNCTION("""COMPUTED_VALUE"""),1.0)</f>
        <v>1</v>
      </c>
      <c r="D64" s="4">
        <f>IFERROR(__xludf.DUMMYFUNCTION("""COMPUTED_VALUE"""),6941406.0)</f>
        <v>6941406</v>
      </c>
      <c r="E64" s="5">
        <f t="array" ref="E64">XLOOKUP(D:D,orders!A:A,orders!B:B)</f>
        <v>44451</v>
      </c>
      <c r="F64" s="4">
        <f t="shared" si="1"/>
        <v>52</v>
      </c>
    </row>
    <row r="65">
      <c r="A65" s="4">
        <f>IFERROR(__xludf.DUMMYFUNCTION("""COMPUTED_VALUE"""),3.0649974E7)</f>
        <v>30649974</v>
      </c>
      <c r="B65" s="4">
        <f>IFERROR(__xludf.DUMMYFUNCTION("""COMPUTED_VALUE"""),74.0)</f>
        <v>74</v>
      </c>
      <c r="C65" s="4">
        <f>IFERROR(__xludf.DUMMYFUNCTION("""COMPUTED_VALUE"""),1.0)</f>
        <v>1</v>
      </c>
      <c r="D65" s="4">
        <f>IFERROR(__xludf.DUMMYFUNCTION("""COMPUTED_VALUE"""),6781240.0)</f>
        <v>6781240</v>
      </c>
      <c r="E65" s="5">
        <f t="array" ref="E65">XLOOKUP(D:D,orders!A:A,orders!B:B)</f>
        <v>44801</v>
      </c>
      <c r="F65" s="4">
        <f t="shared" si="1"/>
        <v>74</v>
      </c>
    </row>
    <row r="66">
      <c r="A66" s="4">
        <f>IFERROR(__xludf.DUMMYFUNCTION("""COMPUTED_VALUE"""),8.8632594E7)</f>
        <v>88632594</v>
      </c>
      <c r="B66" s="4">
        <f>IFERROR(__xludf.DUMMYFUNCTION("""COMPUTED_VALUE"""),60.0)</f>
        <v>60</v>
      </c>
      <c r="C66" s="4">
        <f>IFERROR(__xludf.DUMMYFUNCTION("""COMPUTED_VALUE"""),3.0)</f>
        <v>3</v>
      </c>
      <c r="D66" s="4">
        <f>IFERROR(__xludf.DUMMYFUNCTION("""COMPUTED_VALUE"""),2129153.0)</f>
        <v>2129153</v>
      </c>
      <c r="E66" s="5">
        <f t="array" ref="E66">XLOOKUP(D:D,orders!A:A,orders!B:B)</f>
        <v>44615</v>
      </c>
      <c r="F66" s="4">
        <f t="shared" si="1"/>
        <v>180</v>
      </c>
    </row>
    <row r="67">
      <c r="A67" s="4">
        <f>IFERROR(__xludf.DUMMYFUNCTION("""COMPUTED_VALUE"""),1.5513939E7)</f>
        <v>15513939</v>
      </c>
      <c r="B67" s="4">
        <f>IFERROR(__xludf.DUMMYFUNCTION("""COMPUTED_VALUE"""),30.0)</f>
        <v>30</v>
      </c>
      <c r="C67" s="4">
        <f>IFERROR(__xludf.DUMMYFUNCTION("""COMPUTED_VALUE"""),1.0)</f>
        <v>1</v>
      </c>
      <c r="D67" s="4">
        <f>IFERROR(__xludf.DUMMYFUNCTION("""COMPUTED_VALUE"""),5965621.0)</f>
        <v>5965621</v>
      </c>
      <c r="E67" s="5">
        <f t="array" ref="E67">XLOOKUP(D:D,orders!A:A,orders!B:B)</f>
        <v>44708</v>
      </c>
      <c r="F67" s="4">
        <f t="shared" si="1"/>
        <v>30</v>
      </c>
    </row>
    <row r="68">
      <c r="A68" s="4">
        <f>IFERROR(__xludf.DUMMYFUNCTION("""COMPUTED_VALUE"""),8.4297865E7)</f>
        <v>84297865</v>
      </c>
      <c r="B68" s="4">
        <f>IFERROR(__xludf.DUMMYFUNCTION("""COMPUTED_VALUE"""),89.0)</f>
        <v>89</v>
      </c>
      <c r="C68" s="4">
        <f>IFERROR(__xludf.DUMMYFUNCTION("""COMPUTED_VALUE"""),1.0)</f>
        <v>1</v>
      </c>
      <c r="D68" s="4">
        <f>IFERROR(__xludf.DUMMYFUNCTION("""COMPUTED_VALUE"""),2836359.0)</f>
        <v>2836359</v>
      </c>
      <c r="E68" s="5">
        <f t="array" ref="E68">XLOOKUP(D:D,orders!A:A,orders!B:B)</f>
        <v>44642</v>
      </c>
      <c r="F68" s="4">
        <f t="shared" si="1"/>
        <v>89</v>
      </c>
    </row>
    <row r="69">
      <c r="A69" s="4">
        <f>IFERROR(__xludf.DUMMYFUNCTION("""COMPUTED_VALUE"""),5.5700843E7)</f>
        <v>55700843</v>
      </c>
      <c r="B69" s="4">
        <f>IFERROR(__xludf.DUMMYFUNCTION("""COMPUTED_VALUE"""),104.0)</f>
        <v>104</v>
      </c>
      <c r="C69" s="4">
        <f>IFERROR(__xludf.DUMMYFUNCTION("""COMPUTED_VALUE"""),3.0)</f>
        <v>3</v>
      </c>
      <c r="D69" s="4">
        <f>IFERROR(__xludf.DUMMYFUNCTION("""COMPUTED_VALUE"""),8246297.0)</f>
        <v>8246297</v>
      </c>
      <c r="E69" s="5">
        <f t="array" ref="E69">XLOOKUP(D:D,orders!A:A,orders!B:B)</f>
        <v>44593</v>
      </c>
      <c r="F69" s="4">
        <f t="shared" si="1"/>
        <v>312</v>
      </c>
    </row>
    <row r="70">
      <c r="A70" s="4">
        <f>IFERROR(__xludf.DUMMYFUNCTION("""COMPUTED_VALUE"""),3.4344983E7)</f>
        <v>34344983</v>
      </c>
      <c r="B70" s="4">
        <f>IFERROR(__xludf.DUMMYFUNCTION("""COMPUTED_VALUE"""),59.0)</f>
        <v>59</v>
      </c>
      <c r="C70" s="4">
        <f>IFERROR(__xludf.DUMMYFUNCTION("""COMPUTED_VALUE"""),2.0)</f>
        <v>2</v>
      </c>
      <c r="D70" s="4">
        <f>IFERROR(__xludf.DUMMYFUNCTION("""COMPUTED_VALUE"""),2352591.0)</f>
        <v>2352591</v>
      </c>
      <c r="E70" s="5">
        <f t="array" ref="E70">XLOOKUP(D:D,orders!A:A,orders!B:B)</f>
        <v>44518</v>
      </c>
      <c r="F70" s="4">
        <f t="shared" si="1"/>
        <v>118</v>
      </c>
    </row>
    <row r="71">
      <c r="A71" s="4">
        <f>IFERROR(__xludf.DUMMYFUNCTION("""COMPUTED_VALUE"""),5.4930067E7)</f>
        <v>54930067</v>
      </c>
      <c r="B71" s="4">
        <f>IFERROR(__xludf.DUMMYFUNCTION("""COMPUTED_VALUE"""),118.0)</f>
        <v>118</v>
      </c>
      <c r="C71" s="4">
        <f>IFERROR(__xludf.DUMMYFUNCTION("""COMPUTED_VALUE"""),3.0)</f>
        <v>3</v>
      </c>
      <c r="D71" s="4">
        <f>IFERROR(__xludf.DUMMYFUNCTION("""COMPUTED_VALUE"""),1359028.0)</f>
        <v>1359028</v>
      </c>
      <c r="E71" s="5">
        <f t="array" ref="E71">XLOOKUP(D:D,orders!A:A,orders!B:B)</f>
        <v>44236</v>
      </c>
      <c r="F71" s="4">
        <f t="shared" si="1"/>
        <v>354</v>
      </c>
    </row>
    <row r="72">
      <c r="A72" s="4">
        <f>IFERROR(__xludf.DUMMYFUNCTION("""COMPUTED_VALUE"""),6.6658855E7)</f>
        <v>66658855</v>
      </c>
      <c r="B72" s="4">
        <f>IFERROR(__xludf.DUMMYFUNCTION("""COMPUTED_VALUE"""),99.0)</f>
        <v>99</v>
      </c>
      <c r="C72" s="4">
        <f>IFERROR(__xludf.DUMMYFUNCTION("""COMPUTED_VALUE"""),3.0)</f>
        <v>3</v>
      </c>
      <c r="D72" s="4">
        <f>IFERROR(__xludf.DUMMYFUNCTION("""COMPUTED_VALUE"""),9869978.0)</f>
        <v>9869978</v>
      </c>
      <c r="E72" s="5">
        <f t="array" ref="E72">XLOOKUP(D:D,orders!A:A,orders!B:B)</f>
        <v>44565</v>
      </c>
      <c r="F72" s="4">
        <f t="shared" si="1"/>
        <v>297</v>
      </c>
    </row>
    <row r="73">
      <c r="A73" s="4">
        <f>IFERROR(__xludf.DUMMYFUNCTION("""COMPUTED_VALUE"""),1.0516654E7)</f>
        <v>10516654</v>
      </c>
      <c r="B73" s="4">
        <f>IFERROR(__xludf.DUMMYFUNCTION("""COMPUTED_VALUE"""),87.0)</f>
        <v>87</v>
      </c>
      <c r="C73" s="4">
        <f>IFERROR(__xludf.DUMMYFUNCTION("""COMPUTED_VALUE"""),1.0)</f>
        <v>1</v>
      </c>
      <c r="D73" s="4">
        <f>IFERROR(__xludf.DUMMYFUNCTION("""COMPUTED_VALUE"""),6818166.0)</f>
        <v>6818166</v>
      </c>
      <c r="E73" s="5">
        <f t="array" ref="E73">XLOOKUP(D:D,orders!A:A,orders!B:B)</f>
        <v>44452</v>
      </c>
      <c r="F73" s="4">
        <f t="shared" si="1"/>
        <v>87</v>
      </c>
    </row>
    <row r="74">
      <c r="A74" s="4">
        <f>IFERROR(__xludf.DUMMYFUNCTION("""COMPUTED_VALUE"""),6.076918E7)</f>
        <v>60769180</v>
      </c>
      <c r="B74" s="4">
        <f>IFERROR(__xludf.DUMMYFUNCTION("""COMPUTED_VALUE"""),120.0)</f>
        <v>120</v>
      </c>
      <c r="C74" s="4">
        <f>IFERROR(__xludf.DUMMYFUNCTION("""COMPUTED_VALUE"""),3.0)</f>
        <v>3</v>
      </c>
      <c r="D74" s="4">
        <f>IFERROR(__xludf.DUMMYFUNCTION("""COMPUTED_VALUE"""),6170589.0)</f>
        <v>6170589</v>
      </c>
      <c r="E74" s="5">
        <f t="array" ref="E74">XLOOKUP(D:D,orders!A:A,orders!B:B)</f>
        <v>44465</v>
      </c>
      <c r="F74" s="4">
        <f t="shared" si="1"/>
        <v>360</v>
      </c>
    </row>
    <row r="75">
      <c r="A75" s="4">
        <f>IFERROR(__xludf.DUMMYFUNCTION("""COMPUTED_VALUE"""),1.8797443E7)</f>
        <v>18797443</v>
      </c>
      <c r="B75" s="4">
        <f>IFERROR(__xludf.DUMMYFUNCTION("""COMPUTED_VALUE"""),77.0)</f>
        <v>77</v>
      </c>
      <c r="C75" s="4">
        <f>IFERROR(__xludf.DUMMYFUNCTION("""COMPUTED_VALUE"""),2.0)</f>
        <v>2</v>
      </c>
      <c r="D75" s="4">
        <f>IFERROR(__xludf.DUMMYFUNCTION("""COMPUTED_VALUE"""),6285705.0)</f>
        <v>6285705</v>
      </c>
      <c r="E75" s="5">
        <f t="array" ref="E75">XLOOKUP(D:D,orders!A:A,orders!B:B)</f>
        <v>44334</v>
      </c>
      <c r="F75" s="4">
        <f t="shared" si="1"/>
        <v>154</v>
      </c>
    </row>
    <row r="76">
      <c r="A76" s="4">
        <f>IFERROR(__xludf.DUMMYFUNCTION("""COMPUTED_VALUE"""),1.9801848E7)</f>
        <v>19801848</v>
      </c>
      <c r="B76" s="4">
        <f>IFERROR(__xludf.DUMMYFUNCTION("""COMPUTED_VALUE"""),44.0)</f>
        <v>44</v>
      </c>
      <c r="C76" s="4">
        <f>IFERROR(__xludf.DUMMYFUNCTION("""COMPUTED_VALUE"""),3.0)</f>
        <v>3</v>
      </c>
      <c r="D76" s="4">
        <f>IFERROR(__xludf.DUMMYFUNCTION("""COMPUTED_VALUE"""),1097181.0)</f>
        <v>1097181</v>
      </c>
      <c r="E76" s="5">
        <f t="array" ref="E76">XLOOKUP(D:D,orders!A:A,orders!B:B)</f>
        <v>44657</v>
      </c>
      <c r="F76" s="4">
        <f t="shared" si="1"/>
        <v>132</v>
      </c>
    </row>
    <row r="77">
      <c r="A77" s="4">
        <f>IFERROR(__xludf.DUMMYFUNCTION("""COMPUTED_VALUE"""),1.3051281E7)</f>
        <v>13051281</v>
      </c>
      <c r="B77" s="4">
        <f>IFERROR(__xludf.DUMMYFUNCTION("""COMPUTED_VALUE"""),103.0)</f>
        <v>103</v>
      </c>
      <c r="C77" s="4">
        <f>IFERROR(__xludf.DUMMYFUNCTION("""COMPUTED_VALUE"""),1.0)</f>
        <v>1</v>
      </c>
      <c r="D77" s="4">
        <f>IFERROR(__xludf.DUMMYFUNCTION("""COMPUTED_VALUE"""),4368029.0)</f>
        <v>4368029</v>
      </c>
      <c r="E77" s="5">
        <f t="array" ref="E77">XLOOKUP(D:D,orders!A:A,orders!B:B)</f>
        <v>44400</v>
      </c>
      <c r="F77" s="4">
        <f t="shared" si="1"/>
        <v>103</v>
      </c>
    </row>
    <row r="78">
      <c r="A78" s="4">
        <f>IFERROR(__xludf.DUMMYFUNCTION("""COMPUTED_VALUE"""),5.5091634E7)</f>
        <v>55091634</v>
      </c>
      <c r="B78" s="4">
        <f>IFERROR(__xludf.DUMMYFUNCTION("""COMPUTED_VALUE"""),111.0)</f>
        <v>111</v>
      </c>
      <c r="C78" s="4">
        <f>IFERROR(__xludf.DUMMYFUNCTION("""COMPUTED_VALUE"""),2.0)</f>
        <v>2</v>
      </c>
      <c r="D78" s="4">
        <f>IFERROR(__xludf.DUMMYFUNCTION("""COMPUTED_VALUE"""),5275402.0)</f>
        <v>5275402</v>
      </c>
      <c r="E78" s="5">
        <f t="array" ref="E78">XLOOKUP(D:D,orders!A:A,orders!B:B)</f>
        <v>44295</v>
      </c>
      <c r="F78" s="4">
        <f t="shared" si="1"/>
        <v>222</v>
      </c>
    </row>
    <row r="79">
      <c r="A79" s="4">
        <f>IFERROR(__xludf.DUMMYFUNCTION("""COMPUTED_VALUE"""),4.7154134E7)</f>
        <v>47154134</v>
      </c>
      <c r="B79" s="4">
        <f>IFERROR(__xludf.DUMMYFUNCTION("""COMPUTED_VALUE"""),114.0)</f>
        <v>114</v>
      </c>
      <c r="C79" s="4">
        <f>IFERROR(__xludf.DUMMYFUNCTION("""COMPUTED_VALUE"""),2.0)</f>
        <v>2</v>
      </c>
      <c r="D79" s="4">
        <f>IFERROR(__xludf.DUMMYFUNCTION("""COMPUTED_VALUE"""),4717104.0)</f>
        <v>4717104</v>
      </c>
      <c r="E79" s="5">
        <f t="array" ref="E79">XLOOKUP(D:D,orders!A:A,orders!B:B)</f>
        <v>44506</v>
      </c>
      <c r="F79" s="4">
        <f t="shared" si="1"/>
        <v>228</v>
      </c>
    </row>
    <row r="80">
      <c r="A80" s="4">
        <f>IFERROR(__xludf.DUMMYFUNCTION("""COMPUTED_VALUE"""),2.5232386E7)</f>
        <v>25232386</v>
      </c>
      <c r="B80" s="4">
        <f>IFERROR(__xludf.DUMMYFUNCTION("""COMPUTED_VALUE"""),71.0)</f>
        <v>71</v>
      </c>
      <c r="C80" s="4">
        <f>IFERROR(__xludf.DUMMYFUNCTION("""COMPUTED_VALUE"""),2.0)</f>
        <v>2</v>
      </c>
      <c r="D80" s="4">
        <f>IFERROR(__xludf.DUMMYFUNCTION("""COMPUTED_VALUE"""),8172535.0)</f>
        <v>8172535</v>
      </c>
      <c r="E80" s="5">
        <f t="array" ref="E80">XLOOKUP(D:D,orders!A:A,orders!B:B)</f>
        <v>44441</v>
      </c>
      <c r="F80" s="4">
        <f t="shared" si="1"/>
        <v>142</v>
      </c>
    </row>
    <row r="81">
      <c r="A81" s="4">
        <f>IFERROR(__xludf.DUMMYFUNCTION("""COMPUTED_VALUE"""),9.3597517E7)</f>
        <v>93597517</v>
      </c>
      <c r="B81" s="4">
        <f>IFERROR(__xludf.DUMMYFUNCTION("""COMPUTED_VALUE"""),27.0)</f>
        <v>27</v>
      </c>
      <c r="C81" s="4">
        <f>IFERROR(__xludf.DUMMYFUNCTION("""COMPUTED_VALUE"""),1.0)</f>
        <v>1</v>
      </c>
      <c r="D81" s="4">
        <f>IFERROR(__xludf.DUMMYFUNCTION("""COMPUTED_VALUE"""),6761767.0)</f>
        <v>6761767</v>
      </c>
      <c r="E81" s="5">
        <f t="array" ref="E81">XLOOKUP(D:D,orders!A:A,orders!B:B)</f>
        <v>44303</v>
      </c>
      <c r="F81" s="4">
        <f t="shared" si="1"/>
        <v>27</v>
      </c>
    </row>
    <row r="82">
      <c r="A82" s="4">
        <f>IFERROR(__xludf.DUMMYFUNCTION("""COMPUTED_VALUE"""),3.9325268E7)</f>
        <v>39325268</v>
      </c>
      <c r="B82" s="4">
        <f>IFERROR(__xludf.DUMMYFUNCTION("""COMPUTED_VALUE"""),102.0)</f>
        <v>102</v>
      </c>
      <c r="C82" s="4">
        <f>IFERROR(__xludf.DUMMYFUNCTION("""COMPUTED_VALUE"""),2.0)</f>
        <v>2</v>
      </c>
      <c r="D82" s="4">
        <f>IFERROR(__xludf.DUMMYFUNCTION("""COMPUTED_VALUE"""),5820756.0)</f>
        <v>5820756</v>
      </c>
      <c r="E82" s="5">
        <f t="array" ref="E82">XLOOKUP(D:D,orders!A:A,orders!B:B)</f>
        <v>44298</v>
      </c>
      <c r="F82" s="4">
        <f t="shared" si="1"/>
        <v>204</v>
      </c>
    </row>
    <row r="83">
      <c r="A83" s="4">
        <f>IFERROR(__xludf.DUMMYFUNCTION("""COMPUTED_VALUE"""),6.2797061E7)</f>
        <v>62797061</v>
      </c>
      <c r="B83" s="4">
        <f>IFERROR(__xludf.DUMMYFUNCTION("""COMPUTED_VALUE"""),104.0)</f>
        <v>104</v>
      </c>
      <c r="C83" s="4">
        <f>IFERROR(__xludf.DUMMYFUNCTION("""COMPUTED_VALUE"""),2.0)</f>
        <v>2</v>
      </c>
      <c r="D83" s="4">
        <f>IFERROR(__xludf.DUMMYFUNCTION("""COMPUTED_VALUE"""),8583178.0)</f>
        <v>8583178</v>
      </c>
      <c r="E83" s="5">
        <f t="array" ref="E83">XLOOKUP(D:D,orders!A:A,orders!B:B)</f>
        <v>44902</v>
      </c>
      <c r="F83" s="4">
        <f t="shared" si="1"/>
        <v>208</v>
      </c>
    </row>
    <row r="84">
      <c r="A84" s="4">
        <f>IFERROR(__xludf.DUMMYFUNCTION("""COMPUTED_VALUE"""),5.936301E7)</f>
        <v>59363010</v>
      </c>
      <c r="B84" s="4">
        <f>IFERROR(__xludf.DUMMYFUNCTION("""COMPUTED_VALUE"""),60.0)</f>
        <v>60</v>
      </c>
      <c r="C84" s="4">
        <f>IFERROR(__xludf.DUMMYFUNCTION("""COMPUTED_VALUE"""),3.0)</f>
        <v>3</v>
      </c>
      <c r="D84" s="4">
        <f>IFERROR(__xludf.DUMMYFUNCTION("""COMPUTED_VALUE"""),6711081.0)</f>
        <v>6711081</v>
      </c>
      <c r="E84" s="5">
        <f t="array" ref="E84">XLOOKUP(D:D,orders!A:A,orders!B:B)</f>
        <v>44396</v>
      </c>
      <c r="F84" s="4">
        <f t="shared" si="1"/>
        <v>180</v>
      </c>
    </row>
    <row r="85">
      <c r="A85" s="4">
        <f>IFERROR(__xludf.DUMMYFUNCTION("""COMPUTED_VALUE"""),4.8243181E7)</f>
        <v>48243181</v>
      </c>
      <c r="B85" s="4">
        <f>IFERROR(__xludf.DUMMYFUNCTION("""COMPUTED_VALUE"""),95.0)</f>
        <v>95</v>
      </c>
      <c r="C85" s="4">
        <f>IFERROR(__xludf.DUMMYFUNCTION("""COMPUTED_VALUE"""),3.0)</f>
        <v>3</v>
      </c>
      <c r="D85" s="4">
        <f>IFERROR(__xludf.DUMMYFUNCTION("""COMPUTED_VALUE"""),1381396.0)</f>
        <v>1381396</v>
      </c>
      <c r="E85" s="5">
        <f t="array" ref="E85">XLOOKUP(D:D,orders!A:A,orders!B:B)</f>
        <v>44876</v>
      </c>
      <c r="F85" s="4">
        <f t="shared" si="1"/>
        <v>285</v>
      </c>
    </row>
    <row r="86">
      <c r="A86" s="4">
        <f>IFERROR(__xludf.DUMMYFUNCTION("""COMPUTED_VALUE"""),6.7740024E7)</f>
        <v>67740024</v>
      </c>
      <c r="B86" s="4">
        <f>IFERROR(__xludf.DUMMYFUNCTION("""COMPUTED_VALUE"""),67.0)</f>
        <v>67</v>
      </c>
      <c r="C86" s="4">
        <f>IFERROR(__xludf.DUMMYFUNCTION("""COMPUTED_VALUE"""),1.0)</f>
        <v>1</v>
      </c>
      <c r="D86" s="4">
        <f>IFERROR(__xludf.DUMMYFUNCTION("""COMPUTED_VALUE"""),8490432.0)</f>
        <v>8490432</v>
      </c>
      <c r="E86" s="5">
        <f t="array" ref="E86">XLOOKUP(D:D,orders!A:A,orders!B:B)</f>
        <v>44363</v>
      </c>
      <c r="F86" s="4">
        <f t="shared" si="1"/>
        <v>67</v>
      </c>
    </row>
    <row r="87">
      <c r="A87" s="4">
        <f>IFERROR(__xludf.DUMMYFUNCTION("""COMPUTED_VALUE"""),8.5569998E7)</f>
        <v>85569998</v>
      </c>
      <c r="B87" s="4">
        <f>IFERROR(__xludf.DUMMYFUNCTION("""COMPUTED_VALUE"""),45.0)</f>
        <v>45</v>
      </c>
      <c r="C87" s="4">
        <f>IFERROR(__xludf.DUMMYFUNCTION("""COMPUTED_VALUE"""),2.0)</f>
        <v>2</v>
      </c>
      <c r="D87" s="4">
        <f>IFERROR(__xludf.DUMMYFUNCTION("""COMPUTED_VALUE"""),8490355.0)</f>
        <v>8490355</v>
      </c>
      <c r="E87" s="5">
        <f t="array" ref="E87">XLOOKUP(D:D,orders!A:A,orders!B:B)</f>
        <v>44324</v>
      </c>
      <c r="F87" s="4">
        <f t="shared" si="1"/>
        <v>90</v>
      </c>
    </row>
    <row r="88">
      <c r="A88" s="4">
        <f>IFERROR(__xludf.DUMMYFUNCTION("""COMPUTED_VALUE"""),4.7892815E7)</f>
        <v>47892815</v>
      </c>
      <c r="B88" s="4">
        <f>IFERROR(__xludf.DUMMYFUNCTION("""COMPUTED_VALUE"""),56.0)</f>
        <v>56</v>
      </c>
      <c r="C88" s="4">
        <f>IFERROR(__xludf.DUMMYFUNCTION("""COMPUTED_VALUE"""),1.0)</f>
        <v>1</v>
      </c>
      <c r="D88" s="4">
        <f>IFERROR(__xludf.DUMMYFUNCTION("""COMPUTED_VALUE"""),6134424.0)</f>
        <v>6134424</v>
      </c>
      <c r="E88" s="5">
        <f t="array" ref="E88">XLOOKUP(D:D,orders!A:A,orders!B:B)</f>
        <v>44303</v>
      </c>
      <c r="F88" s="4">
        <f t="shared" si="1"/>
        <v>56</v>
      </c>
    </row>
    <row r="89">
      <c r="A89" s="4">
        <f>IFERROR(__xludf.DUMMYFUNCTION("""COMPUTED_VALUE"""),6.2270497E7)</f>
        <v>62270497</v>
      </c>
      <c r="B89" s="4">
        <f>IFERROR(__xludf.DUMMYFUNCTION("""COMPUTED_VALUE"""),20.0)</f>
        <v>20</v>
      </c>
      <c r="C89" s="4">
        <f>IFERROR(__xludf.DUMMYFUNCTION("""COMPUTED_VALUE"""),2.0)</f>
        <v>2</v>
      </c>
      <c r="D89" s="4">
        <f>IFERROR(__xludf.DUMMYFUNCTION("""COMPUTED_VALUE"""),9897470.0)</f>
        <v>9897470</v>
      </c>
      <c r="E89" s="5">
        <f t="array" ref="E89">XLOOKUP(D:D,orders!A:A,orders!B:B)</f>
        <v>44318</v>
      </c>
      <c r="F89" s="4">
        <f t="shared" si="1"/>
        <v>40</v>
      </c>
    </row>
    <row r="90">
      <c r="A90" s="4">
        <f>IFERROR(__xludf.DUMMYFUNCTION("""COMPUTED_VALUE"""),2.304624E7)</f>
        <v>23046240</v>
      </c>
      <c r="B90" s="4">
        <f>IFERROR(__xludf.DUMMYFUNCTION("""COMPUTED_VALUE"""),109.0)</f>
        <v>109</v>
      </c>
      <c r="C90" s="4">
        <f>IFERROR(__xludf.DUMMYFUNCTION("""COMPUTED_VALUE"""),1.0)</f>
        <v>1</v>
      </c>
      <c r="D90" s="4">
        <f>IFERROR(__xludf.DUMMYFUNCTION("""COMPUTED_VALUE"""),3391436.0)</f>
        <v>3391436</v>
      </c>
      <c r="E90" s="5">
        <f t="array" ref="E90">XLOOKUP(D:D,orders!A:A,orders!B:B)</f>
        <v>44367</v>
      </c>
      <c r="F90" s="4">
        <f t="shared" si="1"/>
        <v>109</v>
      </c>
    </row>
    <row r="91">
      <c r="A91" s="4">
        <f>IFERROR(__xludf.DUMMYFUNCTION("""COMPUTED_VALUE"""),9.2949938E7)</f>
        <v>92949938</v>
      </c>
      <c r="B91" s="4">
        <f>IFERROR(__xludf.DUMMYFUNCTION("""COMPUTED_VALUE"""),53.0)</f>
        <v>53</v>
      </c>
      <c r="C91" s="4">
        <f>IFERROR(__xludf.DUMMYFUNCTION("""COMPUTED_VALUE"""),2.0)</f>
        <v>2</v>
      </c>
      <c r="D91" s="4">
        <f>IFERROR(__xludf.DUMMYFUNCTION("""COMPUTED_VALUE"""),2950813.0)</f>
        <v>2950813</v>
      </c>
      <c r="E91" s="5">
        <f t="array" ref="E91">XLOOKUP(D:D,orders!A:A,orders!B:B)</f>
        <v>44820</v>
      </c>
      <c r="F91" s="4">
        <f t="shared" si="1"/>
        <v>106</v>
      </c>
    </row>
    <row r="92">
      <c r="A92" s="4">
        <f>IFERROR(__xludf.DUMMYFUNCTION("""COMPUTED_VALUE"""),4.5369429E7)</f>
        <v>45369429</v>
      </c>
      <c r="B92" s="4">
        <f>IFERROR(__xludf.DUMMYFUNCTION("""COMPUTED_VALUE"""),85.0)</f>
        <v>85</v>
      </c>
      <c r="C92" s="4">
        <f>IFERROR(__xludf.DUMMYFUNCTION("""COMPUTED_VALUE"""),3.0)</f>
        <v>3</v>
      </c>
      <c r="D92" s="4">
        <f>IFERROR(__xludf.DUMMYFUNCTION("""COMPUTED_VALUE"""),5121392.0)</f>
        <v>5121392</v>
      </c>
      <c r="E92" s="5">
        <f t="array" ref="E92">XLOOKUP(D:D,orders!A:A,orders!B:B)</f>
        <v>44662</v>
      </c>
      <c r="F92" s="4">
        <f t="shared" si="1"/>
        <v>255</v>
      </c>
    </row>
    <row r="93">
      <c r="A93" s="4">
        <f>IFERROR(__xludf.DUMMYFUNCTION("""COMPUTED_VALUE"""),5.4727028E7)</f>
        <v>54727028</v>
      </c>
      <c r="B93" s="4">
        <f>IFERROR(__xludf.DUMMYFUNCTION("""COMPUTED_VALUE"""),36.0)</f>
        <v>36</v>
      </c>
      <c r="C93" s="4">
        <f>IFERROR(__xludf.DUMMYFUNCTION("""COMPUTED_VALUE"""),3.0)</f>
        <v>3</v>
      </c>
      <c r="D93" s="4">
        <f>IFERROR(__xludf.DUMMYFUNCTION("""COMPUTED_VALUE"""),6208865.0)</f>
        <v>6208865</v>
      </c>
      <c r="E93" s="5">
        <f t="array" ref="E93">XLOOKUP(D:D,orders!A:A,orders!B:B)</f>
        <v>44769</v>
      </c>
      <c r="F93" s="4">
        <f t="shared" si="1"/>
        <v>108</v>
      </c>
    </row>
    <row r="94">
      <c r="A94" s="4">
        <f>IFERROR(__xludf.DUMMYFUNCTION("""COMPUTED_VALUE"""),8.4837043E7)</f>
        <v>84837043</v>
      </c>
      <c r="B94" s="4">
        <f>IFERROR(__xludf.DUMMYFUNCTION("""COMPUTED_VALUE"""),44.0)</f>
        <v>44</v>
      </c>
      <c r="C94" s="4">
        <f>IFERROR(__xludf.DUMMYFUNCTION("""COMPUTED_VALUE"""),1.0)</f>
        <v>1</v>
      </c>
      <c r="D94" s="4">
        <f>IFERROR(__xludf.DUMMYFUNCTION("""COMPUTED_VALUE"""),6010670.0)</f>
        <v>6010670</v>
      </c>
      <c r="E94" s="5">
        <f t="array" ref="E94">XLOOKUP(D:D,orders!A:A,orders!B:B)</f>
        <v>44718</v>
      </c>
      <c r="F94" s="4">
        <f t="shared" si="1"/>
        <v>44</v>
      </c>
    </row>
    <row r="95">
      <c r="A95" s="4">
        <f>IFERROR(__xludf.DUMMYFUNCTION("""COMPUTED_VALUE"""),9.0860384E7)</f>
        <v>90860384</v>
      </c>
      <c r="B95" s="4">
        <f>IFERROR(__xludf.DUMMYFUNCTION("""COMPUTED_VALUE"""),50.0)</f>
        <v>50</v>
      </c>
      <c r="C95" s="4">
        <f>IFERROR(__xludf.DUMMYFUNCTION("""COMPUTED_VALUE"""),2.0)</f>
        <v>2</v>
      </c>
      <c r="D95" s="4">
        <f>IFERROR(__xludf.DUMMYFUNCTION("""COMPUTED_VALUE"""),3850495.0)</f>
        <v>3850495</v>
      </c>
      <c r="E95" s="5">
        <f t="array" ref="E95">XLOOKUP(D:D,orders!A:A,orders!B:B)</f>
        <v>44281</v>
      </c>
      <c r="F95" s="4">
        <f t="shared" si="1"/>
        <v>100</v>
      </c>
    </row>
    <row r="96">
      <c r="A96" s="4">
        <f>IFERROR(__xludf.DUMMYFUNCTION("""COMPUTED_VALUE"""),5.9460123E7)</f>
        <v>59460123</v>
      </c>
      <c r="B96" s="4">
        <f>IFERROR(__xludf.DUMMYFUNCTION("""COMPUTED_VALUE"""),22.0)</f>
        <v>22</v>
      </c>
      <c r="C96" s="4">
        <f>IFERROR(__xludf.DUMMYFUNCTION("""COMPUTED_VALUE"""),2.0)</f>
        <v>2</v>
      </c>
      <c r="D96" s="4">
        <f>IFERROR(__xludf.DUMMYFUNCTION("""COMPUTED_VALUE"""),1310870.0)</f>
        <v>1310870</v>
      </c>
      <c r="E96" s="5">
        <f t="array" ref="E96">XLOOKUP(D:D,orders!A:A,orders!B:B)</f>
        <v>44470</v>
      </c>
      <c r="F96" s="4">
        <f t="shared" si="1"/>
        <v>44</v>
      </c>
    </row>
    <row r="97">
      <c r="A97" s="4">
        <f>IFERROR(__xludf.DUMMYFUNCTION("""COMPUTED_VALUE"""),5.2750048E7)</f>
        <v>52750048</v>
      </c>
      <c r="B97" s="4">
        <f>IFERROR(__xludf.DUMMYFUNCTION("""COMPUTED_VALUE"""),85.0)</f>
        <v>85</v>
      </c>
      <c r="C97" s="4">
        <f>IFERROR(__xludf.DUMMYFUNCTION("""COMPUTED_VALUE"""),2.0)</f>
        <v>2</v>
      </c>
      <c r="D97" s="4">
        <f>IFERROR(__xludf.DUMMYFUNCTION("""COMPUTED_VALUE"""),2439984.0)</f>
        <v>2439984</v>
      </c>
      <c r="E97" s="5">
        <f t="array" ref="E97">XLOOKUP(D:D,orders!A:A,orders!B:B)</f>
        <v>44495</v>
      </c>
      <c r="F97" s="4">
        <f t="shared" si="1"/>
        <v>170</v>
      </c>
    </row>
    <row r="98">
      <c r="A98" s="4">
        <f>IFERROR(__xludf.DUMMYFUNCTION("""COMPUTED_VALUE"""),4.0915007E7)</f>
        <v>40915007</v>
      </c>
      <c r="B98" s="4">
        <f>IFERROR(__xludf.DUMMYFUNCTION("""COMPUTED_VALUE"""),28.0)</f>
        <v>28</v>
      </c>
      <c r="C98" s="4">
        <f>IFERROR(__xludf.DUMMYFUNCTION("""COMPUTED_VALUE"""),3.0)</f>
        <v>3</v>
      </c>
      <c r="D98" s="4">
        <f>IFERROR(__xludf.DUMMYFUNCTION("""COMPUTED_VALUE"""),9205474.0)</f>
        <v>9205474</v>
      </c>
      <c r="E98" s="5">
        <f t="array" ref="E98">XLOOKUP(D:D,orders!A:A,orders!B:B)</f>
        <v>44474</v>
      </c>
      <c r="F98" s="4">
        <f t="shared" si="1"/>
        <v>84</v>
      </c>
    </row>
    <row r="99">
      <c r="A99" s="4">
        <f>IFERROR(__xludf.DUMMYFUNCTION("""COMPUTED_VALUE"""),5.1149819E7)</f>
        <v>51149819</v>
      </c>
      <c r="B99" s="4">
        <f>IFERROR(__xludf.DUMMYFUNCTION("""COMPUTED_VALUE"""),59.0)</f>
        <v>59</v>
      </c>
      <c r="C99" s="4">
        <f>IFERROR(__xludf.DUMMYFUNCTION("""COMPUTED_VALUE"""),2.0)</f>
        <v>2</v>
      </c>
      <c r="D99" s="4">
        <f>IFERROR(__xludf.DUMMYFUNCTION("""COMPUTED_VALUE"""),3185077.0)</f>
        <v>3185077</v>
      </c>
      <c r="E99" s="5">
        <f t="array" ref="E99">XLOOKUP(D:D,orders!A:A,orders!B:B)</f>
        <v>44523</v>
      </c>
      <c r="F99" s="4">
        <f t="shared" si="1"/>
        <v>118</v>
      </c>
    </row>
    <row r="100">
      <c r="A100" s="4">
        <f>IFERROR(__xludf.DUMMYFUNCTION("""COMPUTED_VALUE"""),3.798404E7)</f>
        <v>37984040</v>
      </c>
      <c r="B100" s="4">
        <f>IFERROR(__xludf.DUMMYFUNCTION("""COMPUTED_VALUE"""),111.0)</f>
        <v>111</v>
      </c>
      <c r="C100" s="4">
        <f>IFERROR(__xludf.DUMMYFUNCTION("""COMPUTED_VALUE"""),1.0)</f>
        <v>1</v>
      </c>
      <c r="D100" s="4">
        <f>IFERROR(__xludf.DUMMYFUNCTION("""COMPUTED_VALUE"""),1089001.0)</f>
        <v>1089001</v>
      </c>
      <c r="E100" s="5">
        <f t="array" ref="E100">XLOOKUP(D:D,orders!A:A,orders!B:B)</f>
        <v>44452</v>
      </c>
      <c r="F100" s="4">
        <f t="shared" si="1"/>
        <v>111</v>
      </c>
    </row>
    <row r="101">
      <c r="A101" s="4">
        <f>IFERROR(__xludf.DUMMYFUNCTION("""COMPUTED_VALUE"""),7.4392213E7)</f>
        <v>74392213</v>
      </c>
      <c r="B101" s="4">
        <f>IFERROR(__xludf.DUMMYFUNCTION("""COMPUTED_VALUE"""),38.0)</f>
        <v>38</v>
      </c>
      <c r="C101" s="4">
        <f>IFERROR(__xludf.DUMMYFUNCTION("""COMPUTED_VALUE"""),3.0)</f>
        <v>3</v>
      </c>
      <c r="D101" s="4">
        <f>IFERROR(__xludf.DUMMYFUNCTION("""COMPUTED_VALUE"""),8765313.0)</f>
        <v>8765313</v>
      </c>
      <c r="E101" s="5">
        <f t="array" ref="E101">XLOOKUP(D:D,orders!A:A,orders!B:B)</f>
        <v>44491</v>
      </c>
      <c r="F101" s="4">
        <f t="shared" si="1"/>
        <v>114</v>
      </c>
    </row>
    <row r="102">
      <c r="A102" s="4">
        <f>IFERROR(__xludf.DUMMYFUNCTION("""COMPUTED_VALUE"""),5.4560105E7)</f>
        <v>54560105</v>
      </c>
      <c r="B102" s="4">
        <f>IFERROR(__xludf.DUMMYFUNCTION("""COMPUTED_VALUE"""),33.0)</f>
        <v>33</v>
      </c>
      <c r="C102" s="4">
        <f>IFERROR(__xludf.DUMMYFUNCTION("""COMPUTED_VALUE"""),3.0)</f>
        <v>3</v>
      </c>
      <c r="D102" s="4">
        <f>IFERROR(__xludf.DUMMYFUNCTION("""COMPUTED_VALUE"""),5930708.0)</f>
        <v>5930708</v>
      </c>
      <c r="E102" s="5">
        <f t="array" ref="E102">XLOOKUP(D:D,orders!A:A,orders!B:B)</f>
        <v>44366</v>
      </c>
      <c r="F102" s="4">
        <f t="shared" si="1"/>
        <v>99</v>
      </c>
    </row>
    <row r="103">
      <c r="A103" s="4">
        <f>IFERROR(__xludf.DUMMYFUNCTION("""COMPUTED_VALUE"""),3.2495968E7)</f>
        <v>32495968</v>
      </c>
      <c r="B103" s="4">
        <f>IFERROR(__xludf.DUMMYFUNCTION("""COMPUTED_VALUE"""),64.0)</f>
        <v>64</v>
      </c>
      <c r="C103" s="4">
        <f>IFERROR(__xludf.DUMMYFUNCTION("""COMPUTED_VALUE"""),1.0)</f>
        <v>1</v>
      </c>
      <c r="D103" s="4">
        <f>IFERROR(__xludf.DUMMYFUNCTION("""COMPUTED_VALUE"""),5291324.0)</f>
        <v>5291324</v>
      </c>
      <c r="E103" s="5">
        <f t="array" ref="E103">XLOOKUP(D:D,orders!A:A,orders!B:B)</f>
        <v>44472</v>
      </c>
      <c r="F103" s="4">
        <f t="shared" si="1"/>
        <v>64</v>
      </c>
    </row>
    <row r="104">
      <c r="A104" s="4">
        <f>IFERROR(__xludf.DUMMYFUNCTION("""COMPUTED_VALUE"""),7.5595574E7)</f>
        <v>75595574</v>
      </c>
      <c r="B104" s="4">
        <f>IFERROR(__xludf.DUMMYFUNCTION("""COMPUTED_VALUE"""),66.0)</f>
        <v>66</v>
      </c>
      <c r="C104" s="4">
        <f>IFERROR(__xludf.DUMMYFUNCTION("""COMPUTED_VALUE"""),1.0)</f>
        <v>1</v>
      </c>
      <c r="D104" s="4">
        <f>IFERROR(__xludf.DUMMYFUNCTION("""COMPUTED_VALUE"""),3393817.0)</f>
        <v>3393817</v>
      </c>
      <c r="E104" s="5">
        <f t="array" ref="E104">XLOOKUP(D:D,orders!A:A,orders!B:B)</f>
        <v>44552</v>
      </c>
      <c r="F104" s="4">
        <f t="shared" si="1"/>
        <v>66</v>
      </c>
    </row>
    <row r="105">
      <c r="A105" s="4">
        <f>IFERROR(__xludf.DUMMYFUNCTION("""COMPUTED_VALUE"""),2.1674889E7)</f>
        <v>21674889</v>
      </c>
      <c r="B105" s="4">
        <f>IFERROR(__xludf.DUMMYFUNCTION("""COMPUTED_VALUE"""),60.0)</f>
        <v>60</v>
      </c>
      <c r="C105" s="4">
        <f>IFERROR(__xludf.DUMMYFUNCTION("""COMPUTED_VALUE"""),1.0)</f>
        <v>1</v>
      </c>
      <c r="D105" s="4">
        <f>IFERROR(__xludf.DUMMYFUNCTION("""COMPUTED_VALUE"""),1933991.0)</f>
        <v>1933991</v>
      </c>
      <c r="E105" s="5">
        <f t="array" ref="E105">XLOOKUP(D:D,orders!A:A,orders!B:B)</f>
        <v>44401</v>
      </c>
      <c r="F105" s="4">
        <f t="shared" si="1"/>
        <v>60</v>
      </c>
    </row>
    <row r="106">
      <c r="A106" s="4">
        <f>IFERROR(__xludf.DUMMYFUNCTION("""COMPUTED_VALUE"""),6.8539956E7)</f>
        <v>68539956</v>
      </c>
      <c r="B106" s="4">
        <f>IFERROR(__xludf.DUMMYFUNCTION("""COMPUTED_VALUE"""),50.0)</f>
        <v>50</v>
      </c>
      <c r="C106" s="4">
        <f>IFERROR(__xludf.DUMMYFUNCTION("""COMPUTED_VALUE"""),3.0)</f>
        <v>3</v>
      </c>
      <c r="D106" s="4">
        <f>IFERROR(__xludf.DUMMYFUNCTION("""COMPUTED_VALUE"""),9816128.0)</f>
        <v>9816128</v>
      </c>
      <c r="E106" s="5">
        <f t="array" ref="E106">XLOOKUP(D:D,orders!A:A,orders!B:B)</f>
        <v>44878</v>
      </c>
      <c r="F106" s="4">
        <f t="shared" si="1"/>
        <v>150</v>
      </c>
    </row>
    <row r="107">
      <c r="A107" s="4">
        <f>IFERROR(__xludf.DUMMYFUNCTION("""COMPUTED_VALUE"""),6.9631106E7)</f>
        <v>69631106</v>
      </c>
      <c r="B107" s="4">
        <f>IFERROR(__xludf.DUMMYFUNCTION("""COMPUTED_VALUE"""),42.0)</f>
        <v>42</v>
      </c>
      <c r="C107" s="4">
        <f>IFERROR(__xludf.DUMMYFUNCTION("""COMPUTED_VALUE"""),2.0)</f>
        <v>2</v>
      </c>
      <c r="D107" s="4">
        <f>IFERROR(__xludf.DUMMYFUNCTION("""COMPUTED_VALUE"""),4657353.0)</f>
        <v>4657353</v>
      </c>
      <c r="E107" s="5">
        <f t="array" ref="E107">XLOOKUP(D:D,orders!A:A,orders!B:B)</f>
        <v>44900</v>
      </c>
      <c r="F107" s="4">
        <f t="shared" si="1"/>
        <v>84</v>
      </c>
    </row>
    <row r="108">
      <c r="A108" s="4">
        <f>IFERROR(__xludf.DUMMYFUNCTION("""COMPUTED_VALUE"""),5.6159199E7)</f>
        <v>56159199</v>
      </c>
      <c r="B108" s="4">
        <f>IFERROR(__xludf.DUMMYFUNCTION("""COMPUTED_VALUE"""),57.0)</f>
        <v>57</v>
      </c>
      <c r="C108" s="4">
        <f>IFERROR(__xludf.DUMMYFUNCTION("""COMPUTED_VALUE"""),2.0)</f>
        <v>2</v>
      </c>
      <c r="D108" s="4">
        <f>IFERROR(__xludf.DUMMYFUNCTION("""COMPUTED_VALUE"""),2473988.0)</f>
        <v>2473988</v>
      </c>
      <c r="E108" s="5">
        <f t="array" ref="E108">XLOOKUP(D:D,orders!A:A,orders!B:B)</f>
        <v>44216</v>
      </c>
      <c r="F108" s="4">
        <f t="shared" si="1"/>
        <v>114</v>
      </c>
    </row>
    <row r="109">
      <c r="A109" s="4">
        <f>IFERROR(__xludf.DUMMYFUNCTION("""COMPUTED_VALUE"""),4.1386554E7)</f>
        <v>41386554</v>
      </c>
      <c r="B109" s="4">
        <f>IFERROR(__xludf.DUMMYFUNCTION("""COMPUTED_VALUE"""),40.0)</f>
        <v>40</v>
      </c>
      <c r="C109" s="4">
        <f>IFERROR(__xludf.DUMMYFUNCTION("""COMPUTED_VALUE"""),1.0)</f>
        <v>1</v>
      </c>
      <c r="D109" s="4">
        <f>IFERROR(__xludf.DUMMYFUNCTION("""COMPUTED_VALUE"""),9790250.0)</f>
        <v>9790250</v>
      </c>
      <c r="E109" s="5">
        <f t="array" ref="E109">XLOOKUP(D:D,orders!A:A,orders!B:B)</f>
        <v>44819</v>
      </c>
      <c r="F109" s="4">
        <f t="shared" si="1"/>
        <v>40</v>
      </c>
    </row>
    <row r="110">
      <c r="A110" s="4">
        <f>IFERROR(__xludf.DUMMYFUNCTION("""COMPUTED_VALUE"""),5.9720155E7)</f>
        <v>59720155</v>
      </c>
      <c r="B110" s="4">
        <f>IFERROR(__xludf.DUMMYFUNCTION("""COMPUTED_VALUE"""),91.0)</f>
        <v>91</v>
      </c>
      <c r="C110" s="4">
        <f>IFERROR(__xludf.DUMMYFUNCTION("""COMPUTED_VALUE"""),3.0)</f>
        <v>3</v>
      </c>
      <c r="D110" s="4">
        <f>IFERROR(__xludf.DUMMYFUNCTION("""COMPUTED_VALUE"""),2607086.0)</f>
        <v>2607086</v>
      </c>
      <c r="E110" s="5">
        <f t="array" ref="E110">XLOOKUP(D:D,orders!A:A,orders!B:B)</f>
        <v>44786</v>
      </c>
      <c r="F110" s="4">
        <f t="shared" si="1"/>
        <v>273</v>
      </c>
    </row>
    <row r="111">
      <c r="A111" s="4">
        <f>IFERROR(__xludf.DUMMYFUNCTION("""COMPUTED_VALUE"""),8.1731076E7)</f>
        <v>81731076</v>
      </c>
      <c r="B111" s="4">
        <f>IFERROR(__xludf.DUMMYFUNCTION("""COMPUTED_VALUE"""),113.0)</f>
        <v>113</v>
      </c>
      <c r="C111" s="4">
        <f>IFERROR(__xludf.DUMMYFUNCTION("""COMPUTED_VALUE"""),1.0)</f>
        <v>1</v>
      </c>
      <c r="D111" s="4">
        <f>IFERROR(__xludf.DUMMYFUNCTION("""COMPUTED_VALUE"""),9427009.0)</f>
        <v>9427009</v>
      </c>
      <c r="E111" s="5">
        <f t="array" ref="E111">XLOOKUP(D:D,orders!A:A,orders!B:B)</f>
        <v>44648</v>
      </c>
      <c r="F111" s="4">
        <f t="shared" si="1"/>
        <v>113</v>
      </c>
    </row>
    <row r="112">
      <c r="A112" s="4">
        <f>IFERROR(__xludf.DUMMYFUNCTION("""COMPUTED_VALUE"""),5.6319003E7)</f>
        <v>56319003</v>
      </c>
      <c r="B112" s="4">
        <f>IFERROR(__xludf.DUMMYFUNCTION("""COMPUTED_VALUE"""),73.0)</f>
        <v>73</v>
      </c>
      <c r="C112" s="4">
        <f>IFERROR(__xludf.DUMMYFUNCTION("""COMPUTED_VALUE"""),2.0)</f>
        <v>2</v>
      </c>
      <c r="D112" s="4">
        <f>IFERROR(__xludf.DUMMYFUNCTION("""COMPUTED_VALUE"""),3361762.0)</f>
        <v>3361762</v>
      </c>
      <c r="E112" s="5">
        <f t="array" ref="E112">XLOOKUP(D:D,orders!A:A,orders!B:B)</f>
        <v>44722</v>
      </c>
      <c r="F112" s="4">
        <f t="shared" si="1"/>
        <v>146</v>
      </c>
    </row>
    <row r="113">
      <c r="A113" s="4">
        <f>IFERROR(__xludf.DUMMYFUNCTION("""COMPUTED_VALUE"""),5.9747172E7)</f>
        <v>59747172</v>
      </c>
      <c r="B113" s="4">
        <f>IFERROR(__xludf.DUMMYFUNCTION("""COMPUTED_VALUE"""),61.0)</f>
        <v>61</v>
      </c>
      <c r="C113" s="4">
        <f>IFERROR(__xludf.DUMMYFUNCTION("""COMPUTED_VALUE"""),3.0)</f>
        <v>3</v>
      </c>
      <c r="D113" s="4">
        <f>IFERROR(__xludf.DUMMYFUNCTION("""COMPUTED_VALUE"""),2053909.0)</f>
        <v>2053909</v>
      </c>
      <c r="E113" s="5">
        <f t="array" ref="E113">XLOOKUP(D:D,orders!A:A,orders!B:B)</f>
        <v>44615</v>
      </c>
      <c r="F113" s="4">
        <f t="shared" si="1"/>
        <v>183</v>
      </c>
    </row>
    <row r="114">
      <c r="A114" s="4">
        <f>IFERROR(__xludf.DUMMYFUNCTION("""COMPUTED_VALUE"""),4.6501528E7)</f>
        <v>46501528</v>
      </c>
      <c r="B114" s="4">
        <f>IFERROR(__xludf.DUMMYFUNCTION("""COMPUTED_VALUE"""),103.0)</f>
        <v>103</v>
      </c>
      <c r="C114" s="4">
        <f>IFERROR(__xludf.DUMMYFUNCTION("""COMPUTED_VALUE"""),1.0)</f>
        <v>1</v>
      </c>
      <c r="D114" s="4">
        <f>IFERROR(__xludf.DUMMYFUNCTION("""COMPUTED_VALUE"""),6941406.0)</f>
        <v>6941406</v>
      </c>
      <c r="E114" s="5">
        <f t="array" ref="E114">XLOOKUP(D:D,orders!A:A,orders!B:B)</f>
        <v>44451</v>
      </c>
      <c r="F114" s="4">
        <f t="shared" si="1"/>
        <v>103</v>
      </c>
    </row>
    <row r="115">
      <c r="A115" s="4">
        <f>IFERROR(__xludf.DUMMYFUNCTION("""COMPUTED_VALUE"""),4.4570321E7)</f>
        <v>44570321</v>
      </c>
      <c r="B115" s="4">
        <f>IFERROR(__xludf.DUMMYFUNCTION("""COMPUTED_VALUE"""),51.0)</f>
        <v>51</v>
      </c>
      <c r="C115" s="4">
        <f>IFERROR(__xludf.DUMMYFUNCTION("""COMPUTED_VALUE"""),1.0)</f>
        <v>1</v>
      </c>
      <c r="D115" s="4">
        <f>IFERROR(__xludf.DUMMYFUNCTION("""COMPUTED_VALUE"""),6781240.0)</f>
        <v>6781240</v>
      </c>
      <c r="E115" s="5">
        <f t="array" ref="E115">XLOOKUP(D:D,orders!A:A,orders!B:B)</f>
        <v>44801</v>
      </c>
      <c r="F115" s="4">
        <f t="shared" si="1"/>
        <v>51</v>
      </c>
    </row>
    <row r="116">
      <c r="A116" s="4">
        <f>IFERROR(__xludf.DUMMYFUNCTION("""COMPUTED_VALUE"""),6.5541522E7)</f>
        <v>65541522</v>
      </c>
      <c r="B116" s="4">
        <f>IFERROR(__xludf.DUMMYFUNCTION("""COMPUTED_VALUE"""),32.0)</f>
        <v>32</v>
      </c>
      <c r="C116" s="4">
        <f>IFERROR(__xludf.DUMMYFUNCTION("""COMPUTED_VALUE"""),1.0)</f>
        <v>1</v>
      </c>
      <c r="D116" s="4">
        <f>IFERROR(__xludf.DUMMYFUNCTION("""COMPUTED_VALUE"""),2129153.0)</f>
        <v>2129153</v>
      </c>
      <c r="E116" s="5">
        <f t="array" ref="E116">XLOOKUP(D:D,orders!A:A,orders!B:B)</f>
        <v>44615</v>
      </c>
      <c r="F116" s="4">
        <f t="shared" si="1"/>
        <v>32</v>
      </c>
    </row>
    <row r="117">
      <c r="A117" s="4">
        <f>IFERROR(__xludf.DUMMYFUNCTION("""COMPUTED_VALUE"""),3.8475477E7)</f>
        <v>38475477</v>
      </c>
      <c r="B117" s="4">
        <f>IFERROR(__xludf.DUMMYFUNCTION("""COMPUTED_VALUE"""),40.0)</f>
        <v>40</v>
      </c>
      <c r="C117" s="4">
        <f>IFERROR(__xludf.DUMMYFUNCTION("""COMPUTED_VALUE"""),1.0)</f>
        <v>1</v>
      </c>
      <c r="D117" s="4">
        <f>IFERROR(__xludf.DUMMYFUNCTION("""COMPUTED_VALUE"""),5965621.0)</f>
        <v>5965621</v>
      </c>
      <c r="E117" s="5">
        <f t="array" ref="E117">XLOOKUP(D:D,orders!A:A,orders!B:B)</f>
        <v>44708</v>
      </c>
      <c r="F117" s="4">
        <f t="shared" si="1"/>
        <v>40</v>
      </c>
    </row>
    <row r="118">
      <c r="A118" s="4">
        <f>IFERROR(__xludf.DUMMYFUNCTION("""COMPUTED_VALUE"""),5.4992813E7)</f>
        <v>54992813</v>
      </c>
      <c r="B118" s="4">
        <f>IFERROR(__xludf.DUMMYFUNCTION("""COMPUTED_VALUE"""),86.0)</f>
        <v>86</v>
      </c>
      <c r="C118" s="4">
        <f>IFERROR(__xludf.DUMMYFUNCTION("""COMPUTED_VALUE"""),3.0)</f>
        <v>3</v>
      </c>
      <c r="D118" s="4">
        <f>IFERROR(__xludf.DUMMYFUNCTION("""COMPUTED_VALUE"""),2836359.0)</f>
        <v>2836359</v>
      </c>
      <c r="E118" s="5">
        <f t="array" ref="E118">XLOOKUP(D:D,orders!A:A,orders!B:B)</f>
        <v>44642</v>
      </c>
      <c r="F118" s="4">
        <f t="shared" si="1"/>
        <v>258</v>
      </c>
    </row>
    <row r="119">
      <c r="A119" s="4">
        <f>IFERROR(__xludf.DUMMYFUNCTION("""COMPUTED_VALUE"""),8.2617562E7)</f>
        <v>82617562</v>
      </c>
      <c r="B119" s="4">
        <f>IFERROR(__xludf.DUMMYFUNCTION("""COMPUTED_VALUE"""),69.0)</f>
        <v>69</v>
      </c>
      <c r="C119" s="4">
        <f>IFERROR(__xludf.DUMMYFUNCTION("""COMPUTED_VALUE"""),2.0)</f>
        <v>2</v>
      </c>
      <c r="D119" s="4">
        <f>IFERROR(__xludf.DUMMYFUNCTION("""COMPUTED_VALUE"""),8246297.0)</f>
        <v>8246297</v>
      </c>
      <c r="E119" s="5">
        <f t="array" ref="E119">XLOOKUP(D:D,orders!A:A,orders!B:B)</f>
        <v>44593</v>
      </c>
      <c r="F119" s="4">
        <f t="shared" si="1"/>
        <v>138</v>
      </c>
    </row>
    <row r="120">
      <c r="A120" s="4">
        <f>IFERROR(__xludf.DUMMYFUNCTION("""COMPUTED_VALUE"""),9.7998441E7)</f>
        <v>97998441</v>
      </c>
      <c r="B120" s="4">
        <f>IFERROR(__xludf.DUMMYFUNCTION("""COMPUTED_VALUE"""),37.0)</f>
        <v>37</v>
      </c>
      <c r="C120" s="4">
        <f>IFERROR(__xludf.DUMMYFUNCTION("""COMPUTED_VALUE"""),1.0)</f>
        <v>1</v>
      </c>
      <c r="D120" s="4">
        <f>IFERROR(__xludf.DUMMYFUNCTION("""COMPUTED_VALUE"""),2352591.0)</f>
        <v>2352591</v>
      </c>
      <c r="E120" s="5">
        <f t="array" ref="E120">XLOOKUP(D:D,orders!A:A,orders!B:B)</f>
        <v>44518</v>
      </c>
      <c r="F120" s="4">
        <f t="shared" si="1"/>
        <v>37</v>
      </c>
    </row>
    <row r="121">
      <c r="A121" s="4">
        <f>IFERROR(__xludf.DUMMYFUNCTION("""COMPUTED_VALUE"""),3.4024584E7)</f>
        <v>34024584</v>
      </c>
      <c r="B121" s="4">
        <f>IFERROR(__xludf.DUMMYFUNCTION("""COMPUTED_VALUE"""),36.0)</f>
        <v>36</v>
      </c>
      <c r="C121" s="4">
        <f>IFERROR(__xludf.DUMMYFUNCTION("""COMPUTED_VALUE"""),1.0)</f>
        <v>1</v>
      </c>
      <c r="D121" s="4">
        <f>IFERROR(__xludf.DUMMYFUNCTION("""COMPUTED_VALUE"""),1359028.0)</f>
        <v>1359028</v>
      </c>
      <c r="E121" s="5">
        <f t="array" ref="E121">XLOOKUP(D:D,orders!A:A,orders!B:B)</f>
        <v>44236</v>
      </c>
      <c r="F121" s="4">
        <f t="shared" si="1"/>
        <v>36</v>
      </c>
    </row>
    <row r="122">
      <c r="A122" s="4">
        <f>IFERROR(__xludf.DUMMYFUNCTION("""COMPUTED_VALUE"""),4.8821451E7)</f>
        <v>48821451</v>
      </c>
      <c r="B122" s="4">
        <f>IFERROR(__xludf.DUMMYFUNCTION("""COMPUTED_VALUE"""),64.0)</f>
        <v>64</v>
      </c>
      <c r="C122" s="4">
        <f>IFERROR(__xludf.DUMMYFUNCTION("""COMPUTED_VALUE"""),1.0)</f>
        <v>1</v>
      </c>
      <c r="D122" s="4">
        <f>IFERROR(__xludf.DUMMYFUNCTION("""COMPUTED_VALUE"""),9869978.0)</f>
        <v>9869978</v>
      </c>
      <c r="E122" s="5">
        <f t="array" ref="E122">XLOOKUP(D:D,orders!A:A,orders!B:B)</f>
        <v>44565</v>
      </c>
      <c r="F122" s="4">
        <f t="shared" si="1"/>
        <v>64</v>
      </c>
    </row>
    <row r="123">
      <c r="A123" s="4">
        <f>IFERROR(__xludf.DUMMYFUNCTION("""COMPUTED_VALUE"""),4.6631545E7)</f>
        <v>46631545</v>
      </c>
      <c r="B123" s="4">
        <f>IFERROR(__xludf.DUMMYFUNCTION("""COMPUTED_VALUE"""),114.0)</f>
        <v>114</v>
      </c>
      <c r="C123" s="4">
        <f>IFERROR(__xludf.DUMMYFUNCTION("""COMPUTED_VALUE"""),3.0)</f>
        <v>3</v>
      </c>
      <c r="D123" s="4">
        <f>IFERROR(__xludf.DUMMYFUNCTION("""COMPUTED_VALUE"""),6818166.0)</f>
        <v>6818166</v>
      </c>
      <c r="E123" s="5">
        <f t="array" ref="E123">XLOOKUP(D:D,orders!A:A,orders!B:B)</f>
        <v>44452</v>
      </c>
      <c r="F123" s="4">
        <f t="shared" si="1"/>
        <v>342</v>
      </c>
    </row>
    <row r="124">
      <c r="A124" s="4">
        <f>IFERROR(__xludf.DUMMYFUNCTION("""COMPUTED_VALUE"""),4.2056015E7)</f>
        <v>42056015</v>
      </c>
      <c r="B124" s="4">
        <f>IFERROR(__xludf.DUMMYFUNCTION("""COMPUTED_VALUE"""),76.0)</f>
        <v>76</v>
      </c>
      <c r="C124" s="4">
        <f>IFERROR(__xludf.DUMMYFUNCTION("""COMPUTED_VALUE"""),1.0)</f>
        <v>1</v>
      </c>
      <c r="D124" s="4">
        <f>IFERROR(__xludf.DUMMYFUNCTION("""COMPUTED_VALUE"""),6170589.0)</f>
        <v>6170589</v>
      </c>
      <c r="E124" s="5">
        <f t="array" ref="E124">XLOOKUP(D:D,orders!A:A,orders!B:B)</f>
        <v>44465</v>
      </c>
      <c r="F124" s="4">
        <f t="shared" si="1"/>
        <v>76</v>
      </c>
    </row>
    <row r="125">
      <c r="A125" s="4">
        <f>IFERROR(__xludf.DUMMYFUNCTION("""COMPUTED_VALUE"""),9.8792433E7)</f>
        <v>98792433</v>
      </c>
      <c r="B125" s="4">
        <f>IFERROR(__xludf.DUMMYFUNCTION("""COMPUTED_VALUE"""),112.0)</f>
        <v>112</v>
      </c>
      <c r="C125" s="4">
        <f>IFERROR(__xludf.DUMMYFUNCTION("""COMPUTED_VALUE"""),2.0)</f>
        <v>2</v>
      </c>
      <c r="D125" s="4">
        <f>IFERROR(__xludf.DUMMYFUNCTION("""COMPUTED_VALUE"""),6285705.0)</f>
        <v>6285705</v>
      </c>
      <c r="E125" s="5">
        <f t="array" ref="E125">XLOOKUP(D:D,orders!A:A,orders!B:B)</f>
        <v>44334</v>
      </c>
      <c r="F125" s="4">
        <f t="shared" si="1"/>
        <v>224</v>
      </c>
    </row>
    <row r="126">
      <c r="A126" s="4">
        <f>IFERROR(__xludf.DUMMYFUNCTION("""COMPUTED_VALUE"""),1.179173E7)</f>
        <v>11791730</v>
      </c>
      <c r="B126" s="4">
        <f>IFERROR(__xludf.DUMMYFUNCTION("""COMPUTED_VALUE"""),27.0)</f>
        <v>27</v>
      </c>
      <c r="C126" s="4">
        <f>IFERROR(__xludf.DUMMYFUNCTION("""COMPUTED_VALUE"""),2.0)</f>
        <v>2</v>
      </c>
      <c r="D126" s="4">
        <f>IFERROR(__xludf.DUMMYFUNCTION("""COMPUTED_VALUE"""),1097181.0)</f>
        <v>1097181</v>
      </c>
      <c r="E126" s="5">
        <f t="array" ref="E126">XLOOKUP(D:D,orders!A:A,orders!B:B)</f>
        <v>44657</v>
      </c>
      <c r="F126" s="4">
        <f t="shared" si="1"/>
        <v>54</v>
      </c>
    </row>
    <row r="127">
      <c r="A127" s="4">
        <f>IFERROR(__xludf.DUMMYFUNCTION("""COMPUTED_VALUE"""),7.9513439E7)</f>
        <v>79513439</v>
      </c>
      <c r="B127" s="4">
        <f>IFERROR(__xludf.DUMMYFUNCTION("""COMPUTED_VALUE"""),94.0)</f>
        <v>94</v>
      </c>
      <c r="C127" s="4">
        <f>IFERROR(__xludf.DUMMYFUNCTION("""COMPUTED_VALUE"""),2.0)</f>
        <v>2</v>
      </c>
      <c r="D127" s="4">
        <f>IFERROR(__xludf.DUMMYFUNCTION("""COMPUTED_VALUE"""),4368029.0)</f>
        <v>4368029</v>
      </c>
      <c r="E127" s="5">
        <f t="array" ref="E127">XLOOKUP(D:D,orders!A:A,orders!B:B)</f>
        <v>44400</v>
      </c>
      <c r="F127" s="4">
        <f t="shared" si="1"/>
        <v>188</v>
      </c>
    </row>
    <row r="128">
      <c r="A128" s="4">
        <f>IFERROR(__xludf.DUMMYFUNCTION("""COMPUTED_VALUE"""),8.3851054E7)</f>
        <v>83851054</v>
      </c>
      <c r="B128" s="4">
        <f>IFERROR(__xludf.DUMMYFUNCTION("""COMPUTED_VALUE"""),62.0)</f>
        <v>62</v>
      </c>
      <c r="C128" s="4">
        <f>IFERROR(__xludf.DUMMYFUNCTION("""COMPUTED_VALUE"""),1.0)</f>
        <v>1</v>
      </c>
      <c r="D128" s="4">
        <f>IFERROR(__xludf.DUMMYFUNCTION("""COMPUTED_VALUE"""),5275402.0)</f>
        <v>5275402</v>
      </c>
      <c r="E128" s="5">
        <f t="array" ref="E128">XLOOKUP(D:D,orders!A:A,orders!B:B)</f>
        <v>44295</v>
      </c>
      <c r="F128" s="4">
        <f t="shared" si="1"/>
        <v>62</v>
      </c>
    </row>
    <row r="129">
      <c r="A129" s="4">
        <f>IFERROR(__xludf.DUMMYFUNCTION("""COMPUTED_VALUE"""),3.2966971E7)</f>
        <v>32966971</v>
      </c>
      <c r="B129" s="4">
        <f>IFERROR(__xludf.DUMMYFUNCTION("""COMPUTED_VALUE"""),36.0)</f>
        <v>36</v>
      </c>
      <c r="C129" s="4">
        <f>IFERROR(__xludf.DUMMYFUNCTION("""COMPUTED_VALUE"""),1.0)</f>
        <v>1</v>
      </c>
      <c r="D129" s="4">
        <f>IFERROR(__xludf.DUMMYFUNCTION("""COMPUTED_VALUE"""),4717104.0)</f>
        <v>4717104</v>
      </c>
      <c r="E129" s="5">
        <f t="array" ref="E129">XLOOKUP(D:D,orders!A:A,orders!B:B)</f>
        <v>44506</v>
      </c>
      <c r="F129" s="4">
        <f t="shared" si="1"/>
        <v>36</v>
      </c>
    </row>
    <row r="130">
      <c r="A130" s="4">
        <f>IFERROR(__xludf.DUMMYFUNCTION("""COMPUTED_VALUE"""),4.2218746E7)</f>
        <v>42218746</v>
      </c>
      <c r="B130" s="4">
        <f>IFERROR(__xludf.DUMMYFUNCTION("""COMPUTED_VALUE"""),34.0)</f>
        <v>34</v>
      </c>
      <c r="C130" s="4">
        <f>IFERROR(__xludf.DUMMYFUNCTION("""COMPUTED_VALUE"""),2.0)</f>
        <v>2</v>
      </c>
      <c r="D130" s="4">
        <f>IFERROR(__xludf.DUMMYFUNCTION("""COMPUTED_VALUE"""),8172535.0)</f>
        <v>8172535</v>
      </c>
      <c r="E130" s="5">
        <f t="array" ref="E130">XLOOKUP(D:D,orders!A:A,orders!B:B)</f>
        <v>44441</v>
      </c>
      <c r="F130" s="4">
        <f t="shared" si="1"/>
        <v>68</v>
      </c>
    </row>
    <row r="131">
      <c r="A131" s="4">
        <f>IFERROR(__xludf.DUMMYFUNCTION("""COMPUTED_VALUE"""),7.8182386E7)</f>
        <v>78182386</v>
      </c>
      <c r="B131" s="4">
        <f>IFERROR(__xludf.DUMMYFUNCTION("""COMPUTED_VALUE"""),72.0)</f>
        <v>72</v>
      </c>
      <c r="C131" s="4">
        <f>IFERROR(__xludf.DUMMYFUNCTION("""COMPUTED_VALUE"""),1.0)</f>
        <v>1</v>
      </c>
      <c r="D131" s="4">
        <f>IFERROR(__xludf.DUMMYFUNCTION("""COMPUTED_VALUE"""),6761767.0)</f>
        <v>6761767</v>
      </c>
      <c r="E131" s="5">
        <f t="array" ref="E131">XLOOKUP(D:D,orders!A:A,orders!B:B)</f>
        <v>44303</v>
      </c>
      <c r="F131" s="4">
        <f t="shared" si="1"/>
        <v>72</v>
      </c>
    </row>
    <row r="132">
      <c r="A132" s="4">
        <f>IFERROR(__xludf.DUMMYFUNCTION("""COMPUTED_VALUE"""),5.2458616E7)</f>
        <v>52458616</v>
      </c>
      <c r="B132" s="4">
        <f>IFERROR(__xludf.DUMMYFUNCTION("""COMPUTED_VALUE"""),89.0)</f>
        <v>89</v>
      </c>
      <c r="C132" s="4">
        <f>IFERROR(__xludf.DUMMYFUNCTION("""COMPUTED_VALUE"""),2.0)</f>
        <v>2</v>
      </c>
      <c r="D132" s="4">
        <f>IFERROR(__xludf.DUMMYFUNCTION("""COMPUTED_VALUE"""),5820756.0)</f>
        <v>5820756</v>
      </c>
      <c r="E132" s="5">
        <f t="array" ref="E132">XLOOKUP(D:D,orders!A:A,orders!B:B)</f>
        <v>44298</v>
      </c>
      <c r="F132" s="4">
        <f t="shared" si="1"/>
        <v>178</v>
      </c>
    </row>
    <row r="133">
      <c r="A133" s="4">
        <f>IFERROR(__xludf.DUMMYFUNCTION("""COMPUTED_VALUE"""),4.8332126E7)</f>
        <v>48332126</v>
      </c>
      <c r="B133" s="4">
        <f>IFERROR(__xludf.DUMMYFUNCTION("""COMPUTED_VALUE"""),68.0)</f>
        <v>68</v>
      </c>
      <c r="C133" s="4">
        <f>IFERROR(__xludf.DUMMYFUNCTION("""COMPUTED_VALUE"""),2.0)</f>
        <v>2</v>
      </c>
      <c r="D133" s="4">
        <f>IFERROR(__xludf.DUMMYFUNCTION("""COMPUTED_VALUE"""),8583178.0)</f>
        <v>8583178</v>
      </c>
      <c r="E133" s="5">
        <f t="array" ref="E133">XLOOKUP(D:D,orders!A:A,orders!B:B)</f>
        <v>44902</v>
      </c>
      <c r="F133" s="4">
        <f t="shared" si="1"/>
        <v>136</v>
      </c>
    </row>
    <row r="134">
      <c r="A134" s="4">
        <f>IFERROR(__xludf.DUMMYFUNCTION("""COMPUTED_VALUE"""),1.2698236E7)</f>
        <v>12698236</v>
      </c>
      <c r="B134" s="4">
        <f>IFERROR(__xludf.DUMMYFUNCTION("""COMPUTED_VALUE"""),91.0)</f>
        <v>91</v>
      </c>
      <c r="C134" s="4">
        <f>IFERROR(__xludf.DUMMYFUNCTION("""COMPUTED_VALUE"""),1.0)</f>
        <v>1</v>
      </c>
      <c r="D134" s="4">
        <f>IFERROR(__xludf.DUMMYFUNCTION("""COMPUTED_VALUE"""),6711081.0)</f>
        <v>6711081</v>
      </c>
      <c r="E134" s="5">
        <f t="array" ref="E134">XLOOKUP(D:D,orders!A:A,orders!B:B)</f>
        <v>44396</v>
      </c>
      <c r="F134" s="4">
        <f t="shared" si="1"/>
        <v>91</v>
      </c>
    </row>
    <row r="135">
      <c r="A135" s="4">
        <f>IFERROR(__xludf.DUMMYFUNCTION("""COMPUTED_VALUE"""),6.206282E7)</f>
        <v>62062820</v>
      </c>
      <c r="B135" s="4">
        <f>IFERROR(__xludf.DUMMYFUNCTION("""COMPUTED_VALUE"""),91.0)</f>
        <v>91</v>
      </c>
      <c r="C135" s="4">
        <f>IFERROR(__xludf.DUMMYFUNCTION("""COMPUTED_VALUE"""),1.0)</f>
        <v>1</v>
      </c>
      <c r="D135" s="4">
        <f>IFERROR(__xludf.DUMMYFUNCTION("""COMPUTED_VALUE"""),1381396.0)</f>
        <v>1381396</v>
      </c>
      <c r="E135" s="5">
        <f t="array" ref="E135">XLOOKUP(D:D,orders!A:A,orders!B:B)</f>
        <v>44876</v>
      </c>
      <c r="F135" s="4">
        <f t="shared" si="1"/>
        <v>91</v>
      </c>
    </row>
    <row r="136">
      <c r="A136" s="4">
        <f>IFERROR(__xludf.DUMMYFUNCTION("""COMPUTED_VALUE"""),9.5494529E7)</f>
        <v>95494529</v>
      </c>
      <c r="B136" s="4">
        <f>IFERROR(__xludf.DUMMYFUNCTION("""COMPUTED_VALUE"""),117.0)</f>
        <v>117</v>
      </c>
      <c r="C136" s="4">
        <f>IFERROR(__xludf.DUMMYFUNCTION("""COMPUTED_VALUE"""),2.0)</f>
        <v>2</v>
      </c>
      <c r="D136" s="4">
        <f>IFERROR(__xludf.DUMMYFUNCTION("""COMPUTED_VALUE"""),8490432.0)</f>
        <v>8490432</v>
      </c>
      <c r="E136" s="5">
        <f t="array" ref="E136">XLOOKUP(D:D,orders!A:A,orders!B:B)</f>
        <v>44363</v>
      </c>
      <c r="F136" s="4">
        <f t="shared" si="1"/>
        <v>234</v>
      </c>
    </row>
    <row r="137">
      <c r="A137" s="4">
        <f>IFERROR(__xludf.DUMMYFUNCTION("""COMPUTED_VALUE"""),5.0839044E7)</f>
        <v>50839044</v>
      </c>
      <c r="B137" s="4">
        <f>IFERROR(__xludf.DUMMYFUNCTION("""COMPUTED_VALUE"""),103.0)</f>
        <v>103</v>
      </c>
      <c r="C137" s="4">
        <f>IFERROR(__xludf.DUMMYFUNCTION("""COMPUTED_VALUE"""),1.0)</f>
        <v>1</v>
      </c>
      <c r="D137" s="4">
        <f>IFERROR(__xludf.DUMMYFUNCTION("""COMPUTED_VALUE"""),8490355.0)</f>
        <v>8490355</v>
      </c>
      <c r="E137" s="5">
        <f t="array" ref="E137">XLOOKUP(D:D,orders!A:A,orders!B:B)</f>
        <v>44324</v>
      </c>
      <c r="F137" s="4">
        <f t="shared" si="1"/>
        <v>103</v>
      </c>
    </row>
    <row r="138">
      <c r="A138" s="4">
        <f>IFERROR(__xludf.DUMMYFUNCTION("""COMPUTED_VALUE"""),4.9316509E7)</f>
        <v>49316509</v>
      </c>
      <c r="B138" s="4">
        <f>IFERROR(__xludf.DUMMYFUNCTION("""COMPUTED_VALUE"""),47.0)</f>
        <v>47</v>
      </c>
      <c r="C138" s="4">
        <f>IFERROR(__xludf.DUMMYFUNCTION("""COMPUTED_VALUE"""),3.0)</f>
        <v>3</v>
      </c>
      <c r="D138" s="4">
        <f>IFERROR(__xludf.DUMMYFUNCTION("""COMPUTED_VALUE"""),6134424.0)</f>
        <v>6134424</v>
      </c>
      <c r="E138" s="5">
        <f t="array" ref="E138">XLOOKUP(D:D,orders!A:A,orders!B:B)</f>
        <v>44303</v>
      </c>
      <c r="F138" s="4">
        <f t="shared" si="1"/>
        <v>141</v>
      </c>
    </row>
    <row r="139">
      <c r="A139" s="4">
        <f>IFERROR(__xludf.DUMMYFUNCTION("""COMPUTED_VALUE"""),4.9407039E7)</f>
        <v>49407039</v>
      </c>
      <c r="B139" s="4">
        <f>IFERROR(__xludf.DUMMYFUNCTION("""COMPUTED_VALUE"""),111.0)</f>
        <v>111</v>
      </c>
      <c r="C139" s="4">
        <f>IFERROR(__xludf.DUMMYFUNCTION("""COMPUTED_VALUE"""),2.0)</f>
        <v>2</v>
      </c>
      <c r="D139" s="4">
        <f>IFERROR(__xludf.DUMMYFUNCTION("""COMPUTED_VALUE"""),9897470.0)</f>
        <v>9897470</v>
      </c>
      <c r="E139" s="5">
        <f t="array" ref="E139">XLOOKUP(D:D,orders!A:A,orders!B:B)</f>
        <v>44318</v>
      </c>
      <c r="F139" s="4">
        <f t="shared" si="1"/>
        <v>222</v>
      </c>
    </row>
    <row r="140">
      <c r="A140" s="4">
        <f>IFERROR(__xludf.DUMMYFUNCTION("""COMPUTED_VALUE"""),4.564617E7)</f>
        <v>45646170</v>
      </c>
      <c r="B140" s="4">
        <f>IFERROR(__xludf.DUMMYFUNCTION("""COMPUTED_VALUE"""),78.0)</f>
        <v>78</v>
      </c>
      <c r="C140" s="4">
        <f>IFERROR(__xludf.DUMMYFUNCTION("""COMPUTED_VALUE"""),1.0)</f>
        <v>1</v>
      </c>
      <c r="D140" s="4">
        <f>IFERROR(__xludf.DUMMYFUNCTION("""COMPUTED_VALUE"""),3391436.0)</f>
        <v>3391436</v>
      </c>
      <c r="E140" s="5">
        <f t="array" ref="E140">XLOOKUP(D:D,orders!A:A,orders!B:B)</f>
        <v>44367</v>
      </c>
      <c r="F140" s="4">
        <f t="shared" si="1"/>
        <v>78</v>
      </c>
    </row>
    <row r="141">
      <c r="A141" s="4">
        <f>IFERROR(__xludf.DUMMYFUNCTION("""COMPUTED_VALUE"""),8.7038095E7)</f>
        <v>87038095</v>
      </c>
      <c r="B141" s="4">
        <f>IFERROR(__xludf.DUMMYFUNCTION("""COMPUTED_VALUE"""),70.0)</f>
        <v>70</v>
      </c>
      <c r="C141" s="4">
        <f>IFERROR(__xludf.DUMMYFUNCTION("""COMPUTED_VALUE"""),1.0)</f>
        <v>1</v>
      </c>
      <c r="D141" s="4">
        <f>IFERROR(__xludf.DUMMYFUNCTION("""COMPUTED_VALUE"""),2950813.0)</f>
        <v>2950813</v>
      </c>
      <c r="E141" s="5">
        <f t="array" ref="E141">XLOOKUP(D:D,orders!A:A,orders!B:B)</f>
        <v>44820</v>
      </c>
      <c r="F141" s="4">
        <f t="shared" si="1"/>
        <v>70</v>
      </c>
    </row>
    <row r="142">
      <c r="A142" s="4">
        <f>IFERROR(__xludf.DUMMYFUNCTION("""COMPUTED_VALUE"""),3.9861306E7)</f>
        <v>39861306</v>
      </c>
      <c r="B142" s="4">
        <f>IFERROR(__xludf.DUMMYFUNCTION("""COMPUTED_VALUE"""),33.0)</f>
        <v>33</v>
      </c>
      <c r="C142" s="4">
        <f>IFERROR(__xludf.DUMMYFUNCTION("""COMPUTED_VALUE"""),3.0)</f>
        <v>3</v>
      </c>
      <c r="D142" s="4">
        <f>IFERROR(__xludf.DUMMYFUNCTION("""COMPUTED_VALUE"""),5121392.0)</f>
        <v>5121392</v>
      </c>
      <c r="E142" s="5">
        <f t="array" ref="E142">XLOOKUP(D:D,orders!A:A,orders!B:B)</f>
        <v>44662</v>
      </c>
      <c r="F142" s="4">
        <f t="shared" si="1"/>
        <v>99</v>
      </c>
    </row>
    <row r="143">
      <c r="A143" s="4">
        <f>IFERROR(__xludf.DUMMYFUNCTION("""COMPUTED_VALUE"""),8.1123741E7)</f>
        <v>81123741</v>
      </c>
      <c r="B143" s="4">
        <f>IFERROR(__xludf.DUMMYFUNCTION("""COMPUTED_VALUE"""),63.0)</f>
        <v>63</v>
      </c>
      <c r="C143" s="4">
        <f>IFERROR(__xludf.DUMMYFUNCTION("""COMPUTED_VALUE"""),1.0)</f>
        <v>1</v>
      </c>
      <c r="D143" s="4">
        <f>IFERROR(__xludf.DUMMYFUNCTION("""COMPUTED_VALUE"""),6208865.0)</f>
        <v>6208865</v>
      </c>
      <c r="E143" s="5">
        <f t="array" ref="E143">XLOOKUP(D:D,orders!A:A,orders!B:B)</f>
        <v>44769</v>
      </c>
      <c r="F143" s="4">
        <f t="shared" si="1"/>
        <v>63</v>
      </c>
    </row>
    <row r="144">
      <c r="A144" s="4">
        <f>IFERROR(__xludf.DUMMYFUNCTION("""COMPUTED_VALUE"""),3.0587907E7)</f>
        <v>30587907</v>
      </c>
      <c r="B144" s="4">
        <f>IFERROR(__xludf.DUMMYFUNCTION("""COMPUTED_VALUE"""),58.0)</f>
        <v>58</v>
      </c>
      <c r="C144" s="4">
        <f>IFERROR(__xludf.DUMMYFUNCTION("""COMPUTED_VALUE"""),2.0)</f>
        <v>2</v>
      </c>
      <c r="D144" s="4">
        <f>IFERROR(__xludf.DUMMYFUNCTION("""COMPUTED_VALUE"""),6010670.0)</f>
        <v>6010670</v>
      </c>
      <c r="E144" s="5">
        <f t="array" ref="E144">XLOOKUP(D:D,orders!A:A,orders!B:B)</f>
        <v>44718</v>
      </c>
      <c r="F144" s="4">
        <f t="shared" si="1"/>
        <v>116</v>
      </c>
    </row>
    <row r="145">
      <c r="A145" s="4">
        <f>IFERROR(__xludf.DUMMYFUNCTION("""COMPUTED_VALUE"""),7.057073E7)</f>
        <v>70570730</v>
      </c>
      <c r="B145" s="4">
        <f>IFERROR(__xludf.DUMMYFUNCTION("""COMPUTED_VALUE"""),37.0)</f>
        <v>37</v>
      </c>
      <c r="C145" s="4">
        <f>IFERROR(__xludf.DUMMYFUNCTION("""COMPUTED_VALUE"""),3.0)</f>
        <v>3</v>
      </c>
      <c r="D145" s="4">
        <f>IFERROR(__xludf.DUMMYFUNCTION("""COMPUTED_VALUE"""),3850495.0)</f>
        <v>3850495</v>
      </c>
      <c r="E145" s="5">
        <f t="array" ref="E145">XLOOKUP(D:D,orders!A:A,orders!B:B)</f>
        <v>44281</v>
      </c>
      <c r="F145" s="4">
        <f t="shared" si="1"/>
        <v>111</v>
      </c>
    </row>
    <row r="146">
      <c r="A146" s="4">
        <f>IFERROR(__xludf.DUMMYFUNCTION("""COMPUTED_VALUE"""),2.146359E7)</f>
        <v>21463590</v>
      </c>
      <c r="B146" s="4">
        <f>IFERROR(__xludf.DUMMYFUNCTION("""COMPUTED_VALUE"""),75.0)</f>
        <v>75</v>
      </c>
      <c r="C146" s="4">
        <f>IFERROR(__xludf.DUMMYFUNCTION("""COMPUTED_VALUE"""),1.0)</f>
        <v>1</v>
      </c>
      <c r="D146" s="4">
        <f>IFERROR(__xludf.DUMMYFUNCTION("""COMPUTED_VALUE"""),1310870.0)</f>
        <v>1310870</v>
      </c>
      <c r="E146" s="5">
        <f t="array" ref="E146">XLOOKUP(D:D,orders!A:A,orders!B:B)</f>
        <v>44470</v>
      </c>
      <c r="F146" s="4">
        <f t="shared" si="1"/>
        <v>75</v>
      </c>
    </row>
    <row r="147">
      <c r="A147" s="4">
        <f>IFERROR(__xludf.DUMMYFUNCTION("""COMPUTED_VALUE"""),5.8042999E7)</f>
        <v>58042999</v>
      </c>
      <c r="B147" s="4">
        <f>IFERROR(__xludf.DUMMYFUNCTION("""COMPUTED_VALUE"""),101.0)</f>
        <v>101</v>
      </c>
      <c r="C147" s="4">
        <f>IFERROR(__xludf.DUMMYFUNCTION("""COMPUTED_VALUE"""),2.0)</f>
        <v>2</v>
      </c>
      <c r="D147" s="4">
        <f>IFERROR(__xludf.DUMMYFUNCTION("""COMPUTED_VALUE"""),2439984.0)</f>
        <v>2439984</v>
      </c>
      <c r="E147" s="5">
        <f t="array" ref="E147">XLOOKUP(D:D,orders!A:A,orders!B:B)</f>
        <v>44495</v>
      </c>
      <c r="F147" s="4">
        <f t="shared" si="1"/>
        <v>202</v>
      </c>
    </row>
    <row r="148">
      <c r="A148" s="4">
        <f>IFERROR(__xludf.DUMMYFUNCTION("""COMPUTED_VALUE"""),6.1012906E7)</f>
        <v>61012906</v>
      </c>
      <c r="B148" s="4">
        <f>IFERROR(__xludf.DUMMYFUNCTION("""COMPUTED_VALUE"""),76.0)</f>
        <v>76</v>
      </c>
      <c r="C148" s="4">
        <f>IFERROR(__xludf.DUMMYFUNCTION("""COMPUTED_VALUE"""),3.0)</f>
        <v>3</v>
      </c>
      <c r="D148" s="4">
        <f>IFERROR(__xludf.DUMMYFUNCTION("""COMPUTED_VALUE"""),9205474.0)</f>
        <v>9205474</v>
      </c>
      <c r="E148" s="5">
        <f t="array" ref="E148">XLOOKUP(D:D,orders!A:A,orders!B:B)</f>
        <v>44474</v>
      </c>
      <c r="F148" s="4">
        <f t="shared" si="1"/>
        <v>228</v>
      </c>
    </row>
    <row r="149">
      <c r="A149" s="4">
        <f>IFERROR(__xludf.DUMMYFUNCTION("""COMPUTED_VALUE"""),3.8836201E7)</f>
        <v>38836201</v>
      </c>
      <c r="B149" s="4">
        <f>IFERROR(__xludf.DUMMYFUNCTION("""COMPUTED_VALUE"""),79.0)</f>
        <v>79</v>
      </c>
      <c r="C149" s="4">
        <f>IFERROR(__xludf.DUMMYFUNCTION("""COMPUTED_VALUE"""),2.0)</f>
        <v>2</v>
      </c>
      <c r="D149" s="4">
        <f>IFERROR(__xludf.DUMMYFUNCTION("""COMPUTED_VALUE"""),3185077.0)</f>
        <v>3185077</v>
      </c>
      <c r="E149" s="5">
        <f t="array" ref="E149">XLOOKUP(D:D,orders!A:A,orders!B:B)</f>
        <v>44523</v>
      </c>
      <c r="F149" s="4">
        <f t="shared" si="1"/>
        <v>158</v>
      </c>
    </row>
    <row r="150">
      <c r="A150" s="4">
        <f>IFERROR(__xludf.DUMMYFUNCTION("""COMPUTED_VALUE"""),3.4281926E7)</f>
        <v>34281926</v>
      </c>
      <c r="B150" s="4">
        <f>IFERROR(__xludf.DUMMYFUNCTION("""COMPUTED_VALUE"""),70.0)</f>
        <v>70</v>
      </c>
      <c r="C150" s="4">
        <f>IFERROR(__xludf.DUMMYFUNCTION("""COMPUTED_VALUE"""),2.0)</f>
        <v>2</v>
      </c>
      <c r="D150" s="4">
        <f>IFERROR(__xludf.DUMMYFUNCTION("""COMPUTED_VALUE"""),1089001.0)</f>
        <v>1089001</v>
      </c>
      <c r="E150" s="5">
        <f t="array" ref="E150">XLOOKUP(D:D,orders!A:A,orders!B:B)</f>
        <v>44452</v>
      </c>
      <c r="F150" s="4">
        <f t="shared" si="1"/>
        <v>140</v>
      </c>
    </row>
    <row r="151">
      <c r="A151" s="4">
        <f>IFERROR(__xludf.DUMMYFUNCTION("""COMPUTED_VALUE"""),2.1620421E7)</f>
        <v>21620421</v>
      </c>
      <c r="B151" s="4">
        <f>IFERROR(__xludf.DUMMYFUNCTION("""COMPUTED_VALUE"""),43.0)</f>
        <v>43</v>
      </c>
      <c r="C151" s="4">
        <f>IFERROR(__xludf.DUMMYFUNCTION("""COMPUTED_VALUE"""),2.0)</f>
        <v>2</v>
      </c>
      <c r="D151" s="4">
        <f>IFERROR(__xludf.DUMMYFUNCTION("""COMPUTED_VALUE"""),8765313.0)</f>
        <v>8765313</v>
      </c>
      <c r="E151" s="5">
        <f t="array" ref="E151">XLOOKUP(D:D,orders!A:A,orders!B:B)</f>
        <v>44491</v>
      </c>
      <c r="F151" s="4">
        <f t="shared" si="1"/>
        <v>86</v>
      </c>
    </row>
    <row r="152">
      <c r="A152" s="4">
        <f>IFERROR(__xludf.DUMMYFUNCTION("""COMPUTED_VALUE"""),5.7891324E7)</f>
        <v>57891324</v>
      </c>
      <c r="B152" s="4">
        <f>IFERROR(__xludf.DUMMYFUNCTION("""COMPUTED_VALUE"""),12.0)</f>
        <v>12</v>
      </c>
      <c r="C152" s="4">
        <f>IFERROR(__xludf.DUMMYFUNCTION("""COMPUTED_VALUE"""),3.0)</f>
        <v>3</v>
      </c>
      <c r="D152" s="4">
        <f>IFERROR(__xludf.DUMMYFUNCTION("""COMPUTED_VALUE"""),6651423.0)</f>
        <v>6651423</v>
      </c>
      <c r="E152" s="13">
        <f t="array" ref="E152">XLOOKUP(D:D,orders!A:A,orders!B:B)</f>
        <v>44500</v>
      </c>
      <c r="F152" s="4">
        <f t="shared" si="1"/>
        <v>36</v>
      </c>
    </row>
    <row r="153">
      <c r="A153" s="4">
        <f>IFERROR(__xludf.DUMMYFUNCTION("""COMPUTED_VALUE"""),1.8317133E7)</f>
        <v>18317133</v>
      </c>
      <c r="B153" s="4">
        <f>IFERROR(__xludf.DUMMYFUNCTION("""COMPUTED_VALUE"""),89.0)</f>
        <v>89</v>
      </c>
      <c r="C153" s="4">
        <f>IFERROR(__xludf.DUMMYFUNCTION("""COMPUTED_VALUE"""),1.0)</f>
        <v>1</v>
      </c>
      <c r="D153" s="4">
        <f>IFERROR(__xludf.DUMMYFUNCTION("""COMPUTED_VALUE"""),7659876.0)</f>
        <v>7659876</v>
      </c>
      <c r="E153" s="14">
        <f t="array" ref="E153">XLOOKUP(D:D,orders!A:A,orders!B:B)</f>
        <v>44650</v>
      </c>
      <c r="F153" s="4">
        <f t="shared" si="1"/>
        <v>89</v>
      </c>
    </row>
    <row r="154">
      <c r="A154" s="4">
        <f>IFERROR(__xludf.DUMMYFUNCTION("""COMPUTED_VALUE"""),1.5226231E7)</f>
        <v>15226231</v>
      </c>
      <c r="B154" s="4">
        <f>IFERROR(__xludf.DUMMYFUNCTION("""COMPUTED_VALUE"""),35.0)</f>
        <v>35</v>
      </c>
      <c r="C154" s="4">
        <f>IFERROR(__xludf.DUMMYFUNCTION("""COMPUTED_VALUE"""),2.0)</f>
        <v>2</v>
      </c>
      <c r="D154" s="4">
        <f>IFERROR(__xludf.DUMMYFUNCTION("""COMPUTED_VALUE"""),7789123.0)</f>
        <v>7789123</v>
      </c>
      <c r="E154" s="14">
        <f t="array" ref="E154">XLOOKUP(D:D,orders!A:A,orders!B:B)</f>
        <v>44653</v>
      </c>
      <c r="F154" s="4">
        <f t="shared" si="1"/>
        <v>70</v>
      </c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  <row r="999">
      <c r="A999" s="10"/>
      <c r="B999" s="10"/>
      <c r="C999" s="10"/>
      <c r="D999" s="10"/>
    </row>
    <row r="1000">
      <c r="A1000" s="10"/>
      <c r="B1000" s="10"/>
      <c r="C1000" s="10"/>
      <c r="D1000" s="10"/>
    </row>
  </sheetData>
  <drawing r:id="rId3"/>
  <tableParts count="1">
    <tablePart r:id="rId5"/>
  </tableParts>
</worksheet>
</file>