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dena\Documents\LAURA MANRIQUE TRABAJO\TORTACHIRA PANIFICADORA, C.A\TAREAS DE CONTABILIDAD\"/>
    </mc:Choice>
  </mc:AlternateContent>
  <bookViews>
    <workbookView xWindow="0" yWindow="0" windowWidth="21600" windowHeight="9300" activeTab="3"/>
  </bookViews>
  <sheets>
    <sheet name="Portada" sheetId="1" r:id="rId1"/>
    <sheet name="Asientos de diario" sheetId="2" r:id="rId2"/>
    <sheet name="Mayores" sheetId="3" r:id="rId3"/>
    <sheet name="Balance de Comprobación" sheetId="4" r:id="rId4"/>
    <sheet name="Edo. de Resultados" sheetId="5" r:id="rId5"/>
    <sheet name="Edo.situación Financiera" sheetId="6" r:id="rId6"/>
    <sheet name="Calculos" sheetId="7" r:id="rId7"/>
  </sheets>
  <definedNames>
    <definedName name="_xlnm.Print_Area" localSheetId="0">Portada!$A$1:$G$32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F21" i="2" s="1"/>
  <c r="E19" i="2"/>
  <c r="F22" i="2" s="1"/>
  <c r="E16" i="2"/>
  <c r="E15" i="2"/>
  <c r="E14" i="2"/>
  <c r="F17" i="2" s="1"/>
  <c r="E11" i="2"/>
  <c r="F12" i="2" s="1"/>
  <c r="E8" i="2"/>
  <c r="F9" i="2" s="1"/>
  <c r="F6" i="2"/>
  <c r="F5" i="2" s="1"/>
  <c r="E4" i="2" s="1"/>
  <c r="B19" i="7"/>
  <c r="B20" i="7" s="1"/>
  <c r="D17" i="7"/>
  <c r="G11" i="7"/>
  <c r="F11" i="7"/>
  <c r="G8" i="7"/>
  <c r="F8" i="7"/>
  <c r="F14" i="7" s="1"/>
  <c r="E8" i="7"/>
  <c r="A4" i="7"/>
  <c r="A3" i="7"/>
  <c r="F35" i="2"/>
  <c r="F34" i="2"/>
  <c r="F33" i="2"/>
  <c r="F32" i="2"/>
  <c r="E31" i="2"/>
  <c r="E30" i="2"/>
  <c r="E29" i="2"/>
  <c r="E28" i="2"/>
  <c r="E27" i="2"/>
  <c r="C55" i="4"/>
  <c r="C54" i="4"/>
  <c r="C53" i="4"/>
  <c r="C52" i="4"/>
  <c r="C51" i="4"/>
  <c r="C48" i="4"/>
  <c r="B48" i="4"/>
  <c r="C47" i="4"/>
  <c r="B46" i="4"/>
  <c r="C45" i="4"/>
  <c r="C44" i="4"/>
  <c r="B42" i="4"/>
  <c r="B41" i="4"/>
  <c r="C40" i="4"/>
  <c r="C39" i="4"/>
  <c r="C37" i="4"/>
  <c r="D37" i="4" s="1"/>
  <c r="C36" i="4"/>
  <c r="B36" i="4"/>
  <c r="B38" i="4" s="1"/>
  <c r="C32" i="4"/>
  <c r="C31" i="4"/>
  <c r="B13" i="4"/>
  <c r="G21" i="3"/>
  <c r="J21" i="3"/>
  <c r="F38" i="2"/>
  <c r="F37" i="2"/>
  <c r="F36" i="2"/>
  <c r="F40" i="2"/>
  <c r="F39" i="2"/>
  <c r="D48" i="4" l="1"/>
  <c r="C33" i="4"/>
  <c r="D36" i="4"/>
  <c r="D38" i="4" s="1"/>
  <c r="C56" i="4"/>
  <c r="C38" i="4"/>
  <c r="D21" i="7"/>
  <c r="D20" i="7"/>
  <c r="F13" i="7"/>
  <c r="F15" i="7" s="1"/>
  <c r="C29" i="5"/>
  <c r="C28" i="5"/>
  <c r="C25" i="5"/>
  <c r="C19" i="5"/>
  <c r="C18" i="5"/>
  <c r="C17" i="5"/>
  <c r="C16" i="5"/>
  <c r="C15" i="5"/>
  <c r="D20" i="5" s="1"/>
  <c r="C10" i="5"/>
  <c r="B55" i="4"/>
  <c r="D55" i="4" s="1"/>
  <c r="B54" i="4"/>
  <c r="D54" i="4" s="1"/>
  <c r="B51" i="4"/>
  <c r="D51" i="4" s="1"/>
  <c r="B47" i="4"/>
  <c r="D47" i="4" s="1"/>
  <c r="C46" i="4"/>
  <c r="D46" i="4" s="1"/>
  <c r="B45" i="4"/>
  <c r="D45" i="4" s="1"/>
  <c r="B44" i="4"/>
  <c r="B40" i="4"/>
  <c r="D40" i="4" s="1"/>
  <c r="B49" i="4" l="1"/>
  <c r="B35" i="6"/>
  <c r="C49" i="4"/>
  <c r="D49" i="4"/>
  <c r="C28" i="4"/>
  <c r="C27" i="4"/>
  <c r="B21" i="4"/>
  <c r="B20" i="4"/>
  <c r="B22" i="4" s="1"/>
  <c r="C17" i="4"/>
  <c r="C18" i="4" s="1"/>
  <c r="B16" i="4"/>
  <c r="B18" i="4" s="1"/>
  <c r="D27" i="4" l="1"/>
  <c r="B26" i="6" s="1"/>
  <c r="D16" i="4"/>
  <c r="B15" i="6"/>
  <c r="D17" i="4"/>
  <c r="B16" i="6"/>
  <c r="D20" i="4"/>
  <c r="B19" i="6"/>
  <c r="D28" i="4"/>
  <c r="B27" i="6" s="1"/>
  <c r="D21" i="4"/>
  <c r="B20" i="6"/>
  <c r="D32" i="4"/>
  <c r="B31" i="6"/>
  <c r="V29" i="3"/>
  <c r="Q29" i="3"/>
  <c r="Q21" i="3"/>
  <c r="N21" i="3"/>
  <c r="B21" i="3"/>
  <c r="N15" i="3"/>
  <c r="J15" i="3"/>
  <c r="F16" i="3"/>
  <c r="B15" i="3"/>
  <c r="Q9" i="3"/>
  <c r="J9" i="3"/>
  <c r="G9" i="3"/>
  <c r="B9" i="3"/>
  <c r="U3" i="3"/>
  <c r="U14" i="3"/>
  <c r="V8" i="3"/>
  <c r="V9" i="3" s="1"/>
  <c r="Q3" i="3"/>
  <c r="N3" i="3"/>
  <c r="I3" i="3"/>
  <c r="F3" i="3"/>
  <c r="M9" i="3"/>
  <c r="M10" i="3" s="1"/>
  <c r="B11" i="4" s="1"/>
  <c r="N8" i="3"/>
  <c r="N10" i="3" s="1"/>
  <c r="C11" i="4" s="1"/>
  <c r="Q14" i="3"/>
  <c r="D22" i="4" l="1"/>
  <c r="D18" i="4"/>
  <c r="V15" i="3"/>
  <c r="B39" i="4"/>
  <c r="D11" i="4"/>
  <c r="B10" i="6" s="1"/>
  <c r="R15" i="3"/>
  <c r="B31" i="4"/>
  <c r="C21" i="6"/>
  <c r="C17" i="6"/>
  <c r="C9" i="5"/>
  <c r="C41" i="4"/>
  <c r="D41" i="4" s="1"/>
  <c r="C8" i="5"/>
  <c r="M11" i="3"/>
  <c r="M28" i="3"/>
  <c r="M29" i="3" s="1"/>
  <c r="B12" i="4" s="1"/>
  <c r="B43" i="4" l="1"/>
  <c r="D39" i="4"/>
  <c r="B33" i="4"/>
  <c r="B34" i="4" s="1"/>
  <c r="D31" i="4"/>
  <c r="D12" i="4"/>
  <c r="B11" i="6" s="1"/>
  <c r="G14" i="3"/>
  <c r="F28" i="3"/>
  <c r="G15" i="3"/>
  <c r="F29" i="3"/>
  <c r="C28" i="3"/>
  <c r="C29" i="3" s="1"/>
  <c r="C42" i="4" s="1"/>
  <c r="C2" i="3"/>
  <c r="C4" i="3" s="1"/>
  <c r="C10" i="4" s="1"/>
  <c r="I28" i="3"/>
  <c r="I29" i="3" s="1"/>
  <c r="B30" i="6" l="1"/>
  <c r="C32" i="6" s="1"/>
  <c r="D33" i="4"/>
  <c r="C43" i="4"/>
  <c r="D42" i="4"/>
  <c r="B53" i="4"/>
  <c r="D53" i="4" s="1"/>
  <c r="C27" i="5"/>
  <c r="C11" i="5"/>
  <c r="D12" i="5" s="1"/>
  <c r="D22" i="5" s="1"/>
  <c r="F30" i="3"/>
  <c r="B3" i="3"/>
  <c r="B4" i="3" s="1"/>
  <c r="V20" i="3"/>
  <c r="V21" i="3" s="1"/>
  <c r="C26" i="4" s="1"/>
  <c r="C29" i="4" s="1"/>
  <c r="G16" i="3"/>
  <c r="F17" i="3" l="1"/>
  <c r="C13" i="4"/>
  <c r="B5" i="3"/>
  <c r="B10" i="4"/>
  <c r="C34" i="4"/>
  <c r="D26" i="4"/>
  <c r="B52" i="4"/>
  <c r="C26" i="5"/>
  <c r="D30" i="5" s="1"/>
  <c r="D32" i="5" s="1"/>
  <c r="D43" i="4"/>
  <c r="B56" i="4" l="1"/>
  <c r="D52" i="4"/>
  <c r="D56" i="4" s="1"/>
  <c r="D13" i="4"/>
  <c r="B12" i="6" s="1"/>
  <c r="C14" i="4"/>
  <c r="C23" i="4" s="1"/>
  <c r="C57" i="4" s="1"/>
  <c r="D29" i="4"/>
  <c r="B25" i="6"/>
  <c r="C28" i="6" s="1"/>
  <c r="D33" i="6" s="1"/>
  <c r="D10" i="4"/>
  <c r="B14" i="4"/>
  <c r="B23" i="4" s="1"/>
  <c r="D34" i="4"/>
  <c r="B57" i="4" l="1"/>
  <c r="D14" i="4"/>
  <c r="D23" i="4" s="1"/>
  <c r="D57" i="4" s="1"/>
  <c r="B9" i="6"/>
  <c r="C13" i="6" s="1"/>
  <c r="D22" i="6" s="1"/>
  <c r="B36" i="6" s="1"/>
  <c r="C37" i="6" s="1"/>
  <c r="D38" i="6" s="1"/>
</calcChain>
</file>

<file path=xl/sharedStrings.xml><?xml version="1.0" encoding="utf-8"?>
<sst xmlns="http://schemas.openxmlformats.org/spreadsheetml/2006/main" count="294" uniqueCount="164">
  <si>
    <t>UNIVERSIDAD DE CARABOBO</t>
  </si>
  <si>
    <t>FACULTAD DE CIENCIAS ECONOMICAS Y SOCIALES</t>
  </si>
  <si>
    <t>ESCUELA DE ADMINISTRACIÓN COMERCIAL Y CONTADURÍA PÚBLICA</t>
  </si>
  <si>
    <t>CONTABILIDAD I</t>
  </si>
  <si>
    <t>TAREA GRUPAL LIBRE 10%</t>
  </si>
  <si>
    <t>ESTUDIANTES:</t>
  </si>
  <si>
    <t>Cálculos:</t>
  </si>
  <si>
    <t>Monto mensualidad alquiler:</t>
  </si>
  <si>
    <t>Bs</t>
  </si>
  <si>
    <t>(Depositos recibidos en garantia / 2 meses)</t>
  </si>
  <si>
    <t>(Alquileres cobrados por anticipado / 3 meses)</t>
  </si>
  <si>
    <t>Nro. Asiento</t>
  </si>
  <si>
    <t>Bancos</t>
  </si>
  <si>
    <t xml:space="preserve">Debe </t>
  </si>
  <si>
    <t>Haber</t>
  </si>
  <si>
    <t>IVA Débito Fiscal</t>
  </si>
  <si>
    <t>Alquileres Ganados</t>
  </si>
  <si>
    <t>Descripción</t>
  </si>
  <si>
    <t>Fecha</t>
  </si>
  <si>
    <t>Para registrar el cobro del cánon de la oficina mes de noviembre 2020</t>
  </si>
  <si>
    <t>Amortización pólizas de seguros:</t>
  </si>
  <si>
    <t>Póliza contra robos:</t>
  </si>
  <si>
    <t>Monto mensual</t>
  </si>
  <si>
    <t>Amortizacion al 31/12/2019</t>
  </si>
  <si>
    <t>Amortizacion año 2020</t>
  </si>
  <si>
    <t>Seguros Pagados por Anticipado</t>
  </si>
  <si>
    <t>Gasto de Seguros (póliza robos)</t>
  </si>
  <si>
    <t>Para registrar la amortización de seguro del año 2020 (Póliza contra Robos)</t>
  </si>
  <si>
    <t>Póliza contra Incendios:</t>
  </si>
  <si>
    <t>Fecha Inicio</t>
  </si>
  <si>
    <t>Amortizacion al 31/12/2020</t>
  </si>
  <si>
    <t>Amortizacion año 2021</t>
  </si>
  <si>
    <t>Menos (-) Amortización al 31-12-2019</t>
  </si>
  <si>
    <t>Total Seguros Pagados por Anticipado</t>
  </si>
  <si>
    <r>
      <rPr>
        <u/>
        <sz val="11"/>
        <color theme="1"/>
        <rFont val="Calibri"/>
        <family val="2"/>
        <scheme val="minor"/>
      </rPr>
      <t>Verificación</t>
    </r>
    <r>
      <rPr>
        <sz val="11"/>
        <color theme="1"/>
        <rFont val="Calibri"/>
        <family val="2"/>
        <scheme val="minor"/>
      </rPr>
      <t>: Total Pólizas (Robos + Incendios)</t>
    </r>
  </si>
  <si>
    <t>Gasto de Seguros (póliza incendios)</t>
  </si>
  <si>
    <t>Para registrar la amortización se seguro del año 2020 (Póliza contra incendios)</t>
  </si>
  <si>
    <t>Hipoteca:</t>
  </si>
  <si>
    <t>x 30% =</t>
  </si>
  <si>
    <t>Intereses:</t>
  </si>
  <si>
    <t>I = C x i x T</t>
  </si>
  <si>
    <t>Total</t>
  </si>
  <si>
    <t>Mensual</t>
  </si>
  <si>
    <t>Hipoteca por Pagar</t>
  </si>
  <si>
    <t>Gasto de Interés</t>
  </si>
  <si>
    <t>gasto año 2020</t>
  </si>
  <si>
    <t>pagados por anticipado</t>
  </si>
  <si>
    <t>Intereses pagados por Anticipado</t>
  </si>
  <si>
    <t>Banco</t>
  </si>
  <si>
    <t>Para registrar el pago del 30% de la hipoteca y 3 meses de interés</t>
  </si>
  <si>
    <t>Edificios</t>
  </si>
  <si>
    <t>Compras</t>
  </si>
  <si>
    <t>Dep.acumulada Edificios</t>
  </si>
  <si>
    <t>Descuentos en Ventas</t>
  </si>
  <si>
    <t>Int.diferidos por causar</t>
  </si>
  <si>
    <t>Depreciación edificios</t>
  </si>
  <si>
    <t>Devoluciones en Compras</t>
  </si>
  <si>
    <t>Efectos por Pagar</t>
  </si>
  <si>
    <t>Inventario de mercancías</t>
  </si>
  <si>
    <t>Fletes en Compras</t>
  </si>
  <si>
    <t>Fletes en Ventas</t>
  </si>
  <si>
    <t>Efectos por Cobrar</t>
  </si>
  <si>
    <t>Seguros pagados por Antic.</t>
  </si>
  <si>
    <t>Alquileres cobrados por antic.</t>
  </si>
  <si>
    <t>Hipotecas por Pagar</t>
  </si>
  <si>
    <t>Ventas</t>
  </si>
  <si>
    <t>Pérdida en vta act.fijos</t>
  </si>
  <si>
    <t>Carlos Carillo, Capital</t>
  </si>
  <si>
    <t>Carlos Carrillo, Personal.</t>
  </si>
  <si>
    <t>Depositos recib en garantia</t>
  </si>
  <si>
    <t>Sueldos y Salarios</t>
  </si>
  <si>
    <t>Inventario de Mercancías</t>
  </si>
  <si>
    <t>IVA Debito Fiscal</t>
  </si>
  <si>
    <t>Ajuste cuenta Fletes en Venta (es acreedora)</t>
  </si>
  <si>
    <t>Inventario Inicial</t>
  </si>
  <si>
    <t>Inventario de Mercancías:</t>
  </si>
  <si>
    <t>Saldo inicial</t>
  </si>
  <si>
    <t>Saldo final</t>
  </si>
  <si>
    <t>Inventario Final</t>
  </si>
  <si>
    <t>Para registrar el saldo del inventario al 31-12-2020</t>
  </si>
  <si>
    <t>Se duplica el monto por el haber</t>
  </si>
  <si>
    <t>Asiento inicial:</t>
  </si>
  <si>
    <t>xxx</t>
  </si>
  <si>
    <t>Fletes en ventas</t>
  </si>
  <si>
    <t>Para ajustar saldos por registro incorrecto</t>
  </si>
  <si>
    <t>Gastos de seguro</t>
  </si>
  <si>
    <t>Gastos de Interés</t>
  </si>
  <si>
    <t>Int.pagados por anticipado</t>
  </si>
  <si>
    <t>Inventario inicial</t>
  </si>
  <si>
    <t>Inventario final</t>
  </si>
  <si>
    <t>Pago 30% hipoteca e intereses</t>
  </si>
  <si>
    <t>Tf.20135478</t>
  </si>
  <si>
    <t>S.al 31-12-2020</t>
  </si>
  <si>
    <t>Iva Ft.00345-18</t>
  </si>
  <si>
    <t>Ft.00345-18</t>
  </si>
  <si>
    <t>Amortiz. póliza robos año 2020</t>
  </si>
  <si>
    <t>Amortiz. póliza incendios 2020</t>
  </si>
  <si>
    <t>Pago 30% hipoteca</t>
  </si>
  <si>
    <t>Interes hipoteca mes 01-2021</t>
  </si>
  <si>
    <t>2 meses interés hipoteca</t>
  </si>
  <si>
    <t>Para efectuar el cierre del inv.inicial</t>
  </si>
  <si>
    <t>para registrar el inv.final</t>
  </si>
  <si>
    <t>para ajustar saldos</t>
  </si>
  <si>
    <t>Materiales Carrilo, F.P Carlos Carrillo</t>
  </si>
  <si>
    <t>Asientos de Diario</t>
  </si>
  <si>
    <t>Cuenta</t>
  </si>
  <si>
    <t>Saldo</t>
  </si>
  <si>
    <t>ACTIVOS</t>
  </si>
  <si>
    <t>Activo Circulante</t>
  </si>
  <si>
    <t>Activo Fijo</t>
  </si>
  <si>
    <t>Dep.acumulada edificios</t>
  </si>
  <si>
    <t>Total Activo Circulante</t>
  </si>
  <si>
    <t>Activo No circulante</t>
  </si>
  <si>
    <t>Total Activo Fijo</t>
  </si>
  <si>
    <t>Intereses diferidos por causar</t>
  </si>
  <si>
    <t>Total Activo No circulante</t>
  </si>
  <si>
    <t>TOTAL ACTIVOS</t>
  </si>
  <si>
    <t>PASIVOS</t>
  </si>
  <si>
    <t>Pasivo Circulante</t>
  </si>
  <si>
    <t>Depósitos recibidos en garantía</t>
  </si>
  <si>
    <t>Seguros pagados por Anticipado</t>
  </si>
  <si>
    <t>Total Pasivo Circulante</t>
  </si>
  <si>
    <t>Pasivo No Circulante</t>
  </si>
  <si>
    <t>Alquileres cobrados por Anticipado</t>
  </si>
  <si>
    <t>Total Pasivo no Circulante</t>
  </si>
  <si>
    <t>CAPITAL</t>
  </si>
  <si>
    <t>Carlos Carrillo, personal.</t>
  </si>
  <si>
    <t>Carlos Carrillo, Capital.</t>
  </si>
  <si>
    <t>Total Ingresos</t>
  </si>
  <si>
    <t>Total Costo de Ventas</t>
  </si>
  <si>
    <t>Gastos</t>
  </si>
  <si>
    <t>Gastos de Seguro</t>
  </si>
  <si>
    <t>Pérdida en venta de activos Fijos</t>
  </si>
  <si>
    <t>Total Gastos</t>
  </si>
  <si>
    <t>TOTALES</t>
  </si>
  <si>
    <t>Debitos</t>
  </si>
  <si>
    <t>Créditos</t>
  </si>
  <si>
    <t>TOTAL PASIVOS</t>
  </si>
  <si>
    <t>TOTAL CAPITAL</t>
  </si>
  <si>
    <t>INGRESOS</t>
  </si>
  <si>
    <t>TOTAL INGRESOS</t>
  </si>
  <si>
    <t>COSTOS DE VENTA</t>
  </si>
  <si>
    <t>TOTAL COSTOS DE VENTA</t>
  </si>
  <si>
    <t>GASTOS</t>
  </si>
  <si>
    <t>Gastos de Seguros</t>
  </si>
  <si>
    <t>TOTAL GASTOS</t>
  </si>
  <si>
    <t>TOTAL UTILIDAD BRUTA</t>
  </si>
  <si>
    <t>UTILIDAD NETA DEL EJERCICIO</t>
  </si>
  <si>
    <t>PATRIMONIO</t>
  </si>
  <si>
    <t>TOTAL PATRIMONIO</t>
  </si>
  <si>
    <t>TOTAL PASIVO Y PATRIMONIO</t>
  </si>
  <si>
    <t>Depreciación Edificios</t>
  </si>
  <si>
    <t>Pérdida en Venta de activos fijos</t>
  </si>
  <si>
    <t>cierre de ejercicio</t>
  </si>
  <si>
    <t>Para registrar el cierre de las operaciones efectuadas en el año 2020</t>
  </si>
  <si>
    <t>MATERIALES CARRILLO, F.P</t>
  </si>
  <si>
    <t>Carlos Carrillo</t>
  </si>
  <si>
    <t>Balance de Comprobación</t>
  </si>
  <si>
    <t xml:space="preserve">Al 31-12-2020 </t>
  </si>
  <si>
    <t>Expresado en Bolívares</t>
  </si>
  <si>
    <t>Estado de Resultados</t>
  </si>
  <si>
    <t>Del 01-01-2020 al 31-12-2020</t>
  </si>
  <si>
    <t>Estado de Situación Financiera</t>
  </si>
  <si>
    <t>Año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</si>
</sst>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0" fontId="5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" fontId="0" fillId="0" borderId="4" xfId="0" applyNumberForma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9" xfId="0" applyBorder="1"/>
    <xf numFmtId="4" fontId="0" fillId="0" borderId="9" xfId="0" applyNumberFormat="1" applyBorder="1"/>
    <xf numFmtId="164" fontId="0" fillId="0" borderId="0" xfId="0" applyNumberFormat="1" applyBorder="1"/>
    <xf numFmtId="0" fontId="1" fillId="0" borderId="4" xfId="0" applyFont="1" applyBorder="1"/>
    <xf numFmtId="0" fontId="0" fillId="0" borderId="0" xfId="0" applyBorder="1" applyAlignment="1">
      <alignment horizontal="center" wrapText="1"/>
    </xf>
    <xf numFmtId="4" fontId="0" fillId="0" borderId="0" xfId="0" applyNumberForma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4" fontId="0" fillId="0" borderId="5" xfId="0" applyNumberFormat="1" applyBorder="1"/>
    <xf numFmtId="4" fontId="0" fillId="0" borderId="5" xfId="0" applyNumberFormat="1" applyBorder="1" applyAlignment="1">
      <alignment horizontal="center"/>
    </xf>
    <xf numFmtId="4" fontId="0" fillId="0" borderId="10" xfId="0" applyNumberFormat="1" applyBorder="1"/>
    <xf numFmtId="0" fontId="0" fillId="0" borderId="4" xfId="0" applyFont="1" applyBorder="1"/>
    <xf numFmtId="0" fontId="0" fillId="0" borderId="0" xfId="0" applyBorder="1" applyAlignment="1"/>
    <xf numFmtId="4" fontId="0" fillId="0" borderId="0" xfId="0" applyNumberFormat="1" applyBorder="1" applyAlignment="1"/>
    <xf numFmtId="4" fontId="0" fillId="0" borderId="0" xfId="0" applyNumberFormat="1" applyBorder="1" applyAlignment="1">
      <alignment horizontal="left"/>
    </xf>
    <xf numFmtId="4" fontId="0" fillId="0" borderId="7" xfId="0" applyNumberFormat="1" applyBorder="1"/>
    <xf numFmtId="0" fontId="1" fillId="0" borderId="0" xfId="0" applyFont="1" applyFill="1" applyBorder="1"/>
    <xf numFmtId="0" fontId="1" fillId="0" borderId="0" xfId="0" applyFont="1"/>
    <xf numFmtId="4" fontId="0" fillId="0" borderId="8" xfId="0" applyNumberFormat="1" applyBorder="1"/>
    <xf numFmtId="4" fontId="0" fillId="0" borderId="5" xfId="0" applyNumberFormat="1" applyBorder="1" applyAlignment="1"/>
    <xf numFmtId="4" fontId="0" fillId="0" borderId="11" xfId="0" applyNumberFormat="1" applyBorder="1"/>
    <xf numFmtId="4" fontId="0" fillId="0" borderId="2" xfId="0" applyNumberFormat="1" applyBorder="1"/>
    <xf numFmtId="4" fontId="0" fillId="0" borderId="3" xfId="0" applyNumberFormat="1" applyBorder="1"/>
    <xf numFmtId="4" fontId="0" fillId="0" borderId="1" xfId="0" applyNumberFormat="1" applyBorder="1"/>
    <xf numFmtId="4" fontId="0" fillId="0" borderId="12" xfId="0" applyNumberFormat="1" applyBorder="1"/>
    <xf numFmtId="4" fontId="0" fillId="0" borderId="13" xfId="0" applyNumberFormat="1" applyBorder="1"/>
    <xf numFmtId="0" fontId="7" fillId="0" borderId="0" xfId="0" applyFont="1"/>
    <xf numFmtId="4" fontId="0" fillId="0" borderId="8" xfId="0" applyNumberFormat="1" applyBorder="1" applyAlignment="1">
      <alignment horizontal="center" vertical="center"/>
    </xf>
    <xf numFmtId="4" fontId="0" fillId="0" borderId="6" xfId="0" applyNumberFormat="1" applyBorder="1"/>
    <xf numFmtId="4" fontId="0" fillId="0" borderId="0" xfId="0" applyNumberFormat="1" applyAlignment="1">
      <alignment horizontal="right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/>
    </xf>
    <xf numFmtId="4" fontId="1" fillId="0" borderId="0" xfId="0" applyNumberFormat="1" applyFont="1"/>
    <xf numFmtId="4" fontId="7" fillId="0" borderId="11" xfId="0" applyNumberFormat="1" applyFont="1" applyBorder="1"/>
    <xf numFmtId="4" fontId="7" fillId="0" borderId="13" xfId="0" applyNumberFormat="1" applyFont="1" applyBorder="1"/>
    <xf numFmtId="4" fontId="7" fillId="0" borderId="0" xfId="0" applyNumberFormat="1" applyFont="1"/>
    <xf numFmtId="4" fontId="7" fillId="0" borderId="0" xfId="0" applyNumberFormat="1" applyFont="1" applyAlignment="1">
      <alignment wrapText="1"/>
    </xf>
    <xf numFmtId="4" fontId="0" fillId="0" borderId="5" xfId="0" applyNumberFormat="1" applyFont="1" applyBorder="1" applyAlignment="1">
      <alignment vertical="center"/>
    </xf>
    <xf numFmtId="4" fontId="0" fillId="0" borderId="8" xfId="0" applyNumberFormat="1" applyBorder="1" applyAlignment="1">
      <alignment vertical="center"/>
    </xf>
    <xf numFmtId="4" fontId="7" fillId="0" borderId="0" xfId="0" applyNumberFormat="1" applyFont="1" applyAlignment="1">
      <alignment vertical="center" wrapText="1"/>
    </xf>
    <xf numFmtId="4" fontId="0" fillId="0" borderId="0" xfId="0" applyNumberFormat="1" applyAlignment="1">
      <alignment vertical="center"/>
    </xf>
    <xf numFmtId="4" fontId="0" fillId="0" borderId="0" xfId="0" applyNumberFormat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4" fontId="0" fillId="0" borderId="11" xfId="0" applyNumberFormat="1" applyBorder="1" applyAlignment="1">
      <alignment vertical="center"/>
    </xf>
    <xf numFmtId="4" fontId="0" fillId="0" borderId="12" xfId="0" applyNumberFormat="1" applyBorder="1" applyAlignment="1">
      <alignment vertical="center"/>
    </xf>
    <xf numFmtId="4" fontId="0" fillId="0" borderId="3" xfId="0" applyNumberFormat="1" applyBorder="1" applyAlignment="1">
      <alignment vertical="center"/>
    </xf>
    <xf numFmtId="4" fontId="0" fillId="0" borderId="13" xfId="0" applyNumberFormat="1" applyBorder="1" applyAlignment="1">
      <alignment vertical="center"/>
    </xf>
    <xf numFmtId="0" fontId="0" fillId="0" borderId="0" xfId="0" applyAlignment="1">
      <alignment vertical="center"/>
    </xf>
    <xf numFmtId="4" fontId="7" fillId="0" borderId="0" xfId="0" applyNumberFormat="1" applyFont="1" applyBorder="1" applyAlignment="1">
      <alignment vertical="top" wrapText="1"/>
    </xf>
    <xf numFmtId="4" fontId="7" fillId="0" borderId="0" xfId="0" applyNumberFormat="1" applyFont="1" applyBorder="1" applyAlignment="1">
      <alignment horizontal="right" vertical="center" wrapText="1"/>
    </xf>
    <xf numFmtId="4" fontId="0" fillId="0" borderId="11" xfId="0" applyNumberFormat="1" applyFont="1" applyBorder="1"/>
    <xf numFmtId="4" fontId="8" fillId="0" borderId="11" xfId="0" applyNumberFormat="1" applyFont="1" applyBorder="1"/>
    <xf numFmtId="4" fontId="7" fillId="0" borderId="0" xfId="0" applyNumberFormat="1" applyFont="1" applyAlignment="1">
      <alignment horizontal="right" vertical="top" wrapText="1"/>
    </xf>
    <xf numFmtId="4" fontId="7" fillId="0" borderId="13" xfId="0" applyNumberFormat="1" applyFont="1" applyBorder="1" applyAlignment="1">
      <alignment vertical="center"/>
    </xf>
    <xf numFmtId="4" fontId="7" fillId="0" borderId="0" xfId="0" applyNumberFormat="1" applyFont="1" applyAlignment="1">
      <alignment vertical="center"/>
    </xf>
    <xf numFmtId="4" fontId="7" fillId="0" borderId="0" xfId="0" applyNumberFormat="1" applyFont="1" applyAlignment="1">
      <alignment horizontal="right" wrapText="1"/>
    </xf>
    <xf numFmtId="4" fontId="0" fillId="0" borderId="13" xfId="0" applyNumberFormat="1" applyFont="1" applyBorder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/>
    </xf>
    <xf numFmtId="4" fontId="0" fillId="0" borderId="1" xfId="0" applyNumberFormat="1" applyBorder="1" applyAlignment="1">
      <alignment vertic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4" fontId="1" fillId="0" borderId="15" xfId="0" applyNumberFormat="1" applyFont="1" applyBorder="1"/>
    <xf numFmtId="4" fontId="1" fillId="0" borderId="16" xfId="0" applyNumberFormat="1" applyFont="1" applyBorder="1"/>
    <xf numFmtId="0" fontId="1" fillId="0" borderId="17" xfId="0" applyFont="1" applyBorder="1"/>
    <xf numFmtId="4" fontId="0" fillId="0" borderId="17" xfId="0" applyNumberFormat="1" applyBorder="1"/>
    <xf numFmtId="0" fontId="1" fillId="0" borderId="18" xfId="0" applyFont="1" applyFill="1" applyBorder="1"/>
    <xf numFmtId="4" fontId="1" fillId="0" borderId="17" xfId="0" applyNumberFormat="1" applyFont="1" applyBorder="1"/>
    <xf numFmtId="4" fontId="1" fillId="0" borderId="19" xfId="0" applyNumberFormat="1" applyFont="1" applyBorder="1"/>
    <xf numFmtId="0" fontId="0" fillId="0" borderId="0" xfId="0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4" fontId="1" fillId="0" borderId="0" xfId="0" applyNumberFormat="1" applyFont="1" applyFill="1"/>
    <xf numFmtId="0" fontId="0" fillId="0" borderId="20" xfId="0" applyBorder="1"/>
    <xf numFmtId="0" fontId="1" fillId="0" borderId="20" xfId="0" applyFont="1" applyBorder="1"/>
    <xf numFmtId="4" fontId="1" fillId="0" borderId="20" xfId="0" applyNumberFormat="1" applyFont="1" applyBorder="1"/>
    <xf numFmtId="0" fontId="1" fillId="0" borderId="0" xfId="0" applyFont="1" applyBorder="1"/>
    <xf numFmtId="4" fontId="1" fillId="0" borderId="0" xfId="0" applyNumberFormat="1" applyFont="1" applyBorder="1"/>
    <xf numFmtId="4" fontId="1" fillId="0" borderId="21" xfId="0" applyNumberFormat="1" applyFont="1" applyBorder="1"/>
    <xf numFmtId="4" fontId="1" fillId="0" borderId="7" xfId="0" applyNumberFormat="1" applyFont="1" applyBorder="1"/>
    <xf numFmtId="4" fontId="0" fillId="0" borderId="0" xfId="0" applyNumberFormat="1" applyFont="1" applyBorder="1"/>
    <xf numFmtId="0" fontId="0" fillId="0" borderId="0" xfId="0" applyFont="1" applyAlignment="1">
      <alignment horizontal="center"/>
    </xf>
    <xf numFmtId="4" fontId="0" fillId="0" borderId="0" xfId="0" applyNumberFormat="1" applyFont="1"/>
    <xf numFmtId="4" fontId="0" fillId="0" borderId="17" xfId="0" applyNumberFormat="1" applyFont="1" applyBorder="1"/>
    <xf numFmtId="0" fontId="0" fillId="0" borderId="0" xfId="0" applyFont="1" applyBorder="1"/>
    <xf numFmtId="0" fontId="0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" fontId="7" fillId="0" borderId="0" xfId="0" applyNumberFormat="1" applyFont="1" applyBorder="1" applyAlignment="1">
      <alignment horizontal="center" vertical="top" wrapText="1"/>
    </xf>
    <xf numFmtId="4" fontId="9" fillId="0" borderId="0" xfId="0" applyNumberFormat="1" applyFont="1"/>
    <xf numFmtId="4" fontId="9" fillId="0" borderId="0" xfId="0" applyNumberFormat="1" applyFont="1" applyAlignment="1">
      <alignment horizontal="right" vertical="center" wrapText="1"/>
    </xf>
    <xf numFmtId="0" fontId="9" fillId="0" borderId="0" xfId="0" applyFont="1" applyAlignment="1">
      <alignment horizontal="right" wrapText="1"/>
    </xf>
    <xf numFmtId="4" fontId="9" fillId="0" borderId="0" xfId="0" applyNumberFormat="1" applyFont="1" applyAlignment="1">
      <alignment horizontal="center" vertical="center" wrapText="1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18" xfId="0" applyFont="1" applyBorder="1"/>
    <xf numFmtId="0" fontId="1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66"/>
      <color rgb="FF66FF33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G27"/>
  <sheetViews>
    <sheetView zoomScaleNormal="100" workbookViewId="0">
      <selection activeCell="C28" sqref="C28"/>
    </sheetView>
  </sheetViews>
  <sheetFormatPr baseColWidth="10" defaultRowHeight="15" x14ac:dyDescent="0.25"/>
  <sheetData>
    <row r="1" spans="1:7" ht="18.75" x14ac:dyDescent="0.3">
      <c r="A1" s="108" t="s">
        <v>0</v>
      </c>
      <c r="B1" s="108"/>
      <c r="C1" s="108"/>
      <c r="D1" s="108"/>
      <c r="E1" s="108"/>
      <c r="F1" s="108"/>
      <c r="G1" s="108"/>
    </row>
    <row r="2" spans="1:7" ht="18.75" x14ac:dyDescent="0.3">
      <c r="A2" s="108" t="s">
        <v>1</v>
      </c>
      <c r="B2" s="108"/>
      <c r="C2" s="108"/>
      <c r="D2" s="108"/>
      <c r="E2" s="108"/>
      <c r="F2" s="108"/>
      <c r="G2" s="108"/>
    </row>
    <row r="3" spans="1:7" ht="18.75" x14ac:dyDescent="0.3">
      <c r="A3" s="108" t="s">
        <v>2</v>
      </c>
      <c r="B3" s="108"/>
      <c r="C3" s="108"/>
      <c r="D3" s="108"/>
      <c r="E3" s="108"/>
      <c r="F3" s="108"/>
      <c r="G3" s="108"/>
    </row>
    <row r="4" spans="1:7" ht="18.75" x14ac:dyDescent="0.3">
      <c r="A4" s="108" t="s">
        <v>3</v>
      </c>
      <c r="B4" s="108"/>
      <c r="C4" s="108"/>
      <c r="D4" s="108"/>
      <c r="E4" s="108"/>
      <c r="F4" s="108"/>
      <c r="G4" s="108"/>
    </row>
    <row r="12" spans="1:7" ht="15" customHeight="1" x14ac:dyDescent="0.25"/>
    <row r="13" spans="1:7" ht="15" customHeight="1" x14ac:dyDescent="0.25"/>
    <row r="14" spans="1:7" ht="15" customHeight="1" x14ac:dyDescent="0.25">
      <c r="A14" s="109" t="s">
        <v>4</v>
      </c>
      <c r="B14" s="109"/>
      <c r="C14" s="109"/>
      <c r="D14" s="109"/>
      <c r="E14" s="109"/>
      <c r="F14" s="109"/>
      <c r="G14" s="109"/>
    </row>
    <row r="15" spans="1:7" x14ac:dyDescent="0.25">
      <c r="A15" s="109"/>
      <c r="B15" s="109"/>
      <c r="C15" s="109"/>
      <c r="D15" s="109"/>
      <c r="E15" s="109"/>
      <c r="F15" s="109"/>
      <c r="G15" s="109"/>
    </row>
    <row r="16" spans="1:7" x14ac:dyDescent="0.25">
      <c r="A16" s="109"/>
      <c r="B16" s="109"/>
      <c r="C16" s="109"/>
      <c r="D16" s="109"/>
      <c r="E16" s="109"/>
      <c r="F16" s="109"/>
      <c r="G16" s="109"/>
    </row>
    <row r="27" spans="1:1" x14ac:dyDescent="0.25">
      <c r="A27" t="s">
        <v>5</v>
      </c>
    </row>
  </sheetData>
  <mergeCells count="5">
    <mergeCell ref="A1:G1"/>
    <mergeCell ref="A2:G2"/>
    <mergeCell ref="A3:G3"/>
    <mergeCell ref="A4:G4"/>
    <mergeCell ref="A14:G1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N44"/>
  <sheetViews>
    <sheetView topLeftCell="B19" workbookViewId="0">
      <selection activeCell="J15" sqref="J15"/>
    </sheetView>
  </sheetViews>
  <sheetFormatPr baseColWidth="10" defaultRowHeight="15" x14ac:dyDescent="0.25"/>
  <cols>
    <col min="1" max="1" width="8.5703125" style="1" customWidth="1"/>
    <col min="2" max="2" width="11.28515625" style="1" customWidth="1"/>
    <col min="3" max="3" width="7.140625" customWidth="1"/>
    <col min="4" max="4" width="30.85546875" customWidth="1"/>
    <col min="5" max="6" width="12.7109375" bestFit="1" customWidth="1"/>
    <col min="10" max="10" width="7.7109375" customWidth="1"/>
    <col min="11" max="11" width="13.7109375" customWidth="1"/>
    <col min="12" max="12" width="13.28515625" customWidth="1"/>
    <col min="13" max="13" width="13.85546875" customWidth="1"/>
    <col min="14" max="14" width="14.5703125" customWidth="1"/>
  </cols>
  <sheetData>
    <row r="1" spans="1:6" ht="18.75" x14ac:dyDescent="0.3">
      <c r="A1" s="108" t="s">
        <v>103</v>
      </c>
      <c r="B1" s="108"/>
      <c r="C1" s="108"/>
      <c r="D1" s="108"/>
      <c r="E1" s="108"/>
      <c r="F1" s="108"/>
    </row>
    <row r="2" spans="1:6" ht="18.75" x14ac:dyDescent="0.3">
      <c r="A2" s="108" t="s">
        <v>104</v>
      </c>
      <c r="B2" s="108"/>
      <c r="C2" s="108"/>
      <c r="D2" s="108"/>
      <c r="E2" s="108"/>
      <c r="F2" s="108"/>
    </row>
    <row r="3" spans="1:6" ht="30" x14ac:dyDescent="0.25">
      <c r="A3" s="14" t="s">
        <v>11</v>
      </c>
      <c r="B3" s="14" t="s">
        <v>18</v>
      </c>
      <c r="C3" s="111" t="s">
        <v>17</v>
      </c>
      <c r="D3" s="111"/>
      <c r="E3" s="15" t="s">
        <v>13</v>
      </c>
      <c r="F3" s="15" t="s">
        <v>14</v>
      </c>
    </row>
    <row r="4" spans="1:6" x14ac:dyDescent="0.25">
      <c r="A4" s="17">
        <v>165</v>
      </c>
      <c r="B4" s="18">
        <v>44196</v>
      </c>
      <c r="C4" s="19" t="s">
        <v>12</v>
      </c>
      <c r="D4" s="19"/>
      <c r="E4" s="20">
        <f>F5+F6</f>
        <v>1450</v>
      </c>
      <c r="F4" s="20"/>
    </row>
    <row r="5" spans="1:6" x14ac:dyDescent="0.25">
      <c r="D5" t="s">
        <v>15</v>
      </c>
      <c r="E5" s="2"/>
      <c r="F5" s="2">
        <f>F6*16%</f>
        <v>200</v>
      </c>
    </row>
    <row r="6" spans="1:6" x14ac:dyDescent="0.25">
      <c r="D6" t="s">
        <v>16</v>
      </c>
      <c r="F6" s="2">
        <f>Calculos!A4</f>
        <v>1250</v>
      </c>
    </row>
    <row r="7" spans="1:6" x14ac:dyDescent="0.25">
      <c r="A7" s="112" t="s">
        <v>19</v>
      </c>
      <c r="B7" s="112"/>
      <c r="C7" s="112"/>
      <c r="D7" s="112"/>
      <c r="E7" s="112"/>
      <c r="F7" s="112"/>
    </row>
    <row r="8" spans="1:6" x14ac:dyDescent="0.25">
      <c r="A8" s="1">
        <v>166</v>
      </c>
      <c r="B8" s="16">
        <v>44196</v>
      </c>
      <c r="C8" t="s">
        <v>26</v>
      </c>
      <c r="E8" s="2">
        <f>+Calculos!G8</f>
        <v>16000</v>
      </c>
      <c r="F8" s="2"/>
    </row>
    <row r="9" spans="1:6" x14ac:dyDescent="0.25">
      <c r="D9" t="s">
        <v>25</v>
      </c>
      <c r="E9" s="2"/>
      <c r="F9" s="2">
        <f>E8</f>
        <v>16000</v>
      </c>
    </row>
    <row r="10" spans="1:6" x14ac:dyDescent="0.25">
      <c r="A10" s="112" t="s">
        <v>27</v>
      </c>
      <c r="B10" s="112"/>
      <c r="C10" s="112"/>
      <c r="D10" s="112"/>
      <c r="E10" s="112"/>
      <c r="F10" s="112"/>
    </row>
    <row r="11" spans="1:6" x14ac:dyDescent="0.25">
      <c r="A11" s="1">
        <v>167</v>
      </c>
      <c r="B11" s="16">
        <v>44196</v>
      </c>
      <c r="C11" t="s">
        <v>35</v>
      </c>
      <c r="E11" s="2">
        <f>+Calculos!F11</f>
        <v>5250</v>
      </c>
    </row>
    <row r="12" spans="1:6" x14ac:dyDescent="0.25">
      <c r="D12" t="s">
        <v>25</v>
      </c>
      <c r="F12" s="2">
        <f>E11</f>
        <v>5250</v>
      </c>
    </row>
    <row r="13" spans="1:6" x14ac:dyDescent="0.25">
      <c r="A13" s="110" t="s">
        <v>36</v>
      </c>
      <c r="B13" s="110"/>
      <c r="C13" s="110"/>
      <c r="D13" s="110"/>
      <c r="E13" s="110"/>
      <c r="F13" s="110"/>
    </row>
    <row r="14" spans="1:6" x14ac:dyDescent="0.25">
      <c r="A14" s="1">
        <v>168</v>
      </c>
      <c r="B14" s="16">
        <v>44196</v>
      </c>
      <c r="C14" t="s">
        <v>43</v>
      </c>
      <c r="E14" s="2">
        <f>+Calculos!D17</f>
        <v>12000</v>
      </c>
      <c r="F14" s="2"/>
    </row>
    <row r="15" spans="1:6" x14ac:dyDescent="0.25">
      <c r="C15" t="s">
        <v>44</v>
      </c>
      <c r="E15" s="2">
        <f>+Calculos!D20</f>
        <v>800</v>
      </c>
      <c r="F15" s="2"/>
    </row>
    <row r="16" spans="1:6" x14ac:dyDescent="0.25">
      <c r="C16" t="s">
        <v>47</v>
      </c>
      <c r="E16" s="2">
        <f>+Calculos!D21</f>
        <v>400</v>
      </c>
      <c r="F16" s="2"/>
    </row>
    <row r="17" spans="1:14" x14ac:dyDescent="0.25">
      <c r="D17" t="s">
        <v>48</v>
      </c>
      <c r="E17" s="2"/>
      <c r="F17" s="2">
        <f>E14+E15+E16</f>
        <v>13200</v>
      </c>
    </row>
    <row r="18" spans="1:14" x14ac:dyDescent="0.25">
      <c r="A18" s="110" t="s">
        <v>49</v>
      </c>
      <c r="B18" s="110"/>
      <c r="C18" s="110"/>
      <c r="D18" s="110"/>
      <c r="E18" s="110"/>
      <c r="F18" s="110"/>
    </row>
    <row r="19" spans="1:14" x14ac:dyDescent="0.25">
      <c r="A19" s="1">
        <v>169</v>
      </c>
      <c r="B19" s="16">
        <v>44196</v>
      </c>
      <c r="C19" t="s">
        <v>74</v>
      </c>
      <c r="E19" s="2">
        <f>+Calculos!E23</f>
        <v>20000</v>
      </c>
      <c r="F19" s="2"/>
    </row>
    <row r="20" spans="1:14" x14ac:dyDescent="0.25">
      <c r="C20" t="s">
        <v>58</v>
      </c>
      <c r="E20" s="2">
        <f>+Calculos!E24</f>
        <v>48000</v>
      </c>
      <c r="F20" s="2"/>
    </row>
    <row r="21" spans="1:14" x14ac:dyDescent="0.25">
      <c r="D21" t="s">
        <v>78</v>
      </c>
      <c r="E21" s="2"/>
      <c r="F21" s="2">
        <f>+E20</f>
        <v>48000</v>
      </c>
      <c r="G21" s="7"/>
    </row>
    <row r="22" spans="1:14" x14ac:dyDescent="0.25">
      <c r="D22" t="s">
        <v>58</v>
      </c>
      <c r="E22" s="2"/>
      <c r="F22" s="2">
        <f>+E19</f>
        <v>20000</v>
      </c>
      <c r="G22" s="7"/>
    </row>
    <row r="23" spans="1:14" x14ac:dyDescent="0.25">
      <c r="A23" s="110" t="s">
        <v>79</v>
      </c>
      <c r="B23" s="110"/>
      <c r="C23" s="110"/>
      <c r="D23" s="110"/>
      <c r="E23" s="110"/>
      <c r="F23" s="110"/>
      <c r="G23" s="7"/>
    </row>
    <row r="24" spans="1:14" x14ac:dyDescent="0.25">
      <c r="A24" s="1">
        <v>170</v>
      </c>
      <c r="B24" s="16">
        <v>44196</v>
      </c>
      <c r="C24" t="s">
        <v>65</v>
      </c>
      <c r="E24" s="2">
        <v>6000</v>
      </c>
      <c r="F24" s="2"/>
      <c r="G24" s="7"/>
    </row>
    <row r="25" spans="1:14" x14ac:dyDescent="0.25">
      <c r="D25" t="s">
        <v>60</v>
      </c>
      <c r="E25" s="2"/>
      <c r="F25" s="2">
        <v>6000</v>
      </c>
      <c r="G25" s="7"/>
    </row>
    <row r="26" spans="1:14" x14ac:dyDescent="0.25">
      <c r="A26" s="110" t="s">
        <v>84</v>
      </c>
      <c r="B26" s="110"/>
      <c r="C26" s="110"/>
      <c r="D26" s="110"/>
      <c r="E26" s="110"/>
      <c r="F26" s="110"/>
      <c r="G26" s="7"/>
    </row>
    <row r="27" spans="1:14" x14ac:dyDescent="0.25">
      <c r="A27" s="1">
        <v>171</v>
      </c>
      <c r="B27" s="122">
        <v>44196</v>
      </c>
      <c r="C27" s="91" t="s">
        <v>65</v>
      </c>
      <c r="D27" s="91"/>
      <c r="E27" s="2">
        <f>+Mayores!U16</f>
        <v>194000</v>
      </c>
      <c r="F27" s="2"/>
      <c r="G27" s="7"/>
    </row>
    <row r="28" spans="1:14" x14ac:dyDescent="0.25">
      <c r="B28" s="123"/>
      <c r="C28" s="91" t="s">
        <v>60</v>
      </c>
      <c r="D28" s="91"/>
      <c r="E28" s="2">
        <f>+Mayores!U10</f>
        <v>3000</v>
      </c>
      <c r="G28" s="7"/>
    </row>
    <row r="29" spans="1:14" x14ac:dyDescent="0.25">
      <c r="B29" s="123"/>
      <c r="C29" s="91" t="s">
        <v>16</v>
      </c>
      <c r="D29" s="91"/>
      <c r="E29" s="2">
        <f>+Mayores!B29</f>
        <v>1250</v>
      </c>
      <c r="G29" s="7"/>
    </row>
    <row r="30" spans="1:14" x14ac:dyDescent="0.25">
      <c r="B30" s="123"/>
      <c r="C30" s="91" t="s">
        <v>78</v>
      </c>
      <c r="D30" s="91"/>
      <c r="E30" s="2">
        <f>+Mayores!U29</f>
        <v>48000</v>
      </c>
      <c r="G30" s="7"/>
    </row>
    <row r="31" spans="1:14" x14ac:dyDescent="0.25">
      <c r="B31" s="123"/>
      <c r="C31" s="91" t="s">
        <v>56</v>
      </c>
      <c r="D31" s="91"/>
      <c r="E31" s="2">
        <f>+Mayores!F9</f>
        <v>5000</v>
      </c>
      <c r="G31" s="7"/>
    </row>
    <row r="32" spans="1:14" x14ac:dyDescent="0.25">
      <c r="B32" s="123"/>
      <c r="C32" s="91"/>
      <c r="D32" s="91" t="s">
        <v>74</v>
      </c>
      <c r="F32" s="2">
        <f>+Mayores!R29</f>
        <v>20000</v>
      </c>
      <c r="G32" s="7"/>
      <c r="H32" s="7"/>
      <c r="I32" s="7"/>
      <c r="J32" s="7"/>
      <c r="K32" s="7"/>
      <c r="L32" s="7"/>
      <c r="M32" s="7"/>
      <c r="N32" s="7"/>
    </row>
    <row r="33" spans="1:6" x14ac:dyDescent="0.25">
      <c r="B33" s="123"/>
      <c r="C33" s="91"/>
      <c r="D33" s="91" t="s">
        <v>53</v>
      </c>
      <c r="F33" s="2">
        <f>+Mayores!R3</f>
        <v>6500</v>
      </c>
    </row>
    <row r="34" spans="1:6" x14ac:dyDescent="0.25">
      <c r="B34" s="123"/>
      <c r="C34" s="91"/>
      <c r="D34" s="91" t="s">
        <v>51</v>
      </c>
      <c r="F34" s="2">
        <f>+Mayores!J3</f>
        <v>85000</v>
      </c>
    </row>
    <row r="35" spans="1:6" x14ac:dyDescent="0.25">
      <c r="B35" s="123"/>
      <c r="C35" s="91"/>
      <c r="D35" s="91" t="s">
        <v>59</v>
      </c>
      <c r="F35" s="2">
        <f>+Mayores!R9</f>
        <v>8000</v>
      </c>
    </row>
    <row r="36" spans="1:6" x14ac:dyDescent="0.25">
      <c r="B36" s="123"/>
      <c r="C36" s="91"/>
      <c r="D36" s="91" t="s">
        <v>70</v>
      </c>
      <c r="F36" s="2">
        <f>Mayores!R21</f>
        <v>57750</v>
      </c>
    </row>
    <row r="37" spans="1:6" x14ac:dyDescent="0.25">
      <c r="B37" s="123"/>
      <c r="C37" s="91"/>
      <c r="D37" s="91" t="s">
        <v>131</v>
      </c>
      <c r="F37" s="2">
        <f>Mayores!G30</f>
        <v>21250</v>
      </c>
    </row>
    <row r="38" spans="1:6" x14ac:dyDescent="0.25">
      <c r="B38" s="123"/>
      <c r="C38" s="91"/>
      <c r="D38" s="91" t="s">
        <v>86</v>
      </c>
      <c r="F38" s="2">
        <f>Mayores!J29</f>
        <v>800</v>
      </c>
    </row>
    <row r="39" spans="1:6" x14ac:dyDescent="0.25">
      <c r="B39" s="123"/>
      <c r="C39" s="91"/>
      <c r="D39" s="91" t="s">
        <v>151</v>
      </c>
      <c r="F39" s="2">
        <f>Mayores!C9</f>
        <v>2500</v>
      </c>
    </row>
    <row r="40" spans="1:6" x14ac:dyDescent="0.25">
      <c r="B40" s="123"/>
      <c r="C40" s="91"/>
      <c r="D40" s="91" t="s">
        <v>152</v>
      </c>
      <c r="F40" s="2">
        <f>Mayores!C21</f>
        <v>3000</v>
      </c>
    </row>
    <row r="41" spans="1:6" x14ac:dyDescent="0.25">
      <c r="D41" t="s">
        <v>126</v>
      </c>
      <c r="F41" s="2">
        <v>46450</v>
      </c>
    </row>
    <row r="42" spans="1:6" x14ac:dyDescent="0.25">
      <c r="A42" s="110" t="s">
        <v>154</v>
      </c>
      <c r="B42" s="110"/>
      <c r="C42" s="110"/>
      <c r="D42" s="110"/>
      <c r="E42" s="110"/>
      <c r="F42" s="110"/>
    </row>
    <row r="43" spans="1:6" x14ac:dyDescent="0.25">
      <c r="E43" s="2"/>
      <c r="F43" s="2"/>
    </row>
    <row r="44" spans="1:6" x14ac:dyDescent="0.25">
      <c r="E44" s="2"/>
      <c r="F44" s="2"/>
    </row>
  </sheetData>
  <mergeCells count="10">
    <mergeCell ref="A42:F42"/>
    <mergeCell ref="A1:F1"/>
    <mergeCell ref="A2:F2"/>
    <mergeCell ref="A13:F13"/>
    <mergeCell ref="A18:F18"/>
    <mergeCell ref="A23:F23"/>
    <mergeCell ref="A26:F26"/>
    <mergeCell ref="C3:D3"/>
    <mergeCell ref="A7:F7"/>
    <mergeCell ref="A10:F10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W37"/>
  <sheetViews>
    <sheetView topLeftCell="H22" workbookViewId="0">
      <selection activeCell="M31" sqref="M31"/>
    </sheetView>
  </sheetViews>
  <sheetFormatPr baseColWidth="10" defaultRowHeight="15" x14ac:dyDescent="0.25"/>
  <cols>
    <col min="1" max="1" width="13" customWidth="1"/>
    <col min="4" max="4" width="15.42578125" customWidth="1"/>
    <col min="5" max="5" width="12.42578125" customWidth="1"/>
    <col min="7" max="7" width="13.140625" customWidth="1"/>
    <col min="8" max="8" width="14" customWidth="1"/>
    <col min="11" max="11" width="12.28515625" bestFit="1" customWidth="1"/>
    <col min="12" max="12" width="14.7109375" customWidth="1"/>
    <col min="13" max="13" width="15.42578125" customWidth="1"/>
    <col min="15" max="16" width="12.28515625" bestFit="1" customWidth="1"/>
    <col min="19" max="19" width="12.28515625" bestFit="1" customWidth="1"/>
    <col min="20" max="20" width="12.28515625" customWidth="1"/>
    <col min="23" max="23" width="13.28515625" customWidth="1"/>
  </cols>
  <sheetData>
    <row r="1" spans="1:23" s="91" customFormat="1" ht="15.75" thickBot="1" x14ac:dyDescent="0.3">
      <c r="B1" s="115" t="s">
        <v>12</v>
      </c>
      <c r="C1" s="115"/>
      <c r="D1" s="92"/>
      <c r="E1" s="93"/>
      <c r="F1" s="115" t="s">
        <v>50</v>
      </c>
      <c r="G1" s="115"/>
      <c r="H1" s="93"/>
      <c r="I1" s="115" t="s">
        <v>51</v>
      </c>
      <c r="J1" s="115"/>
      <c r="K1" s="93"/>
      <c r="L1" s="93"/>
      <c r="M1" s="115" t="s">
        <v>52</v>
      </c>
      <c r="N1" s="115"/>
      <c r="O1" s="93"/>
      <c r="P1" s="93"/>
      <c r="Q1" s="115" t="s">
        <v>53</v>
      </c>
      <c r="R1" s="115"/>
      <c r="S1" s="93"/>
      <c r="T1" s="93"/>
      <c r="U1" s="115" t="s">
        <v>54</v>
      </c>
      <c r="V1" s="115"/>
    </row>
    <row r="2" spans="1:23" ht="15.75" thickBot="1" x14ac:dyDescent="0.3">
      <c r="A2" s="45" t="s">
        <v>92</v>
      </c>
      <c r="B2" s="38">
        <v>56000</v>
      </c>
      <c r="C2" s="32">
        <f>'Asientos de diario'!F17</f>
        <v>13200</v>
      </c>
      <c r="D2" s="117" t="s">
        <v>90</v>
      </c>
      <c r="E2" s="45" t="s">
        <v>92</v>
      </c>
      <c r="F2" s="39">
        <v>50000</v>
      </c>
      <c r="G2" s="34"/>
      <c r="H2" s="45" t="s">
        <v>92</v>
      </c>
      <c r="I2" s="27">
        <v>85000</v>
      </c>
      <c r="J2" s="2"/>
      <c r="K2" s="48"/>
      <c r="L2" s="48"/>
      <c r="M2" s="37"/>
      <c r="N2" s="47">
        <v>25000</v>
      </c>
      <c r="O2" s="45" t="s">
        <v>92</v>
      </c>
      <c r="P2" s="50" t="s">
        <v>92</v>
      </c>
      <c r="Q2" s="37">
        <v>6500</v>
      </c>
      <c r="R2" s="47"/>
      <c r="S2" s="50" t="s">
        <v>92</v>
      </c>
      <c r="T2" s="50"/>
      <c r="U2" s="39">
        <v>1800</v>
      </c>
      <c r="V2" s="44"/>
    </row>
    <row r="3" spans="1:23" ht="15.75" thickBot="1" x14ac:dyDescent="0.3">
      <c r="A3" s="49" t="s">
        <v>91</v>
      </c>
      <c r="B3" s="46">
        <f>'Asientos de diario'!E4</f>
        <v>1450</v>
      </c>
      <c r="C3" s="34"/>
      <c r="D3" s="117"/>
      <c r="E3" s="2"/>
      <c r="F3" s="27">
        <f>SUM(F2)</f>
        <v>50000</v>
      </c>
      <c r="G3" s="2"/>
      <c r="H3" s="2"/>
      <c r="I3" s="41">
        <f>SUM(I2)</f>
        <v>85000</v>
      </c>
      <c r="J3" s="40">
        <v>85000</v>
      </c>
      <c r="K3" s="118" t="s">
        <v>153</v>
      </c>
      <c r="L3" s="2"/>
      <c r="M3" s="2"/>
      <c r="N3" s="42">
        <f>SUM(N2)</f>
        <v>25000</v>
      </c>
      <c r="O3" s="2"/>
      <c r="P3" s="2"/>
      <c r="Q3" s="41">
        <f>SUM(Q2)</f>
        <v>6500</v>
      </c>
      <c r="R3" s="2">
        <v>6500</v>
      </c>
      <c r="S3" s="118" t="s">
        <v>153</v>
      </c>
      <c r="T3" s="2"/>
      <c r="U3" s="27">
        <f>SUM(U2)</f>
        <v>1800</v>
      </c>
      <c r="V3" s="2"/>
    </row>
    <row r="4" spans="1:23" ht="15.75" thickBot="1" x14ac:dyDescent="0.3">
      <c r="B4" s="39">
        <f>SUM(B2:B3)</f>
        <v>57450</v>
      </c>
      <c r="C4" s="44">
        <f>SUM(C2:C3)</f>
        <v>13200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3" x14ac:dyDescent="0.25">
      <c r="B5" s="2">
        <f>B4-C4</f>
        <v>44250</v>
      </c>
      <c r="C5" s="4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3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3" s="93" customFormat="1" ht="15.75" thickBot="1" x14ac:dyDescent="0.3">
      <c r="B7" s="115" t="s">
        <v>55</v>
      </c>
      <c r="C7" s="115"/>
      <c r="D7" s="92"/>
      <c r="F7" s="115" t="s">
        <v>56</v>
      </c>
      <c r="G7" s="115"/>
      <c r="I7" s="115" t="s">
        <v>57</v>
      </c>
      <c r="J7" s="115"/>
      <c r="M7" s="116" t="s">
        <v>58</v>
      </c>
      <c r="N7" s="116"/>
      <c r="Q7" s="115" t="s">
        <v>59</v>
      </c>
      <c r="R7" s="115"/>
      <c r="U7" s="115" t="s">
        <v>60</v>
      </c>
      <c r="V7" s="115"/>
    </row>
    <row r="8" spans="1:23" ht="36.75" thickBot="1" x14ac:dyDescent="0.3">
      <c r="A8" s="45" t="s">
        <v>92</v>
      </c>
      <c r="B8" s="41">
        <v>2500</v>
      </c>
      <c r="C8" s="43"/>
      <c r="D8" s="2"/>
      <c r="E8" s="2"/>
      <c r="F8" s="2"/>
      <c r="G8" s="13">
        <v>5000</v>
      </c>
      <c r="H8" s="45" t="s">
        <v>92</v>
      </c>
      <c r="I8" s="2"/>
      <c r="J8" s="13">
        <v>12000</v>
      </c>
      <c r="K8" s="45" t="s">
        <v>92</v>
      </c>
      <c r="L8" s="50" t="s">
        <v>92</v>
      </c>
      <c r="M8" s="65">
        <v>20000</v>
      </c>
      <c r="N8" s="79">
        <f>'Asientos de diario'!F22</f>
        <v>20000</v>
      </c>
      <c r="O8" s="58" t="s">
        <v>100</v>
      </c>
      <c r="P8" s="78" t="s">
        <v>92</v>
      </c>
      <c r="Q8" s="63">
        <v>8000</v>
      </c>
      <c r="R8" s="43"/>
      <c r="S8" s="50" t="s">
        <v>92</v>
      </c>
      <c r="T8" s="78"/>
      <c r="U8" s="63">
        <v>3000</v>
      </c>
      <c r="V8" s="66">
        <f>'Asientos de diario'!F25</f>
        <v>6000</v>
      </c>
      <c r="W8" s="77" t="s">
        <v>102</v>
      </c>
    </row>
    <row r="9" spans="1:23" ht="26.25" thickBot="1" x14ac:dyDescent="0.3">
      <c r="B9" s="41">
        <f>SUM(B8)</f>
        <v>2500</v>
      </c>
      <c r="C9" s="13">
        <v>2500</v>
      </c>
      <c r="D9" s="118" t="s">
        <v>153</v>
      </c>
      <c r="E9" s="119" t="s">
        <v>153</v>
      </c>
      <c r="F9" s="41">
        <v>5000</v>
      </c>
      <c r="G9" s="42">
        <f>SUM(G8)</f>
        <v>5000</v>
      </c>
      <c r="H9" s="2"/>
      <c r="I9" s="41"/>
      <c r="J9" s="42">
        <f>SUM(J8)</f>
        <v>12000</v>
      </c>
      <c r="K9" s="2"/>
      <c r="L9" s="75" t="s">
        <v>101</v>
      </c>
      <c r="M9" s="37">
        <f>'Asientos de diario'!E20</f>
        <v>48000</v>
      </c>
      <c r="N9" s="34"/>
      <c r="O9" s="2"/>
      <c r="P9" s="2"/>
      <c r="Q9" s="41">
        <f>SUM(Q8)</f>
        <v>8000</v>
      </c>
      <c r="R9" s="2">
        <v>8000</v>
      </c>
      <c r="S9" s="118" t="s">
        <v>153</v>
      </c>
      <c r="T9" s="119"/>
      <c r="U9" s="39"/>
      <c r="V9" s="44">
        <f>V8-U8</f>
        <v>3000</v>
      </c>
    </row>
    <row r="10" spans="1:23" ht="26.25" thickBo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44">
        <f>SUM(M8:M9)</f>
        <v>68000</v>
      </c>
      <c r="N10" s="43">
        <f>SUM(N8:N9)</f>
        <v>20000</v>
      </c>
      <c r="O10" s="2"/>
      <c r="P10" s="2"/>
      <c r="Q10" s="2"/>
      <c r="R10" s="2"/>
      <c r="S10" s="2"/>
      <c r="T10" s="119" t="s">
        <v>153</v>
      </c>
      <c r="U10" s="27">
        <v>3000</v>
      </c>
      <c r="V10" s="2"/>
    </row>
    <row r="11" spans="1:23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f>M10-N10</f>
        <v>48000</v>
      </c>
      <c r="N11" s="42"/>
      <c r="O11" s="2"/>
      <c r="P11" s="2"/>
      <c r="Q11" s="2"/>
      <c r="R11" s="2"/>
      <c r="S11" s="2"/>
      <c r="T11" s="2"/>
      <c r="U11" s="2"/>
      <c r="V11" s="2"/>
    </row>
    <row r="13" spans="1:23" s="93" customFormat="1" ht="15.75" thickBot="1" x14ac:dyDescent="0.3">
      <c r="B13" s="115" t="s">
        <v>61</v>
      </c>
      <c r="C13" s="115"/>
      <c r="D13" s="92"/>
      <c r="F13" s="115" t="s">
        <v>62</v>
      </c>
      <c r="G13" s="115"/>
      <c r="I13" s="115" t="s">
        <v>57</v>
      </c>
      <c r="J13" s="115"/>
      <c r="M13" s="115" t="s">
        <v>63</v>
      </c>
      <c r="N13" s="115"/>
      <c r="Q13" s="116" t="s">
        <v>64</v>
      </c>
      <c r="R13" s="116"/>
      <c r="U13" s="115" t="s">
        <v>65</v>
      </c>
      <c r="V13" s="115"/>
    </row>
    <row r="14" spans="1:23" s="67" customFormat="1" ht="24.75" thickBot="1" x14ac:dyDescent="0.3">
      <c r="A14" s="62" t="s">
        <v>92</v>
      </c>
      <c r="B14" s="63">
        <v>71000</v>
      </c>
      <c r="C14" s="64"/>
      <c r="D14" s="59"/>
      <c r="E14" s="62" t="s">
        <v>92</v>
      </c>
      <c r="F14" s="65">
        <v>34000</v>
      </c>
      <c r="G14" s="60">
        <f>'Asientos de diario'!F9</f>
        <v>16000</v>
      </c>
      <c r="H14" s="58" t="s">
        <v>95</v>
      </c>
      <c r="I14" s="63"/>
      <c r="J14" s="66">
        <v>28000</v>
      </c>
      <c r="K14" s="62" t="s">
        <v>92</v>
      </c>
      <c r="L14" s="59"/>
      <c r="M14" s="63"/>
      <c r="N14" s="66">
        <v>3750</v>
      </c>
      <c r="O14" s="62" t="s">
        <v>92</v>
      </c>
      <c r="P14" s="69" t="s">
        <v>97</v>
      </c>
      <c r="Q14" s="63">
        <f>'Asientos de diario'!E14</f>
        <v>12000</v>
      </c>
      <c r="R14" s="66">
        <v>40000</v>
      </c>
      <c r="S14" s="62" t="s">
        <v>92</v>
      </c>
      <c r="T14" s="77" t="s">
        <v>102</v>
      </c>
      <c r="U14" s="63">
        <f>'Asientos de diario'!E24</f>
        <v>6000</v>
      </c>
      <c r="V14" s="66">
        <v>200000</v>
      </c>
      <c r="W14" s="62" t="s">
        <v>92</v>
      </c>
    </row>
    <row r="15" spans="1:23" ht="29.25" customHeight="1" thickBot="1" x14ac:dyDescent="0.3">
      <c r="B15" s="2">
        <f>SUM(B14)</f>
        <v>71000</v>
      </c>
      <c r="C15" s="13"/>
      <c r="D15" s="2"/>
      <c r="E15" s="2"/>
      <c r="F15" s="37"/>
      <c r="G15" s="61">
        <f>'Asientos de diario'!F12</f>
        <v>5250</v>
      </c>
      <c r="H15" s="58" t="s">
        <v>96</v>
      </c>
      <c r="I15" s="27"/>
      <c r="J15" s="2">
        <f>SUM(J14)</f>
        <v>28000</v>
      </c>
      <c r="K15" s="2"/>
      <c r="L15" s="2"/>
      <c r="M15" s="27"/>
      <c r="N15" s="2">
        <f>SUM(N14)</f>
        <v>3750</v>
      </c>
      <c r="O15" s="2"/>
      <c r="P15" s="68"/>
      <c r="Q15" s="27"/>
      <c r="R15" s="2">
        <f>R14-Q14</f>
        <v>28000</v>
      </c>
      <c r="S15" s="2"/>
      <c r="T15" s="119"/>
      <c r="U15" s="39"/>
      <c r="V15" s="44">
        <f>V14-U14</f>
        <v>194000</v>
      </c>
    </row>
    <row r="16" spans="1:23" ht="26.25" thickBot="1" x14ac:dyDescent="0.3">
      <c r="B16" s="2"/>
      <c r="C16" s="2"/>
      <c r="D16" s="2"/>
      <c r="E16" s="2"/>
      <c r="F16" s="39">
        <f>SUM(F14:F15)</f>
        <v>34000</v>
      </c>
      <c r="G16" s="44">
        <f>SUM(G14:G15)</f>
        <v>21250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19" t="s">
        <v>153</v>
      </c>
      <c r="U16" s="27">
        <v>194000</v>
      </c>
      <c r="V16" s="2"/>
    </row>
    <row r="17" spans="1:23" x14ac:dyDescent="0.25">
      <c r="B17" s="2"/>
      <c r="C17" s="2"/>
      <c r="D17" s="2"/>
      <c r="E17" s="2"/>
      <c r="F17" s="41">
        <f>F16-G16</f>
        <v>12750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3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3" s="93" customFormat="1" ht="15.75" thickBot="1" x14ac:dyDescent="0.3">
      <c r="B19" s="115" t="s">
        <v>66</v>
      </c>
      <c r="C19" s="115"/>
      <c r="D19" s="92"/>
      <c r="F19" s="115" t="s">
        <v>67</v>
      </c>
      <c r="G19" s="115"/>
      <c r="I19" s="115" t="s">
        <v>68</v>
      </c>
      <c r="J19" s="115"/>
      <c r="M19" s="115" t="s">
        <v>69</v>
      </c>
      <c r="N19" s="115"/>
      <c r="Q19" s="115" t="s">
        <v>70</v>
      </c>
      <c r="R19" s="115"/>
      <c r="U19" s="115" t="s">
        <v>15</v>
      </c>
      <c r="V19" s="115"/>
    </row>
    <row r="20" spans="1:23" ht="15.75" thickBot="1" x14ac:dyDescent="0.3">
      <c r="B20" s="39">
        <v>3000</v>
      </c>
      <c r="C20" s="44"/>
      <c r="D20" s="2"/>
      <c r="E20" s="2"/>
      <c r="F20" s="37"/>
      <c r="G20" s="34">
        <v>87600</v>
      </c>
      <c r="H20" s="2"/>
      <c r="I20" s="39">
        <v>5300</v>
      </c>
      <c r="J20" s="44">
        <v>46450</v>
      </c>
      <c r="K20" s="2"/>
      <c r="L20" s="2"/>
      <c r="M20" s="39"/>
      <c r="N20" s="44">
        <v>2500</v>
      </c>
      <c r="O20" s="2"/>
      <c r="P20" s="2"/>
      <c r="Q20" s="39">
        <v>57750</v>
      </c>
      <c r="R20" s="44"/>
      <c r="S20" s="2"/>
      <c r="T20" s="2"/>
      <c r="U20" s="39"/>
      <c r="V20" s="44">
        <f>'Asientos de diario'!F5</f>
        <v>200</v>
      </c>
      <c r="W20" t="s">
        <v>93</v>
      </c>
    </row>
    <row r="21" spans="1:23" x14ac:dyDescent="0.25">
      <c r="B21" s="27">
        <f>SUM(B20)</f>
        <v>3000</v>
      </c>
      <c r="C21" s="2">
        <v>3000</v>
      </c>
      <c r="D21" s="118" t="s">
        <v>153</v>
      </c>
      <c r="E21" s="2"/>
      <c r="F21" s="27"/>
      <c r="G21" s="2">
        <f>G20</f>
        <v>87600</v>
      </c>
      <c r="H21" s="2"/>
      <c r="I21" s="41"/>
      <c r="J21" s="40">
        <f>J20-I20</f>
        <v>41150</v>
      </c>
      <c r="K21" s="2"/>
      <c r="L21" s="2"/>
      <c r="M21" s="27"/>
      <c r="N21" s="2">
        <f>SUM(N20)</f>
        <v>2500</v>
      </c>
      <c r="O21" s="2"/>
      <c r="P21" s="2"/>
      <c r="Q21" s="27">
        <f>SUM(Q20)</f>
        <v>57750</v>
      </c>
      <c r="R21" s="2">
        <v>57750</v>
      </c>
      <c r="S21" s="118" t="s">
        <v>153</v>
      </c>
      <c r="T21" s="2"/>
      <c r="U21" s="27"/>
      <c r="V21" s="2">
        <f>SUM(V20)</f>
        <v>200</v>
      </c>
    </row>
    <row r="22" spans="1:23" x14ac:dyDescent="0.25">
      <c r="B22" s="2"/>
      <c r="C22" s="2"/>
      <c r="D22" s="2"/>
      <c r="E22" s="2"/>
      <c r="F22" s="2"/>
      <c r="G22" s="2"/>
      <c r="H22" s="2"/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3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3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3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3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3" s="93" customFormat="1" ht="15.75" thickBot="1" x14ac:dyDescent="0.3">
      <c r="B27" s="115" t="s">
        <v>16</v>
      </c>
      <c r="C27" s="115"/>
      <c r="D27" s="92"/>
      <c r="E27" s="94"/>
      <c r="F27" s="115" t="s">
        <v>85</v>
      </c>
      <c r="G27" s="115"/>
      <c r="H27" s="94"/>
      <c r="I27" s="115" t="s">
        <v>86</v>
      </c>
      <c r="J27" s="115"/>
      <c r="K27" s="94"/>
      <c r="L27" s="94"/>
      <c r="M27" s="115" t="s">
        <v>87</v>
      </c>
      <c r="N27" s="115"/>
      <c r="O27" s="94"/>
      <c r="P27" s="94"/>
      <c r="Q27" s="115" t="s">
        <v>88</v>
      </c>
      <c r="R27" s="115"/>
      <c r="S27" s="94"/>
      <c r="T27" s="94"/>
      <c r="U27" s="115" t="s">
        <v>89</v>
      </c>
      <c r="V27" s="115"/>
    </row>
    <row r="28" spans="1:23" s="45" customFormat="1" ht="32.25" customHeight="1" thickBot="1" x14ac:dyDescent="0.3">
      <c r="B28" s="52"/>
      <c r="C28" s="73">
        <f>'Asientos de diario'!F6</f>
        <v>1250</v>
      </c>
      <c r="D28" s="74" t="s">
        <v>94</v>
      </c>
      <c r="E28" s="55" t="s">
        <v>95</v>
      </c>
      <c r="F28" s="56">
        <f>'Asientos de diario'!E8</f>
        <v>16000</v>
      </c>
      <c r="G28" s="54"/>
      <c r="H28" s="75" t="s">
        <v>99</v>
      </c>
      <c r="I28" s="71">
        <f>'Asientos de diario'!E15</f>
        <v>800</v>
      </c>
      <c r="J28" s="53"/>
      <c r="K28" s="54"/>
      <c r="L28" s="72" t="s">
        <v>98</v>
      </c>
      <c r="M28" s="70">
        <f>'Asientos de diario'!E16</f>
        <v>400</v>
      </c>
      <c r="N28" s="53"/>
      <c r="O28" s="54"/>
      <c r="P28" s="58" t="s">
        <v>100</v>
      </c>
      <c r="Q28" s="70">
        <v>20000</v>
      </c>
      <c r="R28" s="53"/>
      <c r="S28" s="54"/>
      <c r="T28" s="54"/>
      <c r="U28" s="52"/>
      <c r="V28" s="76">
        <v>48000</v>
      </c>
      <c r="W28" s="75" t="s">
        <v>101</v>
      </c>
    </row>
    <row r="29" spans="1:23" ht="29.25" customHeight="1" thickBot="1" x14ac:dyDescent="0.3">
      <c r="A29" s="120" t="s">
        <v>153</v>
      </c>
      <c r="B29" s="27">
        <v>1250</v>
      </c>
      <c r="C29" s="2">
        <f>SUM(C28)</f>
        <v>1250</v>
      </c>
      <c r="D29" s="2"/>
      <c r="E29" s="55" t="s">
        <v>96</v>
      </c>
      <c r="F29" s="57">
        <f>'Asientos de diario'!E11</f>
        <v>5250</v>
      </c>
      <c r="G29" s="34"/>
      <c r="H29" s="2"/>
      <c r="I29" s="27">
        <f>SUM(I28)</f>
        <v>800</v>
      </c>
      <c r="J29" s="2">
        <v>800</v>
      </c>
      <c r="K29" s="118" t="s">
        <v>153</v>
      </c>
      <c r="L29" s="2"/>
      <c r="M29" s="27">
        <f>SUM(M28)</f>
        <v>400</v>
      </c>
      <c r="N29" s="2"/>
      <c r="O29" s="2"/>
      <c r="P29" s="2"/>
      <c r="Q29" s="27">
        <f>SUM(Q28)</f>
        <v>20000</v>
      </c>
      <c r="R29" s="2">
        <v>20000</v>
      </c>
      <c r="S29" s="121" t="s">
        <v>153</v>
      </c>
      <c r="T29" s="119" t="s">
        <v>153</v>
      </c>
      <c r="U29" s="27">
        <v>48000</v>
      </c>
      <c r="V29" s="2">
        <f>SUM(V28)</f>
        <v>48000</v>
      </c>
    </row>
    <row r="30" spans="1:23" x14ac:dyDescent="0.25">
      <c r="B30" s="2"/>
      <c r="C30" s="2"/>
      <c r="D30" s="2"/>
      <c r="E30" s="2"/>
      <c r="F30" s="27">
        <f>SUM(F28:F29)</f>
        <v>21250</v>
      </c>
      <c r="G30" s="2">
        <v>21250</v>
      </c>
      <c r="H30" s="118" t="s">
        <v>153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3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3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</sheetData>
  <mergeCells count="31">
    <mergeCell ref="I13:J13"/>
    <mergeCell ref="M13:N13"/>
    <mergeCell ref="Q13:R13"/>
    <mergeCell ref="U27:V27"/>
    <mergeCell ref="B19:C19"/>
    <mergeCell ref="F19:G19"/>
    <mergeCell ref="I19:J19"/>
    <mergeCell ref="M19:N19"/>
    <mergeCell ref="Q19:R19"/>
    <mergeCell ref="U19:V19"/>
    <mergeCell ref="B27:C27"/>
    <mergeCell ref="F27:G27"/>
    <mergeCell ref="I27:J27"/>
    <mergeCell ref="M27:N27"/>
    <mergeCell ref="Q27:R27"/>
    <mergeCell ref="U13:V13"/>
    <mergeCell ref="U1:V1"/>
    <mergeCell ref="B7:C7"/>
    <mergeCell ref="F7:G7"/>
    <mergeCell ref="I7:J7"/>
    <mergeCell ref="M7:N7"/>
    <mergeCell ref="Q7:R7"/>
    <mergeCell ref="U7:V7"/>
    <mergeCell ref="D2:D3"/>
    <mergeCell ref="B1:C1"/>
    <mergeCell ref="F1:G1"/>
    <mergeCell ref="I1:J1"/>
    <mergeCell ref="M1:N1"/>
    <mergeCell ref="Q1:R1"/>
    <mergeCell ref="B13:C13"/>
    <mergeCell ref="F13:G1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61"/>
  <sheetViews>
    <sheetView tabSelected="1" topLeftCell="A28" workbookViewId="0">
      <selection activeCell="H45" sqref="H45"/>
    </sheetView>
  </sheetViews>
  <sheetFormatPr baseColWidth="10" defaultRowHeight="15" x14ac:dyDescent="0.25"/>
  <cols>
    <col min="1" max="1" width="34.42578125" customWidth="1"/>
  </cols>
  <sheetData>
    <row r="1" spans="1:4" ht="18.75" x14ac:dyDescent="0.3">
      <c r="A1" s="125" t="s">
        <v>155</v>
      </c>
      <c r="B1" s="125"/>
      <c r="C1" s="125"/>
      <c r="D1" s="125"/>
    </row>
    <row r="2" spans="1:4" ht="18.75" x14ac:dyDescent="0.3">
      <c r="A2" s="125" t="s">
        <v>156</v>
      </c>
      <c r="B2" s="125"/>
      <c r="C2" s="125"/>
      <c r="D2" s="125"/>
    </row>
    <row r="3" spans="1:4" ht="18.75" x14ac:dyDescent="0.3">
      <c r="A3" s="125" t="s">
        <v>157</v>
      </c>
      <c r="B3" s="125"/>
      <c r="C3" s="125"/>
      <c r="D3" s="125"/>
    </row>
    <row r="4" spans="1:4" ht="18.75" x14ac:dyDescent="0.3">
      <c r="A4" s="125" t="s">
        <v>158</v>
      </c>
      <c r="B4" s="125"/>
      <c r="C4" s="125"/>
      <c r="D4" s="125"/>
    </row>
    <row r="5" spans="1:4" ht="15.75" x14ac:dyDescent="0.25">
      <c r="A5" s="126" t="s">
        <v>159</v>
      </c>
      <c r="B5" s="126"/>
      <c r="C5" s="126"/>
      <c r="D5" s="126"/>
    </row>
    <row r="6" spans="1:4" ht="15.75" x14ac:dyDescent="0.25">
      <c r="A6" s="127"/>
      <c r="B6" s="127"/>
      <c r="C6" s="127"/>
      <c r="D6" s="127"/>
    </row>
    <row r="7" spans="1:4" x14ac:dyDescent="0.25">
      <c r="A7" s="81" t="s">
        <v>105</v>
      </c>
      <c r="B7" s="81" t="s">
        <v>135</v>
      </c>
      <c r="C7" s="81" t="s">
        <v>136</v>
      </c>
      <c r="D7" s="81" t="s">
        <v>106</v>
      </c>
    </row>
    <row r="8" spans="1:4" x14ac:dyDescent="0.25">
      <c r="A8" s="80" t="s">
        <v>107</v>
      </c>
      <c r="B8" s="2"/>
      <c r="C8" s="2"/>
      <c r="D8" s="2"/>
    </row>
    <row r="9" spans="1:4" x14ac:dyDescent="0.25">
      <c r="A9" s="36" t="s">
        <v>108</v>
      </c>
      <c r="B9" s="2"/>
      <c r="C9" s="2"/>
      <c r="D9" s="2"/>
    </row>
    <row r="10" spans="1:4" x14ac:dyDescent="0.25">
      <c r="A10" t="s">
        <v>12</v>
      </c>
      <c r="B10" s="2">
        <f>+Mayores!B4</f>
        <v>57450</v>
      </c>
      <c r="C10" s="2">
        <f>+Mayores!C4</f>
        <v>13200</v>
      </c>
      <c r="D10" s="2">
        <f>B10-C10</f>
        <v>44250</v>
      </c>
    </row>
    <row r="11" spans="1:4" x14ac:dyDescent="0.25">
      <c r="A11" t="s">
        <v>71</v>
      </c>
      <c r="B11" s="2">
        <f>+Mayores!M10</f>
        <v>68000</v>
      </c>
      <c r="C11" s="2">
        <f>+Mayores!N10</f>
        <v>20000</v>
      </c>
      <c r="D11" s="2">
        <f>B11-C11</f>
        <v>48000</v>
      </c>
    </row>
    <row r="12" spans="1:4" x14ac:dyDescent="0.25">
      <c r="A12" t="s">
        <v>47</v>
      </c>
      <c r="B12" s="2">
        <f>+Mayores!M29</f>
        <v>400</v>
      </c>
      <c r="C12" s="2"/>
      <c r="D12" s="2">
        <f t="shared" ref="D11:D13" si="0">B12</f>
        <v>400</v>
      </c>
    </row>
    <row r="13" spans="1:4" x14ac:dyDescent="0.25">
      <c r="A13" t="s">
        <v>120</v>
      </c>
      <c r="B13" s="2">
        <f>+Mayores!F16</f>
        <v>34000</v>
      </c>
      <c r="C13" s="2">
        <f>+Mayores!G16</f>
        <v>21250</v>
      </c>
      <c r="D13" s="2">
        <f>B13-C13</f>
        <v>12750</v>
      </c>
    </row>
    <row r="14" spans="1:4" x14ac:dyDescent="0.25">
      <c r="A14" s="82" t="s">
        <v>111</v>
      </c>
      <c r="B14" s="84">
        <f>SUM(B10:B13)</f>
        <v>159850</v>
      </c>
      <c r="C14" s="84">
        <f>SUM(C10:C13)</f>
        <v>54450</v>
      </c>
      <c r="D14" s="85">
        <f>SUM(D10:D13)</f>
        <v>105400</v>
      </c>
    </row>
    <row r="15" spans="1:4" x14ac:dyDescent="0.25">
      <c r="A15" s="36" t="s">
        <v>109</v>
      </c>
      <c r="B15" s="2"/>
      <c r="C15" s="2"/>
      <c r="D15" s="2"/>
    </row>
    <row r="16" spans="1:4" x14ac:dyDescent="0.25">
      <c r="A16" t="s">
        <v>50</v>
      </c>
      <c r="B16" s="2">
        <f>Mayores!F3</f>
        <v>50000</v>
      </c>
      <c r="C16" s="2"/>
      <c r="D16" s="2">
        <f>B16</f>
        <v>50000</v>
      </c>
    </row>
    <row r="17" spans="1:5" x14ac:dyDescent="0.25">
      <c r="A17" t="s">
        <v>110</v>
      </c>
      <c r="B17" s="2"/>
      <c r="C17" s="2">
        <f>Mayores!N3</f>
        <v>25000</v>
      </c>
      <c r="D17" s="2">
        <f>-C17</f>
        <v>-25000</v>
      </c>
    </row>
    <row r="18" spans="1:5" x14ac:dyDescent="0.25">
      <c r="A18" s="82" t="s">
        <v>113</v>
      </c>
      <c r="B18" s="84">
        <f>SUM(B16:B17)</f>
        <v>50000</v>
      </c>
      <c r="C18" s="84">
        <f>SUM(C17)</f>
        <v>25000</v>
      </c>
      <c r="D18" s="85">
        <f>SUM(D16:D17)</f>
        <v>25000</v>
      </c>
    </row>
    <row r="19" spans="1:5" x14ac:dyDescent="0.25">
      <c r="A19" s="36" t="s">
        <v>112</v>
      </c>
      <c r="B19" s="2"/>
      <c r="C19" s="2"/>
      <c r="D19" s="2"/>
    </row>
    <row r="20" spans="1:5" x14ac:dyDescent="0.25">
      <c r="A20" t="s">
        <v>61</v>
      </c>
      <c r="B20" s="2">
        <f>Mayores!B15</f>
        <v>71000</v>
      </c>
      <c r="C20" s="2"/>
      <c r="D20" s="2">
        <f>B20</f>
        <v>71000</v>
      </c>
    </row>
    <row r="21" spans="1:5" x14ac:dyDescent="0.25">
      <c r="A21" t="s">
        <v>114</v>
      </c>
      <c r="B21" s="2">
        <f>Mayores!U3</f>
        <v>1800</v>
      </c>
      <c r="C21" s="2"/>
      <c r="D21" s="2">
        <f>B21</f>
        <v>1800</v>
      </c>
    </row>
    <row r="22" spans="1:5" x14ac:dyDescent="0.25">
      <c r="A22" s="82" t="s">
        <v>115</v>
      </c>
      <c r="B22" s="84">
        <f>SUM(B20:B21)</f>
        <v>72800</v>
      </c>
      <c r="C22" s="84"/>
      <c r="D22" s="85">
        <f>SUM(D20:D21)</f>
        <v>72800</v>
      </c>
    </row>
    <row r="23" spans="1:5" ht="15.75" thickBot="1" x14ac:dyDescent="0.3">
      <c r="A23" s="86" t="s">
        <v>116</v>
      </c>
      <c r="B23" s="89">
        <f>B14+B18+B22</f>
        <v>282650</v>
      </c>
      <c r="C23" s="89">
        <f>C18+C14</f>
        <v>79450</v>
      </c>
      <c r="D23" s="89">
        <f>D14+D18+D22</f>
        <v>203200</v>
      </c>
    </row>
    <row r="24" spans="1:5" x14ac:dyDescent="0.25">
      <c r="A24" s="80" t="s">
        <v>117</v>
      </c>
      <c r="B24" s="2"/>
      <c r="C24" s="2"/>
      <c r="D24" s="2"/>
      <c r="E24" s="2"/>
    </row>
    <row r="25" spans="1:5" x14ac:dyDescent="0.25">
      <c r="A25" s="36" t="s">
        <v>118</v>
      </c>
      <c r="B25" s="2"/>
      <c r="C25" s="2"/>
      <c r="D25" s="2"/>
    </row>
    <row r="26" spans="1:5" x14ac:dyDescent="0.25">
      <c r="A26" t="s">
        <v>72</v>
      </c>
      <c r="B26" s="2"/>
      <c r="C26" s="2">
        <f>Mayores!V21</f>
        <v>200</v>
      </c>
      <c r="D26" s="2">
        <f>-C26</f>
        <v>-200</v>
      </c>
    </row>
    <row r="27" spans="1:5" x14ac:dyDescent="0.25">
      <c r="A27" t="s">
        <v>123</v>
      </c>
      <c r="B27" s="2"/>
      <c r="C27" s="2">
        <f>Mayores!N15</f>
        <v>3750</v>
      </c>
      <c r="D27" s="2">
        <f t="shared" ref="D27:D28" si="1">-C27</f>
        <v>-3750</v>
      </c>
    </row>
    <row r="28" spans="1:5" x14ac:dyDescent="0.25">
      <c r="A28" t="s">
        <v>119</v>
      </c>
      <c r="C28" s="2">
        <f>Mayores!N21</f>
        <v>2500</v>
      </c>
      <c r="D28" s="2">
        <f t="shared" si="1"/>
        <v>-2500</v>
      </c>
    </row>
    <row r="29" spans="1:5" x14ac:dyDescent="0.25">
      <c r="A29" s="82" t="s">
        <v>121</v>
      </c>
      <c r="B29" s="83"/>
      <c r="C29" s="84">
        <f>SUM(C26:C28)</f>
        <v>6450</v>
      </c>
      <c r="D29" s="85">
        <f>SUM(D26:D28)</f>
        <v>-6450</v>
      </c>
    </row>
    <row r="30" spans="1:5" x14ac:dyDescent="0.25">
      <c r="A30" s="36" t="s">
        <v>122</v>
      </c>
    </row>
    <row r="31" spans="1:5" x14ac:dyDescent="0.25">
      <c r="A31" t="s">
        <v>43</v>
      </c>
      <c r="B31" s="2">
        <f>+Mayores!Q14</f>
        <v>12000</v>
      </c>
      <c r="C31" s="2">
        <f>+Mayores!R14</f>
        <v>40000</v>
      </c>
      <c r="D31" s="2">
        <f>B31-C31</f>
        <v>-28000</v>
      </c>
    </row>
    <row r="32" spans="1:5" x14ac:dyDescent="0.25">
      <c r="A32" t="s">
        <v>57</v>
      </c>
      <c r="B32" s="2"/>
      <c r="C32" s="2">
        <f>+Mayores!J14+Mayores!J8</f>
        <v>40000</v>
      </c>
      <c r="D32" s="2">
        <f>-C32</f>
        <v>-40000</v>
      </c>
    </row>
    <row r="33" spans="1:8" x14ac:dyDescent="0.25">
      <c r="A33" s="82" t="s">
        <v>124</v>
      </c>
      <c r="B33" s="84">
        <f>SUM(B31:B32)</f>
        <v>12000</v>
      </c>
      <c r="C33" s="84">
        <f>SUM(C31:C32)</f>
        <v>80000</v>
      </c>
      <c r="D33" s="85">
        <f>SUM(D31:D32)</f>
        <v>-68000</v>
      </c>
    </row>
    <row r="34" spans="1:8" ht="15.75" thickBot="1" x14ac:dyDescent="0.3">
      <c r="A34" s="88" t="s">
        <v>137</v>
      </c>
      <c r="B34" s="89">
        <f>SUM(B33)</f>
        <v>12000</v>
      </c>
      <c r="C34" s="89">
        <f>C29+C33</f>
        <v>86450</v>
      </c>
      <c r="D34" s="90">
        <f>+B34-C34</f>
        <v>-74450</v>
      </c>
      <c r="E34" s="2"/>
    </row>
    <row r="35" spans="1:8" x14ac:dyDescent="0.25">
      <c r="A35" s="36" t="s">
        <v>125</v>
      </c>
      <c r="F35" s="2"/>
    </row>
    <row r="36" spans="1:8" x14ac:dyDescent="0.25">
      <c r="A36" t="s">
        <v>126</v>
      </c>
      <c r="B36" s="2">
        <f>+Mayores!I20</f>
        <v>5300</v>
      </c>
      <c r="C36" s="2">
        <f>+Mayores!J20</f>
        <v>46450</v>
      </c>
      <c r="D36" s="2">
        <f>+B36-C36</f>
        <v>-41150</v>
      </c>
    </row>
    <row r="37" spans="1:8" x14ac:dyDescent="0.25">
      <c r="A37" t="s">
        <v>127</v>
      </c>
      <c r="B37" s="2"/>
      <c r="C37" s="2">
        <f>+Mayores!G21</f>
        <v>87600</v>
      </c>
      <c r="D37" s="2">
        <f>-C37</f>
        <v>-87600</v>
      </c>
    </row>
    <row r="38" spans="1:8" s="36" customFormat="1" ht="15.75" thickBot="1" x14ac:dyDescent="0.3">
      <c r="A38" s="128" t="s">
        <v>138</v>
      </c>
      <c r="B38" s="89">
        <f>SUM(B36:B37)</f>
        <v>5300</v>
      </c>
      <c r="C38" s="89">
        <f>SUM(C36:C37)</f>
        <v>134050</v>
      </c>
      <c r="D38" s="90">
        <f>SUM(D36:D37)</f>
        <v>-128750</v>
      </c>
      <c r="E38" s="51"/>
      <c r="F38" s="51"/>
      <c r="H38" s="51"/>
    </row>
    <row r="39" spans="1:8" x14ac:dyDescent="0.25">
      <c r="A39" t="s">
        <v>65</v>
      </c>
      <c r="B39" s="2">
        <f>+Mayores!U14+Mayores!U16</f>
        <v>200000</v>
      </c>
      <c r="C39" s="2">
        <f>+Mayores!V14</f>
        <v>200000</v>
      </c>
      <c r="D39" s="2">
        <f>B39-C39</f>
        <v>0</v>
      </c>
      <c r="E39" s="2"/>
      <c r="F39" s="2"/>
    </row>
    <row r="40" spans="1:8" x14ac:dyDescent="0.25">
      <c r="A40" t="s">
        <v>53</v>
      </c>
      <c r="B40" s="2">
        <f>+Mayores!Q3</f>
        <v>6500</v>
      </c>
      <c r="C40" s="2">
        <f>+Mayores!R3</f>
        <v>6500</v>
      </c>
      <c r="D40" s="2">
        <f>B40-C40</f>
        <v>0</v>
      </c>
    </row>
    <row r="41" spans="1:8" x14ac:dyDescent="0.25">
      <c r="A41" t="s">
        <v>60</v>
      </c>
      <c r="B41" s="2">
        <f>+Mayores!U10</f>
        <v>3000</v>
      </c>
      <c r="C41" s="2">
        <f>+Mayores!V9</f>
        <v>3000</v>
      </c>
      <c r="D41" s="2">
        <f>-B41+C41</f>
        <v>0</v>
      </c>
    </row>
    <row r="42" spans="1:8" x14ac:dyDescent="0.25">
      <c r="A42" t="s">
        <v>16</v>
      </c>
      <c r="B42" s="2">
        <f>+Mayores!B29</f>
        <v>1250</v>
      </c>
      <c r="C42" s="2">
        <f>+Mayores!C29</f>
        <v>1250</v>
      </c>
      <c r="D42" s="2">
        <f>-B42+C42</f>
        <v>0</v>
      </c>
    </row>
    <row r="43" spans="1:8" ht="15.75" thickBot="1" x14ac:dyDescent="0.3">
      <c r="A43" s="128" t="s">
        <v>128</v>
      </c>
      <c r="B43" s="89">
        <f>SUM(B39:B42)</f>
        <v>210750</v>
      </c>
      <c r="C43" s="89">
        <f>SUM(C39:C42)</f>
        <v>210750</v>
      </c>
      <c r="D43" s="90">
        <f>SUM(D39:D42)</f>
        <v>0</v>
      </c>
    </row>
    <row r="44" spans="1:8" x14ac:dyDescent="0.25">
      <c r="A44" t="s">
        <v>74</v>
      </c>
      <c r="B44" s="2">
        <f>+Mayores!Q29</f>
        <v>20000</v>
      </c>
      <c r="C44" s="2">
        <f>+Mayores!R29</f>
        <v>20000</v>
      </c>
      <c r="D44" s="2"/>
    </row>
    <row r="45" spans="1:8" x14ac:dyDescent="0.25">
      <c r="A45" t="s">
        <v>51</v>
      </c>
      <c r="B45" s="2">
        <f>+Mayores!I3</f>
        <v>85000</v>
      </c>
      <c r="C45" s="2">
        <f>+Mayores!J3</f>
        <v>85000</v>
      </c>
      <c r="D45" s="2">
        <f>B45-C45</f>
        <v>0</v>
      </c>
    </row>
    <row r="46" spans="1:8" x14ac:dyDescent="0.25">
      <c r="A46" t="s">
        <v>56</v>
      </c>
      <c r="B46" s="2">
        <f>+Mayores!F9</f>
        <v>5000</v>
      </c>
      <c r="C46" s="2">
        <f>+Mayores!G9</f>
        <v>5000</v>
      </c>
      <c r="D46" s="2">
        <f>-B46+C46</f>
        <v>0</v>
      </c>
    </row>
    <row r="47" spans="1:8" x14ac:dyDescent="0.25">
      <c r="A47" t="s">
        <v>59</v>
      </c>
      <c r="B47" s="2">
        <f>+Mayores!Q9</f>
        <v>8000</v>
      </c>
      <c r="C47" s="2">
        <f>+Mayores!R9</f>
        <v>8000</v>
      </c>
      <c r="D47" s="2">
        <f>B47-C47</f>
        <v>0</v>
      </c>
    </row>
    <row r="48" spans="1:8" x14ac:dyDescent="0.25">
      <c r="A48" t="s">
        <v>78</v>
      </c>
      <c r="B48" s="2">
        <f>+Mayores!U29</f>
        <v>48000</v>
      </c>
      <c r="C48" s="2">
        <f>+Mayores!V29</f>
        <v>48000</v>
      </c>
      <c r="D48" s="2">
        <f>+B48-C48</f>
        <v>0</v>
      </c>
    </row>
    <row r="49" spans="1:6" ht="15.75" thickBot="1" x14ac:dyDescent="0.3">
      <c r="A49" s="128" t="s">
        <v>129</v>
      </c>
      <c r="B49" s="89">
        <f>SUM(B44:B48)</f>
        <v>166000</v>
      </c>
      <c r="C49" s="89">
        <f>SUM(C44:C48)</f>
        <v>166000</v>
      </c>
      <c r="D49" s="90">
        <f>SUM(D44:D48)</f>
        <v>0</v>
      </c>
    </row>
    <row r="50" spans="1:6" x14ac:dyDescent="0.25">
      <c r="A50" t="s">
        <v>130</v>
      </c>
      <c r="B50" s="2"/>
      <c r="C50" s="2"/>
      <c r="D50" s="2"/>
    </row>
    <row r="51" spans="1:6" x14ac:dyDescent="0.25">
      <c r="A51" t="s">
        <v>70</v>
      </c>
      <c r="B51" s="2">
        <f>+Mayores!Q21</f>
        <v>57750</v>
      </c>
      <c r="C51" s="2">
        <f>+Mayores!R21</f>
        <v>57750</v>
      </c>
      <c r="D51" s="2">
        <f>B51-C51</f>
        <v>0</v>
      </c>
    </row>
    <row r="52" spans="1:6" x14ac:dyDescent="0.25">
      <c r="A52" t="s">
        <v>131</v>
      </c>
      <c r="B52" s="2">
        <f>+Mayores!F30</f>
        <v>21250</v>
      </c>
      <c r="C52" s="2">
        <f>+Mayores!G30</f>
        <v>21250</v>
      </c>
      <c r="D52" s="2">
        <f>+B52-C52</f>
        <v>0</v>
      </c>
    </row>
    <row r="53" spans="1:6" x14ac:dyDescent="0.25">
      <c r="A53" t="s">
        <v>86</v>
      </c>
      <c r="B53" s="2">
        <f>+Mayores!I29</f>
        <v>800</v>
      </c>
      <c r="C53" s="2">
        <f>+Mayores!J29</f>
        <v>800</v>
      </c>
      <c r="D53" s="2">
        <f>+B53-C53</f>
        <v>0</v>
      </c>
    </row>
    <row r="54" spans="1:6" x14ac:dyDescent="0.25">
      <c r="A54" t="s">
        <v>55</v>
      </c>
      <c r="B54" s="2">
        <f>+Mayores!B9</f>
        <v>2500</v>
      </c>
      <c r="C54" s="2">
        <f>+Mayores!C9</f>
        <v>2500</v>
      </c>
      <c r="D54" s="2">
        <f>B54-C54</f>
        <v>0</v>
      </c>
    </row>
    <row r="55" spans="1:6" x14ac:dyDescent="0.25">
      <c r="A55" t="s">
        <v>132</v>
      </c>
      <c r="B55" s="2">
        <f>+Mayores!B21</f>
        <v>3000</v>
      </c>
      <c r="C55" s="2">
        <f>+Mayores!C21</f>
        <v>3000</v>
      </c>
      <c r="D55" s="2">
        <f>B55-C55</f>
        <v>0</v>
      </c>
      <c r="F55" s="2"/>
    </row>
    <row r="56" spans="1:6" ht="15.75" thickBot="1" x14ac:dyDescent="0.3">
      <c r="A56" s="128" t="s">
        <v>133</v>
      </c>
      <c r="B56" s="89">
        <f>SUM(B51:B55)</f>
        <v>85300</v>
      </c>
      <c r="C56" s="89">
        <f>SUM(C51:C55)</f>
        <v>85300</v>
      </c>
      <c r="D56" s="90">
        <f>SUM(D51:D55)</f>
        <v>0</v>
      </c>
      <c r="F56" s="2"/>
    </row>
    <row r="57" spans="1:6" ht="15.75" thickBot="1" x14ac:dyDescent="0.3">
      <c r="A57" s="129" t="s">
        <v>134</v>
      </c>
      <c r="B57" s="100">
        <f>+B56+B49+B43+B38+B34+B23</f>
        <v>762000</v>
      </c>
      <c r="C57" s="100">
        <f>+C56+C49+C43+C38+C34+C23</f>
        <v>762000</v>
      </c>
      <c r="D57" s="100">
        <f>+D56+D49+D43+D38+D34+D23</f>
        <v>0</v>
      </c>
    </row>
    <row r="58" spans="1:6" ht="15.75" thickTop="1" x14ac:dyDescent="0.25">
      <c r="B58" s="2"/>
    </row>
    <row r="59" spans="1:6" x14ac:dyDescent="0.25">
      <c r="C59" s="2"/>
    </row>
    <row r="61" spans="1:6" x14ac:dyDescent="0.25">
      <c r="D61" s="2"/>
    </row>
  </sheetData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D33"/>
  <sheetViews>
    <sheetView workbookViewId="0">
      <selection sqref="A1:D5"/>
    </sheetView>
  </sheetViews>
  <sheetFormatPr baseColWidth="10" defaultRowHeight="15" x14ac:dyDescent="0.25"/>
  <cols>
    <col min="2" max="2" width="23.5703125" customWidth="1"/>
  </cols>
  <sheetData>
    <row r="1" spans="1:4" ht="18.75" x14ac:dyDescent="0.3">
      <c r="A1" s="125" t="s">
        <v>155</v>
      </c>
      <c r="B1" s="125"/>
      <c r="C1" s="125"/>
      <c r="D1" s="125"/>
    </row>
    <row r="2" spans="1:4" ht="18.75" x14ac:dyDescent="0.3">
      <c r="A2" s="125" t="s">
        <v>156</v>
      </c>
      <c r="B2" s="125"/>
      <c r="C2" s="125"/>
      <c r="D2" s="125"/>
    </row>
    <row r="3" spans="1:4" ht="18.75" x14ac:dyDescent="0.3">
      <c r="A3" s="125" t="s">
        <v>160</v>
      </c>
      <c r="B3" s="125"/>
      <c r="C3" s="125"/>
      <c r="D3" s="125"/>
    </row>
    <row r="4" spans="1:4" ht="18.75" x14ac:dyDescent="0.3">
      <c r="A4" s="125" t="s">
        <v>161</v>
      </c>
      <c r="B4" s="125"/>
      <c r="C4" s="125"/>
      <c r="D4" s="125"/>
    </row>
    <row r="5" spans="1:4" ht="15.75" x14ac:dyDescent="0.25">
      <c r="A5" s="126" t="s">
        <v>159</v>
      </c>
      <c r="B5" s="126"/>
      <c r="C5" s="126"/>
      <c r="D5" s="126"/>
    </row>
    <row r="7" spans="1:4" x14ac:dyDescent="0.25">
      <c r="A7" s="36" t="s">
        <v>139</v>
      </c>
    </row>
    <row r="8" spans="1:4" x14ac:dyDescent="0.25">
      <c r="A8" t="s">
        <v>65</v>
      </c>
      <c r="C8" s="2">
        <f>Mayores!V15</f>
        <v>194000</v>
      </c>
    </row>
    <row r="9" spans="1:4" x14ac:dyDescent="0.25">
      <c r="A9" t="s">
        <v>60</v>
      </c>
      <c r="C9" s="2">
        <f>+Mayores!V9</f>
        <v>3000</v>
      </c>
    </row>
    <row r="10" spans="1:4" x14ac:dyDescent="0.25">
      <c r="A10" t="s">
        <v>53</v>
      </c>
      <c r="C10" s="2">
        <f>-Mayores!Q3</f>
        <v>-6500</v>
      </c>
    </row>
    <row r="11" spans="1:4" x14ac:dyDescent="0.25">
      <c r="A11" t="s">
        <v>16</v>
      </c>
      <c r="C11" s="29">
        <f>+Mayores!C29</f>
        <v>1250</v>
      </c>
    </row>
    <row r="12" spans="1:4" ht="15.75" thickBot="1" x14ac:dyDescent="0.3">
      <c r="A12" s="36" t="s">
        <v>140</v>
      </c>
      <c r="D12" s="87">
        <f>SUM(C8:C11)</f>
        <v>191750</v>
      </c>
    </row>
    <row r="14" spans="1:4" x14ac:dyDescent="0.25">
      <c r="A14" s="36" t="s">
        <v>141</v>
      </c>
    </row>
    <row r="15" spans="1:4" x14ac:dyDescent="0.25">
      <c r="A15" t="s">
        <v>74</v>
      </c>
      <c r="C15" s="2">
        <f>-Mayores!Q29</f>
        <v>-20000</v>
      </c>
    </row>
    <row r="16" spans="1:4" x14ac:dyDescent="0.25">
      <c r="A16" t="s">
        <v>51</v>
      </c>
      <c r="C16" s="2">
        <f>-Mayores!I3</f>
        <v>-85000</v>
      </c>
    </row>
    <row r="17" spans="1:4" x14ac:dyDescent="0.25">
      <c r="A17" t="s">
        <v>59</v>
      </c>
      <c r="C17" s="2">
        <f>-Mayores!Q9</f>
        <v>-8000</v>
      </c>
    </row>
    <row r="18" spans="1:4" x14ac:dyDescent="0.25">
      <c r="A18" t="s">
        <v>56</v>
      </c>
      <c r="C18" s="2">
        <f>+Mayores!G9</f>
        <v>5000</v>
      </c>
    </row>
    <row r="19" spans="1:4" x14ac:dyDescent="0.25">
      <c r="A19" t="s">
        <v>78</v>
      </c>
      <c r="C19" s="29">
        <f>+Mayores!V29</f>
        <v>48000</v>
      </c>
    </row>
    <row r="20" spans="1:4" ht="15.75" thickBot="1" x14ac:dyDescent="0.3">
      <c r="A20" s="36" t="s">
        <v>142</v>
      </c>
      <c r="D20" s="87">
        <f>SUM(C15:C19)</f>
        <v>-60000</v>
      </c>
    </row>
    <row r="22" spans="1:4" ht="15.75" thickBot="1" x14ac:dyDescent="0.3">
      <c r="A22" s="96" t="s">
        <v>146</v>
      </c>
      <c r="B22" s="95"/>
      <c r="C22" s="95"/>
      <c r="D22" s="97">
        <f>+D12+D20</f>
        <v>131750</v>
      </c>
    </row>
    <row r="23" spans="1:4" ht="15.75" thickTop="1" x14ac:dyDescent="0.25"/>
    <row r="24" spans="1:4" x14ac:dyDescent="0.25">
      <c r="A24" s="36" t="s">
        <v>143</v>
      </c>
    </row>
    <row r="25" spans="1:4" x14ac:dyDescent="0.25">
      <c r="A25" t="s">
        <v>70</v>
      </c>
      <c r="C25" s="2">
        <f>-Mayores!Q21</f>
        <v>-57750</v>
      </c>
    </row>
    <row r="26" spans="1:4" x14ac:dyDescent="0.25">
      <c r="A26" t="s">
        <v>144</v>
      </c>
      <c r="C26" s="2">
        <f>-Mayores!F30</f>
        <v>-21250</v>
      </c>
    </row>
    <row r="27" spans="1:4" x14ac:dyDescent="0.25">
      <c r="A27" t="s">
        <v>86</v>
      </c>
      <c r="C27" s="2">
        <f>-Mayores!I29</f>
        <v>-800</v>
      </c>
    </row>
    <row r="28" spans="1:4" x14ac:dyDescent="0.25">
      <c r="A28" t="s">
        <v>55</v>
      </c>
      <c r="C28" s="2">
        <f>-Mayores!B9</f>
        <v>-2500</v>
      </c>
    </row>
    <row r="29" spans="1:4" x14ac:dyDescent="0.25">
      <c r="A29" t="s">
        <v>132</v>
      </c>
      <c r="C29" s="29">
        <f>-Mayores!B21</f>
        <v>-3000</v>
      </c>
    </row>
    <row r="30" spans="1:4" ht="15.75" thickBot="1" x14ac:dyDescent="0.3">
      <c r="A30" s="36" t="s">
        <v>145</v>
      </c>
      <c r="D30" s="87">
        <f>SUM(C25:C29)</f>
        <v>-85300</v>
      </c>
    </row>
    <row r="32" spans="1:4" ht="15.75" thickBot="1" x14ac:dyDescent="0.3">
      <c r="A32" s="96" t="s">
        <v>147</v>
      </c>
      <c r="B32" s="96"/>
      <c r="C32" s="96"/>
      <c r="D32" s="97">
        <f>D22+D30</f>
        <v>46450</v>
      </c>
    </row>
    <row r="33" ht="15.75" thickTop="1" x14ac:dyDescent="0.25"/>
  </sheetData>
  <mergeCells count="5">
    <mergeCell ref="A1:D1"/>
    <mergeCell ref="A2:D2"/>
    <mergeCell ref="A3:D3"/>
    <mergeCell ref="A4:D4"/>
    <mergeCell ref="A5:D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66"/>
  </sheetPr>
  <dimension ref="A1:F39"/>
  <sheetViews>
    <sheetView workbookViewId="0">
      <selection activeCell="A5" sqref="A5:D5"/>
    </sheetView>
  </sheetViews>
  <sheetFormatPr baseColWidth="10" defaultRowHeight="15" x14ac:dyDescent="0.25"/>
  <cols>
    <col min="1" max="1" width="35" customWidth="1"/>
    <col min="3" max="3" width="11.42578125" style="107"/>
  </cols>
  <sheetData>
    <row r="1" spans="1:4" ht="18.75" x14ac:dyDescent="0.3">
      <c r="A1" s="125" t="s">
        <v>155</v>
      </c>
      <c r="B1" s="125"/>
      <c r="C1" s="125"/>
      <c r="D1" s="125"/>
    </row>
    <row r="2" spans="1:4" ht="18.75" x14ac:dyDescent="0.3">
      <c r="A2" s="125" t="s">
        <v>156</v>
      </c>
      <c r="B2" s="125"/>
      <c r="C2" s="125"/>
      <c r="D2" s="125"/>
    </row>
    <row r="3" spans="1:4" ht="18.75" x14ac:dyDescent="0.3">
      <c r="A3" s="125" t="s">
        <v>162</v>
      </c>
      <c r="B3" s="125"/>
      <c r="C3" s="125"/>
      <c r="D3" s="125"/>
    </row>
    <row r="4" spans="1:4" ht="18.75" x14ac:dyDescent="0.3">
      <c r="A4" s="125" t="s">
        <v>163</v>
      </c>
      <c r="B4" s="125"/>
      <c r="C4" s="125"/>
      <c r="D4" s="125"/>
    </row>
    <row r="5" spans="1:4" ht="15.75" x14ac:dyDescent="0.25">
      <c r="A5" s="126" t="s">
        <v>159</v>
      </c>
      <c r="B5" s="126"/>
      <c r="C5" s="126"/>
      <c r="D5" s="126"/>
    </row>
    <row r="6" spans="1:4" x14ac:dyDescent="0.25">
      <c r="A6" s="81"/>
      <c r="B6" s="81"/>
      <c r="C6" s="103"/>
      <c r="D6" s="81"/>
    </row>
    <row r="7" spans="1:4" x14ac:dyDescent="0.25">
      <c r="A7" s="80" t="s">
        <v>107</v>
      </c>
      <c r="B7" s="2"/>
      <c r="C7" s="104"/>
      <c r="D7" s="2"/>
    </row>
    <row r="8" spans="1:4" x14ac:dyDescent="0.25">
      <c r="A8" s="36" t="s">
        <v>108</v>
      </c>
      <c r="B8" s="2"/>
      <c r="C8" s="104"/>
      <c r="D8" s="2"/>
    </row>
    <row r="9" spans="1:4" x14ac:dyDescent="0.25">
      <c r="A9" t="s">
        <v>12</v>
      </c>
      <c r="B9" s="2">
        <f>+'Balance de Comprobación'!D10</f>
        <v>44250</v>
      </c>
      <c r="C9" s="104"/>
      <c r="D9" s="2"/>
    </row>
    <row r="10" spans="1:4" x14ac:dyDescent="0.25">
      <c r="A10" t="s">
        <v>71</v>
      </c>
      <c r="B10" s="2">
        <f>+'Balance de Comprobación'!D11</f>
        <v>48000</v>
      </c>
      <c r="C10" s="104"/>
      <c r="D10" s="2"/>
    </row>
    <row r="11" spans="1:4" x14ac:dyDescent="0.25">
      <c r="A11" t="s">
        <v>47</v>
      </c>
      <c r="B11" s="2">
        <f>+'Balance de Comprobación'!D12</f>
        <v>400</v>
      </c>
      <c r="C11" s="104"/>
      <c r="D11" s="2"/>
    </row>
    <row r="12" spans="1:4" x14ac:dyDescent="0.25">
      <c r="A12" t="s">
        <v>120</v>
      </c>
      <c r="B12" s="29">
        <f>+'Balance de Comprobación'!D13</f>
        <v>12750</v>
      </c>
      <c r="C12" s="104"/>
      <c r="D12" s="2"/>
    </row>
    <row r="13" spans="1:4" ht="15.75" thickBot="1" x14ac:dyDescent="0.3">
      <c r="A13" s="98" t="s">
        <v>111</v>
      </c>
      <c r="B13" s="99"/>
      <c r="C13" s="105">
        <f>SUM(B9:B12)</f>
        <v>105400</v>
      </c>
      <c r="D13" s="99"/>
    </row>
    <row r="14" spans="1:4" x14ac:dyDescent="0.25">
      <c r="A14" s="36" t="s">
        <v>109</v>
      </c>
      <c r="B14" s="2"/>
      <c r="C14" s="104"/>
      <c r="D14" s="2"/>
    </row>
    <row r="15" spans="1:4" x14ac:dyDescent="0.25">
      <c r="A15" t="s">
        <v>50</v>
      </c>
      <c r="B15" s="2">
        <f>+'Balance de Comprobación'!B16</f>
        <v>50000</v>
      </c>
      <c r="C15" s="104"/>
      <c r="D15" s="2"/>
    </row>
    <row r="16" spans="1:4" x14ac:dyDescent="0.25">
      <c r="A16" t="s">
        <v>110</v>
      </c>
      <c r="B16" s="29">
        <f>-'Balance de Comprobación'!C17</f>
        <v>-25000</v>
      </c>
      <c r="C16" s="104"/>
      <c r="D16" s="2"/>
    </row>
    <row r="17" spans="1:6" ht="15.75" thickBot="1" x14ac:dyDescent="0.3">
      <c r="A17" s="98" t="s">
        <v>113</v>
      </c>
      <c r="B17" s="99"/>
      <c r="C17" s="105">
        <f>SUM(B15:B16)</f>
        <v>25000</v>
      </c>
      <c r="D17" s="99"/>
    </row>
    <row r="18" spans="1:6" x14ac:dyDescent="0.25">
      <c r="A18" s="36" t="s">
        <v>112</v>
      </c>
      <c r="B18" s="2"/>
      <c r="C18" s="104"/>
      <c r="D18" s="2"/>
    </row>
    <row r="19" spans="1:6" x14ac:dyDescent="0.25">
      <c r="A19" t="s">
        <v>61</v>
      </c>
      <c r="B19" s="2">
        <f>+'Balance de Comprobación'!B20</f>
        <v>71000</v>
      </c>
      <c r="C19" s="104"/>
      <c r="D19" s="2"/>
    </row>
    <row r="20" spans="1:6" x14ac:dyDescent="0.25">
      <c r="A20" t="s">
        <v>114</v>
      </c>
      <c r="B20" s="29">
        <f>+'Balance de Comprobación'!B21</f>
        <v>1800</v>
      </c>
      <c r="C20" s="104"/>
      <c r="D20" s="2"/>
    </row>
    <row r="21" spans="1:6" ht="15.75" thickBot="1" x14ac:dyDescent="0.3">
      <c r="A21" s="98" t="s">
        <v>115</v>
      </c>
      <c r="B21" s="99"/>
      <c r="C21" s="105">
        <f>SUM(B19:B20)</f>
        <v>72800</v>
      </c>
      <c r="D21" s="101"/>
    </row>
    <row r="22" spans="1:6" ht="15.75" thickBot="1" x14ac:dyDescent="0.3">
      <c r="A22" s="98" t="s">
        <v>116</v>
      </c>
      <c r="B22" s="99"/>
      <c r="C22" s="102"/>
      <c r="D22" s="100">
        <f>+C13+C17+C21</f>
        <v>203200</v>
      </c>
    </row>
    <row r="23" spans="1:6" ht="15.75" thickTop="1" x14ac:dyDescent="0.25">
      <c r="A23" s="80" t="s">
        <v>117</v>
      </c>
      <c r="B23" s="2"/>
      <c r="C23" s="104"/>
      <c r="D23" s="2"/>
    </row>
    <row r="24" spans="1:6" x14ac:dyDescent="0.25">
      <c r="A24" s="36" t="s">
        <v>118</v>
      </c>
      <c r="B24" s="2"/>
      <c r="C24" s="104"/>
      <c r="D24" s="2"/>
    </row>
    <row r="25" spans="1:6" x14ac:dyDescent="0.25">
      <c r="A25" t="s">
        <v>72</v>
      </c>
      <c r="B25" s="2">
        <f>-'Balance de Comprobación'!D26</f>
        <v>200</v>
      </c>
      <c r="C25" s="104"/>
      <c r="D25" s="2"/>
    </row>
    <row r="26" spans="1:6" x14ac:dyDescent="0.25">
      <c r="A26" t="s">
        <v>123</v>
      </c>
      <c r="B26" s="2">
        <f>-'Balance de Comprobación'!D27</f>
        <v>3750</v>
      </c>
      <c r="C26" s="104"/>
      <c r="D26" s="2"/>
      <c r="F26" s="7"/>
    </row>
    <row r="27" spans="1:6" x14ac:dyDescent="0.25">
      <c r="A27" s="7" t="s">
        <v>119</v>
      </c>
      <c r="B27" s="29">
        <f>-'Balance de Comprobación'!D28</f>
        <v>2500</v>
      </c>
      <c r="C27" s="102"/>
      <c r="D27" s="9"/>
    </row>
    <row r="28" spans="1:6" ht="15.75" thickBot="1" x14ac:dyDescent="0.3">
      <c r="A28" s="98" t="s">
        <v>121</v>
      </c>
      <c r="B28" s="98"/>
      <c r="C28" s="105">
        <f>SUM(B25:B27)</f>
        <v>6450</v>
      </c>
      <c r="D28" s="99"/>
    </row>
    <row r="29" spans="1:6" x14ac:dyDescent="0.25">
      <c r="A29" s="98" t="s">
        <v>122</v>
      </c>
      <c r="B29" s="7"/>
      <c r="C29" s="106"/>
      <c r="D29" s="7"/>
    </row>
    <row r="30" spans="1:6" x14ac:dyDescent="0.25">
      <c r="A30" s="7" t="s">
        <v>43</v>
      </c>
      <c r="B30" s="9">
        <f>-'Balance de Comprobación'!D31</f>
        <v>28000</v>
      </c>
      <c r="C30" s="102"/>
      <c r="D30" s="9"/>
    </row>
    <row r="31" spans="1:6" x14ac:dyDescent="0.25">
      <c r="A31" s="7" t="s">
        <v>57</v>
      </c>
      <c r="B31" s="29">
        <f>+'Balance de Comprobación'!C32</f>
        <v>40000</v>
      </c>
      <c r="C31" s="102"/>
      <c r="D31" s="9"/>
    </row>
    <row r="32" spans="1:6" ht="15.75" thickBot="1" x14ac:dyDescent="0.3">
      <c r="A32" s="98" t="s">
        <v>124</v>
      </c>
      <c r="B32" s="98"/>
      <c r="C32" s="105">
        <f>SUM(B30:B31)</f>
        <v>68000</v>
      </c>
      <c r="D32" s="99"/>
    </row>
    <row r="33" spans="1:4" ht="15.75" thickBot="1" x14ac:dyDescent="0.3">
      <c r="A33" s="35" t="s">
        <v>137</v>
      </c>
      <c r="B33" s="98"/>
      <c r="C33" s="102"/>
      <c r="D33" s="105">
        <f>+C28+C32</f>
        <v>74450</v>
      </c>
    </row>
    <row r="34" spans="1:4" x14ac:dyDescent="0.25">
      <c r="A34" s="36" t="s">
        <v>148</v>
      </c>
    </row>
    <row r="35" spans="1:4" x14ac:dyDescent="0.25">
      <c r="A35" t="s">
        <v>126</v>
      </c>
      <c r="B35" s="2">
        <f>-'Balance de Comprobación'!D36</f>
        <v>41150</v>
      </c>
      <c r="D35" s="2"/>
    </row>
    <row r="36" spans="1:4" x14ac:dyDescent="0.25">
      <c r="A36" t="s">
        <v>127</v>
      </c>
      <c r="B36" s="2">
        <f>D22-D33-B35</f>
        <v>87600</v>
      </c>
      <c r="C36" s="104"/>
      <c r="D36" s="2"/>
    </row>
    <row r="37" spans="1:4" ht="15.75" thickBot="1" x14ac:dyDescent="0.3">
      <c r="A37" s="98" t="s">
        <v>149</v>
      </c>
      <c r="B37" s="99"/>
      <c r="C37" s="105">
        <f>B35+B36</f>
        <v>128750</v>
      </c>
      <c r="D37" s="101"/>
    </row>
    <row r="38" spans="1:4" ht="15.75" thickBot="1" x14ac:dyDescent="0.3">
      <c r="A38" s="35" t="s">
        <v>150</v>
      </c>
      <c r="D38" s="100">
        <f>D33+C37</f>
        <v>203200</v>
      </c>
    </row>
    <row r="39" spans="1:4" ht="15.75" thickTop="1" x14ac:dyDescent="0.25"/>
  </sheetData>
  <mergeCells count="5">
    <mergeCell ref="A1:D1"/>
    <mergeCell ref="A2:D2"/>
    <mergeCell ref="A3:D3"/>
    <mergeCell ref="A4:D4"/>
    <mergeCell ref="A5:D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31"/>
  <sheetViews>
    <sheetView workbookViewId="0">
      <selection activeCell="H30" sqref="H30"/>
    </sheetView>
  </sheetViews>
  <sheetFormatPr baseColWidth="10" defaultRowHeight="15" x14ac:dyDescent="0.25"/>
  <cols>
    <col min="3" max="3" width="6.85546875" customWidth="1"/>
    <col min="6" max="6" width="14.7109375" customWidth="1"/>
    <col min="7" max="7" width="15" customWidth="1"/>
  </cols>
  <sheetData>
    <row r="1" spans="1:7" x14ac:dyDescent="0.25">
      <c r="A1" s="3" t="s">
        <v>6</v>
      </c>
      <c r="B1" s="4"/>
      <c r="C1" s="4"/>
      <c r="D1" s="4"/>
      <c r="E1" s="4"/>
      <c r="F1" s="4"/>
      <c r="G1" s="5"/>
    </row>
    <row r="2" spans="1:7" x14ac:dyDescent="0.25">
      <c r="A2" s="22" t="s">
        <v>7</v>
      </c>
      <c r="B2" s="7"/>
      <c r="C2" s="7"/>
      <c r="D2" s="7"/>
      <c r="E2" s="7"/>
      <c r="F2" s="7"/>
      <c r="G2" s="8"/>
    </row>
    <row r="3" spans="1:7" x14ac:dyDescent="0.25">
      <c r="A3" s="13">
        <f>3750/3</f>
        <v>1250</v>
      </c>
      <c r="B3" s="7" t="s">
        <v>8</v>
      </c>
      <c r="C3" s="7"/>
      <c r="D3" s="7" t="s">
        <v>10</v>
      </c>
      <c r="E3" s="7"/>
      <c r="F3" s="7"/>
      <c r="G3" s="8"/>
    </row>
    <row r="4" spans="1:7" x14ac:dyDescent="0.25">
      <c r="A4" s="13">
        <f>2500/2</f>
        <v>1250</v>
      </c>
      <c r="B4" s="7" t="s">
        <v>8</v>
      </c>
      <c r="C4" s="7"/>
      <c r="D4" s="7" t="s">
        <v>9</v>
      </c>
      <c r="E4" s="7"/>
      <c r="F4" s="7"/>
      <c r="G4" s="8"/>
    </row>
    <row r="5" spans="1:7" x14ac:dyDescent="0.25">
      <c r="A5" s="6"/>
      <c r="B5" s="7"/>
      <c r="C5" s="7"/>
      <c r="D5" s="7"/>
      <c r="E5" s="7"/>
      <c r="F5" s="7"/>
      <c r="G5" s="8"/>
    </row>
    <row r="6" spans="1:7" x14ac:dyDescent="0.25">
      <c r="A6" s="22" t="s">
        <v>20</v>
      </c>
      <c r="B6" s="7"/>
      <c r="C6" s="7"/>
      <c r="D6" s="7"/>
      <c r="E6" s="7"/>
      <c r="F6" s="7"/>
      <c r="G6" s="8"/>
    </row>
    <row r="7" spans="1:7" ht="30" x14ac:dyDescent="0.25">
      <c r="A7" s="113" t="s">
        <v>21</v>
      </c>
      <c r="B7" s="114"/>
      <c r="C7" s="7"/>
      <c r="D7" s="25" t="s">
        <v>29</v>
      </c>
      <c r="E7" s="23" t="s">
        <v>22</v>
      </c>
      <c r="F7" s="124" t="s">
        <v>23</v>
      </c>
      <c r="G7" s="26" t="s">
        <v>24</v>
      </c>
    </row>
    <row r="8" spans="1:7" x14ac:dyDescent="0.25">
      <c r="A8" s="6"/>
      <c r="B8" s="7"/>
      <c r="C8" s="7"/>
      <c r="D8" s="21">
        <v>43708</v>
      </c>
      <c r="E8" s="24">
        <f>24000/12</f>
        <v>2000</v>
      </c>
      <c r="F8" s="24">
        <f>4*E8</f>
        <v>8000</v>
      </c>
      <c r="G8" s="28">
        <f>8*E8</f>
        <v>16000</v>
      </c>
    </row>
    <row r="9" spans="1:7" x14ac:dyDescent="0.25">
      <c r="A9" s="6"/>
      <c r="B9" s="7"/>
      <c r="C9" s="7"/>
      <c r="D9" s="7"/>
      <c r="E9" s="7"/>
      <c r="F9" s="7"/>
      <c r="G9" s="8"/>
    </row>
    <row r="10" spans="1:7" ht="30" x14ac:dyDescent="0.25">
      <c r="A10" s="113" t="s">
        <v>28</v>
      </c>
      <c r="B10" s="114"/>
      <c r="C10" s="7"/>
      <c r="D10" s="25" t="s">
        <v>29</v>
      </c>
      <c r="E10" s="23" t="s">
        <v>22</v>
      </c>
      <c r="F10" s="124" t="s">
        <v>30</v>
      </c>
      <c r="G10" s="26" t="s">
        <v>31</v>
      </c>
    </row>
    <row r="11" spans="1:7" x14ac:dyDescent="0.25">
      <c r="A11" s="6"/>
      <c r="B11" s="7"/>
      <c r="C11" s="7"/>
      <c r="D11" s="21">
        <v>44089</v>
      </c>
      <c r="E11" s="24">
        <v>1500</v>
      </c>
      <c r="F11" s="24">
        <f>3.5*E11</f>
        <v>5250</v>
      </c>
      <c r="G11" s="28">
        <f>8.5*E11</f>
        <v>12750</v>
      </c>
    </row>
    <row r="12" spans="1:7" x14ac:dyDescent="0.25">
      <c r="A12" s="6"/>
      <c r="B12" s="7"/>
      <c r="C12" s="7"/>
      <c r="D12" s="7"/>
      <c r="E12" s="9"/>
      <c r="F12" s="9"/>
      <c r="G12" s="27"/>
    </row>
    <row r="13" spans="1:7" x14ac:dyDescent="0.25">
      <c r="A13" s="30" t="s">
        <v>34</v>
      </c>
      <c r="B13" s="9"/>
      <c r="C13" s="7"/>
      <c r="D13" s="7"/>
      <c r="E13" s="7"/>
      <c r="F13" s="9">
        <f>F8+G8+F11+G11</f>
        <v>42000</v>
      </c>
      <c r="G13" s="8"/>
    </row>
    <row r="14" spans="1:7" x14ac:dyDescent="0.25">
      <c r="A14" s="6"/>
      <c r="B14" s="9" t="s">
        <v>32</v>
      </c>
      <c r="C14" s="7"/>
      <c r="D14" s="7"/>
      <c r="E14" s="7"/>
      <c r="F14" s="29">
        <f>F8</f>
        <v>8000</v>
      </c>
      <c r="G14" s="8"/>
    </row>
    <row r="15" spans="1:7" x14ac:dyDescent="0.25">
      <c r="A15" s="6"/>
      <c r="B15" s="7" t="s">
        <v>33</v>
      </c>
      <c r="C15" s="7"/>
      <c r="D15" s="7"/>
      <c r="E15" s="9"/>
      <c r="F15" s="9">
        <f>F13-F14</f>
        <v>34000</v>
      </c>
      <c r="G15" s="8"/>
    </row>
    <row r="16" spans="1:7" x14ac:dyDescent="0.25">
      <c r="A16" s="6"/>
      <c r="B16" s="7"/>
      <c r="C16" s="7"/>
      <c r="D16" s="7"/>
      <c r="E16" s="7"/>
      <c r="F16" s="7"/>
      <c r="G16" s="8"/>
    </row>
    <row r="17" spans="1:7" x14ac:dyDescent="0.25">
      <c r="A17" s="22" t="s">
        <v>37</v>
      </c>
      <c r="B17" s="9">
        <v>40000</v>
      </c>
      <c r="C17" s="31" t="s">
        <v>38</v>
      </c>
      <c r="D17" s="24">
        <f>40000*30%</f>
        <v>12000</v>
      </c>
      <c r="E17" s="7"/>
      <c r="F17" s="7"/>
      <c r="G17" s="8"/>
    </row>
    <row r="18" spans="1:7" x14ac:dyDescent="0.25">
      <c r="A18" s="6" t="s">
        <v>39</v>
      </c>
      <c r="B18" s="7" t="s">
        <v>40</v>
      </c>
      <c r="C18" s="7"/>
      <c r="D18" s="7"/>
      <c r="E18" s="7"/>
      <c r="F18" s="7"/>
      <c r="G18" s="8"/>
    </row>
    <row r="19" spans="1:7" x14ac:dyDescent="0.25">
      <c r="A19" s="6" t="s">
        <v>41</v>
      </c>
      <c r="B19" s="33">
        <f>40000*1*0.12</f>
        <v>4800</v>
      </c>
      <c r="C19" s="7"/>
      <c r="D19" s="7"/>
      <c r="E19" s="7"/>
      <c r="F19" s="7"/>
      <c r="G19" s="8"/>
    </row>
    <row r="20" spans="1:7" x14ac:dyDescent="0.25">
      <c r="A20" s="6" t="s">
        <v>42</v>
      </c>
      <c r="B20" s="33">
        <f>B19/12</f>
        <v>400</v>
      </c>
      <c r="C20" s="7"/>
      <c r="D20" s="9">
        <f>B20*2</f>
        <v>800</v>
      </c>
      <c r="E20" s="7" t="s">
        <v>45</v>
      </c>
      <c r="F20" s="7"/>
      <c r="G20" s="8"/>
    </row>
    <row r="21" spans="1:7" x14ac:dyDescent="0.25">
      <c r="A21" s="6"/>
      <c r="B21" s="7"/>
      <c r="C21" s="7"/>
      <c r="D21" s="9">
        <f>B20</f>
        <v>400</v>
      </c>
      <c r="E21" s="7" t="s">
        <v>46</v>
      </c>
      <c r="F21" s="7"/>
      <c r="G21" s="8"/>
    </row>
    <row r="22" spans="1:7" x14ac:dyDescent="0.25">
      <c r="A22" s="7"/>
      <c r="B22" s="7"/>
      <c r="G22" s="8"/>
    </row>
    <row r="23" spans="1:7" x14ac:dyDescent="0.25">
      <c r="A23" s="35" t="s">
        <v>75</v>
      </c>
      <c r="D23" t="s">
        <v>76</v>
      </c>
      <c r="E23" s="2">
        <v>20000</v>
      </c>
      <c r="G23" s="8"/>
    </row>
    <row r="24" spans="1:7" x14ac:dyDescent="0.25">
      <c r="D24" t="s">
        <v>77</v>
      </c>
      <c r="E24" s="2">
        <v>48000</v>
      </c>
      <c r="G24" s="8"/>
    </row>
    <row r="25" spans="1:7" x14ac:dyDescent="0.25">
      <c r="G25" s="8"/>
    </row>
    <row r="26" spans="1:7" x14ac:dyDescent="0.25">
      <c r="G26" s="8"/>
    </row>
    <row r="27" spans="1:7" x14ac:dyDescent="0.25">
      <c r="A27" s="35" t="s">
        <v>73</v>
      </c>
      <c r="E27" t="s">
        <v>80</v>
      </c>
      <c r="G27" s="8"/>
    </row>
    <row r="28" spans="1:7" x14ac:dyDescent="0.25">
      <c r="A28" t="s">
        <v>81</v>
      </c>
      <c r="G28" s="8"/>
    </row>
    <row r="29" spans="1:7" x14ac:dyDescent="0.25">
      <c r="B29" t="s">
        <v>48</v>
      </c>
      <c r="E29" t="s">
        <v>82</v>
      </c>
      <c r="G29" s="8"/>
    </row>
    <row r="30" spans="1:7" x14ac:dyDescent="0.25">
      <c r="A30" s="6"/>
      <c r="B30" s="7" t="s">
        <v>83</v>
      </c>
      <c r="D30" s="7"/>
      <c r="E30" s="7" t="s">
        <v>82</v>
      </c>
      <c r="F30" s="7"/>
      <c r="G30" s="8"/>
    </row>
    <row r="31" spans="1:7" ht="15.75" thickBot="1" x14ac:dyDescent="0.3">
      <c r="A31" s="10"/>
      <c r="B31" s="11"/>
      <c r="C31" s="11" t="s">
        <v>65</v>
      </c>
      <c r="D31" s="11"/>
      <c r="E31" s="11"/>
      <c r="F31" s="11" t="s">
        <v>82</v>
      </c>
      <c r="G31" s="12"/>
    </row>
  </sheetData>
  <mergeCells count="2">
    <mergeCell ref="A7:B7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Portada</vt:lpstr>
      <vt:lpstr>Asientos de diario</vt:lpstr>
      <vt:lpstr>Mayores</vt:lpstr>
      <vt:lpstr>Balance de Comprobación</vt:lpstr>
      <vt:lpstr>Edo. de Resultados</vt:lpstr>
      <vt:lpstr>Edo.situación Financiera</vt:lpstr>
      <vt:lpstr>Calculos</vt:lpstr>
      <vt:lpstr>Portada!Área_de_impresión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cadena</dc:creator>
  <cp:lastModifiedBy>cadena</cp:lastModifiedBy>
  <dcterms:created xsi:type="dcterms:W3CDTF">2021-07-15T19:41:06Z</dcterms:created>
  <dcterms:modified xsi:type="dcterms:W3CDTF">2021-07-18T14:40:02Z</dcterms:modified>
</cp:coreProperties>
</file>