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66925"/>
  <mc:AlternateContent xmlns:mc="http://schemas.openxmlformats.org/markup-compatibility/2006">
    <mc:Choice Requires="x15">
      <x15ac:absPath xmlns:x15ac="http://schemas.microsoft.com/office/spreadsheetml/2010/11/ac" url="C:\Users\Falobaidan\Documents\Fatimah\"/>
    </mc:Choice>
  </mc:AlternateContent>
  <xr:revisionPtr revIDLastSave="0" documentId="13_ncr:1_{6AEBB75A-F7C6-4E75-98B3-42E84C19F6EA}" xr6:coauthVersionLast="47" xr6:coauthVersionMax="47" xr10:uidLastSave="{00000000-0000-0000-0000-000000000000}"/>
  <bookViews>
    <workbookView xWindow="-120" yWindow="-120" windowWidth="29040" windowHeight="15840" firstSheet="2" activeTab="10" xr2:uid="{246A166F-672C-46F7-8DC7-57ADB1EFD0B3}"/>
  </bookViews>
  <sheets>
    <sheet name="PR (3)" sheetId="10" r:id="rId1"/>
    <sheet name="PR (2)" sheetId="9" r:id="rId2"/>
    <sheet name="Sheet1" sheetId="1" r:id="rId3"/>
    <sheet name="Sheet3" sheetId="3" r:id="rId4"/>
    <sheet name="Sheet2" sheetId="2" r:id="rId5"/>
    <sheet name="FMD" sheetId="4" r:id="rId6"/>
    <sheet name="Testing" sheetId="5" r:id="rId7"/>
    <sheet name="TTD" sheetId="6" r:id="rId8"/>
    <sheet name="Safety" sheetId="7" r:id="rId9"/>
    <sheet name="PR" sheetId="8" r:id="rId10"/>
    <sheet name="Legal" sheetId="11" r:id="rId11"/>
    <sheet name="Internal Auditing" sheetId="12" r:id="rId12"/>
    <sheet name="TAU" sheetId="13" r:id="rId13"/>
    <sheet name="Quality Assurance" sheetId="14" r:id="rId14"/>
    <sheet name="MD" sheetId="15" r:id="rId15"/>
    <sheet name="IT" sheetId="16" r:id="rId16"/>
    <sheet name="HR" sheetId="17" r:id="rId17"/>
    <sheet name="Finance" sheetId="18" r:id="rId18"/>
    <sheet name="BDU" sheetId="19" r:id="rId19"/>
    <sheet name="Academic" sheetId="20" r:id="rId20"/>
  </sheets>
  <definedNames>
    <definedName name="_xlnm._FilterDatabase" localSheetId="2" hidden="1">Sheet1!$A$2:$G$72</definedName>
    <definedName name="_xlnm._FilterDatabase" localSheetId="4" hidden="1">Sheet2!$D$3:$H$12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0" l="1"/>
  <c r="F15" i="20"/>
  <c r="F13" i="20"/>
  <c r="F11" i="20"/>
  <c r="F9" i="20"/>
  <c r="F5" i="20"/>
  <c r="F6" i="20"/>
  <c r="F4" i="20"/>
  <c r="F16" i="19"/>
  <c r="F17" i="18"/>
  <c r="F28" i="17"/>
  <c r="F22" i="16"/>
  <c r="F17" i="15"/>
  <c r="F16" i="14"/>
  <c r="F21" i="13"/>
  <c r="G17" i="12"/>
  <c r="G16" i="11"/>
  <c r="G14" i="11"/>
  <c r="G23" i="8"/>
  <c r="H20" i="7"/>
  <c r="G15" i="7"/>
  <c r="G19" i="6"/>
  <c r="F14" i="19"/>
  <c r="F12" i="19"/>
  <c r="F10" i="19"/>
  <c r="F7" i="19"/>
  <c r="F6" i="19"/>
  <c r="F15" i="18"/>
  <c r="F13" i="18"/>
  <c r="F11" i="18"/>
  <c r="F7" i="18"/>
  <c r="F8" i="18"/>
  <c r="F6" i="18"/>
  <c r="F26" i="17"/>
  <c r="F23" i="17"/>
  <c r="F21" i="17"/>
  <c r="F7" i="17"/>
  <c r="F8" i="17"/>
  <c r="F9" i="17"/>
  <c r="F10" i="17"/>
  <c r="F11" i="17"/>
  <c r="F12" i="17"/>
  <c r="F13" i="17"/>
  <c r="F14" i="17"/>
  <c r="F15" i="17"/>
  <c r="F16" i="17"/>
  <c r="F17" i="17"/>
  <c r="F18" i="17"/>
  <c r="F6" i="17"/>
  <c r="F19" i="16"/>
  <c r="F14" i="16"/>
  <c r="F7" i="16"/>
  <c r="F8" i="16"/>
  <c r="F9" i="16"/>
  <c r="F10" i="16"/>
  <c r="F11" i="16"/>
  <c r="F6" i="16"/>
  <c r="F13" i="15"/>
  <c r="F15" i="15"/>
  <c r="F11" i="15"/>
  <c r="F7" i="15"/>
  <c r="F8" i="15"/>
  <c r="F6" i="15"/>
  <c r="F14" i="14"/>
  <c r="F12" i="14"/>
  <c r="F10" i="14"/>
  <c r="F7" i="14"/>
  <c r="F6" i="14"/>
  <c r="F19" i="13"/>
  <c r="F17" i="13"/>
  <c r="F15" i="13"/>
  <c r="F9" i="13"/>
  <c r="F10" i="13"/>
  <c r="F11" i="13"/>
  <c r="F12" i="13"/>
  <c r="F8" i="13"/>
  <c r="F5" i="13"/>
  <c r="F4" i="13"/>
  <c r="G15" i="12"/>
  <c r="G13" i="12"/>
  <c r="G11" i="12"/>
  <c r="G7" i="12"/>
  <c r="G8" i="12"/>
  <c r="G6" i="12"/>
  <c r="G12" i="11"/>
  <c r="G10" i="11"/>
  <c r="G7" i="11"/>
  <c r="G6" i="11"/>
  <c r="G12" i="7"/>
  <c r="G10" i="7"/>
  <c r="G7" i="7"/>
  <c r="G8" i="7"/>
  <c r="G6" i="7"/>
  <c r="G17" i="6"/>
  <c r="G9" i="6"/>
  <c r="G8" i="6"/>
  <c r="G5" i="6"/>
  <c r="G4" i="6"/>
  <c r="G7" i="5"/>
  <c r="G6" i="5"/>
  <c r="B8" i="20"/>
  <c r="B6" i="20"/>
  <c r="B4" i="20"/>
  <c r="B2" i="20"/>
  <c r="B8" i="19"/>
  <c r="B7" i="19"/>
  <c r="B6" i="19"/>
  <c r="B4" i="19"/>
  <c r="B3" i="19"/>
  <c r="B2" i="19"/>
  <c r="F13" i="19"/>
  <c r="F11" i="19"/>
  <c r="F9" i="19"/>
  <c r="F3" i="19"/>
  <c r="B8" i="18"/>
  <c r="B7" i="18"/>
  <c r="B6" i="18"/>
  <c r="B4" i="18"/>
  <c r="B3" i="18"/>
  <c r="B2" i="18"/>
  <c r="F14" i="18"/>
  <c r="F12" i="18"/>
  <c r="F10" i="18"/>
  <c r="F3" i="18"/>
  <c r="F3" i="20" l="1"/>
  <c r="F25" i="17"/>
  <c r="B7" i="17" s="1"/>
  <c r="F20" i="17"/>
  <c r="F3" i="17"/>
  <c r="B3" i="17" s="1"/>
  <c r="B8" i="16"/>
  <c r="B6" i="16"/>
  <c r="B4" i="16"/>
  <c r="B3" i="16"/>
  <c r="B2" i="16"/>
  <c r="F18" i="16"/>
  <c r="B7" i="16" s="1"/>
  <c r="F16" i="16"/>
  <c r="F13" i="16"/>
  <c r="F3" i="16"/>
  <c r="B8" i="15"/>
  <c r="B7" i="15"/>
  <c r="B6" i="15"/>
  <c r="B4" i="15"/>
  <c r="B3" i="15"/>
  <c r="F14" i="15"/>
  <c r="F12" i="15"/>
  <c r="F10" i="15"/>
  <c r="F3" i="15"/>
  <c r="B2" i="15"/>
  <c r="B8" i="14"/>
  <c r="B7" i="14"/>
  <c r="B6" i="14"/>
  <c r="B4" i="14"/>
  <c r="B3" i="14"/>
  <c r="B2" i="14"/>
  <c r="F11" i="14"/>
  <c r="B8" i="13"/>
  <c r="B7" i="13"/>
  <c r="B6" i="13"/>
  <c r="B4" i="13"/>
  <c r="B2" i="13"/>
  <c r="F16" i="13"/>
  <c r="B8" i="12"/>
  <c r="B7" i="12"/>
  <c r="B6" i="12"/>
  <c r="B4" i="12"/>
  <c r="B3" i="12"/>
  <c r="G3" i="12"/>
  <c r="B2" i="12"/>
  <c r="B8" i="11"/>
  <c r="B7" i="11"/>
  <c r="B6" i="11"/>
  <c r="B4" i="11"/>
  <c r="B3" i="11"/>
  <c r="B2" i="11"/>
  <c r="G3" i="11"/>
  <c r="B8" i="8"/>
  <c r="B6" i="8"/>
  <c r="B4" i="8"/>
  <c r="B3" i="8"/>
  <c r="B2" i="8"/>
  <c r="B3" i="5"/>
  <c r="B2" i="5"/>
  <c r="B8" i="7"/>
  <c r="B8" i="6"/>
  <c r="B8" i="4"/>
  <c r="B6" i="4"/>
  <c r="B4" i="4"/>
  <c r="B3" i="4"/>
  <c r="F3" i="4"/>
  <c r="B2" i="4"/>
  <c r="G18" i="5"/>
  <c r="G13" i="5"/>
  <c r="F34" i="4"/>
  <c r="G7" i="8"/>
  <c r="G8" i="8"/>
  <c r="G9" i="8"/>
  <c r="G10" i="8"/>
  <c r="G11" i="8"/>
  <c r="G12" i="8"/>
  <c r="G13" i="8"/>
  <c r="G14" i="8"/>
  <c r="G16" i="8"/>
  <c r="G18" i="8"/>
  <c r="G20" i="8"/>
  <c r="G21" i="8"/>
  <c r="G6" i="8"/>
  <c r="G4" i="8"/>
  <c r="B6" i="6"/>
  <c r="B4" i="6"/>
  <c r="B2" i="6"/>
  <c r="F30" i="4"/>
  <c r="F31" i="4"/>
  <c r="F32" i="4"/>
  <c r="F29" i="4"/>
  <c r="F24" i="4"/>
  <c r="F23" i="4" s="1"/>
  <c r="F7" i="4"/>
  <c r="F8" i="4"/>
  <c r="F9" i="4"/>
  <c r="F10" i="4"/>
  <c r="F11" i="4"/>
  <c r="F12" i="4"/>
  <c r="F13" i="4"/>
  <c r="F14" i="4"/>
  <c r="F15" i="4"/>
  <c r="F16" i="4"/>
  <c r="F17" i="4"/>
  <c r="F18" i="4"/>
  <c r="F19" i="4"/>
  <c r="F20" i="4"/>
  <c r="F21" i="4"/>
  <c r="F6" i="4"/>
  <c r="G10" i="5"/>
  <c r="G9" i="5" s="1"/>
  <c r="G11" i="5"/>
  <c r="G15" i="5"/>
  <c r="G14" i="5" s="1"/>
  <c r="B7" i="5" s="1"/>
  <c r="F69" i="1"/>
  <c r="F62" i="1"/>
  <c r="F60" i="1"/>
  <c r="F58" i="1"/>
  <c r="F57" i="1"/>
  <c r="F55" i="1"/>
  <c r="F54" i="1"/>
  <c r="F53" i="1"/>
  <c r="F51" i="1"/>
  <c r="E56" i="1" s="1"/>
  <c r="F56" i="1" s="1"/>
  <c r="F50" i="1"/>
  <c r="F49" i="1"/>
  <c r="F47" i="1"/>
  <c r="F46" i="1"/>
  <c r="F45" i="1"/>
  <c r="F43" i="1"/>
  <c r="F39" i="1"/>
  <c r="F36" i="1"/>
  <c r="F35" i="1"/>
  <c r="F33" i="1"/>
  <c r="F32" i="1"/>
  <c r="E34" i="1" s="1"/>
  <c r="F34" i="1" s="1"/>
  <c r="E48" i="1" s="1"/>
  <c r="F48" i="1" s="1"/>
  <c r="F31" i="1"/>
  <c r="F30" i="1"/>
  <c r="F28" i="1"/>
  <c r="F27" i="1"/>
  <c r="E38" i="1" s="1"/>
  <c r="F38" i="1" s="1"/>
  <c r="E52" i="1" s="1"/>
  <c r="F52" i="1" s="1"/>
  <c r="E59" i="1" s="1"/>
  <c r="F59" i="1" s="1"/>
  <c r="E65" i="1" s="1"/>
  <c r="F65" i="1" s="1"/>
  <c r="F26" i="1"/>
  <c r="F24" i="1"/>
  <c r="F23" i="1"/>
  <c r="F22" i="1"/>
  <c r="E40" i="1" s="1"/>
  <c r="F40" i="1" s="1"/>
  <c r="F19" i="1"/>
  <c r="E70" i="1" s="1"/>
  <c r="F70" i="1" s="1"/>
  <c r="F18" i="1"/>
  <c r="E37" i="1" s="1"/>
  <c r="F37" i="1" s="1"/>
  <c r="E61" i="1" s="1"/>
  <c r="F61" i="1" s="1"/>
  <c r="E64" i="1" s="1"/>
  <c r="F64" i="1" s="1"/>
  <c r="E66" i="1" s="1"/>
  <c r="F66" i="1" s="1"/>
  <c r="E68" i="1" s="1"/>
  <c r="F68" i="1" s="1"/>
  <c r="E71" i="1" s="1"/>
  <c r="F71" i="1" s="1"/>
  <c r="F17" i="1"/>
  <c r="E72" i="1" s="1"/>
  <c r="F72" i="1" s="1"/>
  <c r="F15" i="1"/>
  <c r="E16" i="1" s="1"/>
  <c r="F16" i="1" s="1"/>
  <c r="F14" i="1"/>
  <c r="F13" i="1"/>
  <c r="F12" i="1"/>
  <c r="E20" i="1" s="1"/>
  <c r="F20" i="1" s="1"/>
  <c r="E21" i="1" s="1"/>
  <c r="F21" i="1" s="1"/>
  <c r="E25" i="1" s="1"/>
  <c r="F25" i="1" s="1"/>
  <c r="E29" i="1" s="1"/>
  <c r="F29" i="1" s="1"/>
  <c r="E42" i="1" s="1"/>
  <c r="F42" i="1" s="1"/>
  <c r="E44" i="1" s="1"/>
  <c r="F44" i="1" s="1"/>
  <c r="F10" i="1"/>
  <c r="E11" i="1" s="1"/>
  <c r="F11" i="1" s="1"/>
  <c r="F9" i="1"/>
  <c r="F8" i="1"/>
  <c r="E67" i="1" s="1"/>
  <c r="F67" i="1" s="1"/>
  <c r="F7" i="1"/>
  <c r="F6" i="1"/>
  <c r="F5" i="1"/>
  <c r="F4" i="1"/>
  <c r="E63" i="1" s="1"/>
  <c r="F63" i="1" s="1"/>
  <c r="F3" i="1"/>
  <c r="G19" i="8" l="1"/>
  <c r="B7" i="8" s="1"/>
  <c r="F28" i="4"/>
  <c r="B7" i="4" s="1"/>
  <c r="G5" i="8"/>
  <c r="B5" i="8" s="1"/>
  <c r="B7" i="7"/>
  <c r="B6" i="7"/>
  <c r="B4" i="7"/>
  <c r="B3" i="7"/>
  <c r="B2" i="7"/>
  <c r="E28" i="4"/>
  <c r="F5" i="4" l="1"/>
  <c r="B5" i="4" s="1"/>
  <c r="E14" i="20"/>
  <c r="E12" i="20"/>
  <c r="E10" i="20"/>
  <c r="E8" i="20"/>
  <c r="E3" i="20"/>
  <c r="E13" i="19"/>
  <c r="E11" i="19"/>
  <c r="E9" i="19"/>
  <c r="E5" i="19"/>
  <c r="E3" i="19"/>
  <c r="E14" i="18"/>
  <c r="E12" i="18"/>
  <c r="E10" i="18"/>
  <c r="E5" i="18"/>
  <c r="E3" i="18"/>
  <c r="E25" i="17"/>
  <c r="B6" i="17" s="1"/>
  <c r="E22" i="17"/>
  <c r="E20" i="17"/>
  <c r="E5" i="17"/>
  <c r="B4" i="17" s="1"/>
  <c r="E3" i="17"/>
  <c r="B2" i="17" s="1"/>
  <c r="E18" i="16"/>
  <c r="E16" i="16"/>
  <c r="E13" i="16"/>
  <c r="E5" i="16"/>
  <c r="E3" i="16"/>
  <c r="E14" i="15"/>
  <c r="E12" i="15"/>
  <c r="E10" i="15"/>
  <c r="E5" i="15"/>
  <c r="E3" i="15"/>
  <c r="E11" i="14"/>
  <c r="E5" i="14"/>
  <c r="E16" i="13"/>
  <c r="E7" i="13"/>
  <c r="E3" i="13"/>
  <c r="F5" i="12"/>
  <c r="F3" i="12"/>
  <c r="F5" i="11"/>
  <c r="F3" i="11"/>
  <c r="F19" i="8"/>
  <c r="F5" i="8"/>
  <c r="F5" i="7"/>
  <c r="F3" i="6"/>
  <c r="F14" i="5"/>
  <c r="B6" i="5" s="1"/>
  <c r="F9" i="5"/>
  <c r="B8" i="17" l="1"/>
  <c r="F7" i="6"/>
  <c r="F5" i="5"/>
  <c r="B4" i="5" s="1"/>
  <c r="B8" i="5" s="1"/>
  <c r="F16" i="6"/>
  <c r="E23" i="4"/>
  <c r="E5" i="4"/>
  <c r="E3" i="4"/>
  <c r="F8" i="3" l="1"/>
  <c r="G37" i="2"/>
  <c r="G5" i="5"/>
  <c r="B5" i="5" s="1"/>
  <c r="G3" i="6"/>
  <c r="B3" i="6" s="1"/>
  <c r="G7" i="6"/>
  <c r="B5" i="6" s="1"/>
  <c r="H9" i="6"/>
  <c r="G16" i="6"/>
  <c r="B7" i="6" s="1"/>
  <c r="G5" i="7"/>
  <c r="B5" i="7" s="1"/>
  <c r="H5" i="7" l="1"/>
  <c r="G5" i="11"/>
  <c r="B5" i="11" s="1"/>
  <c r="G5" i="12"/>
  <c r="B5" i="12" s="1"/>
  <c r="F3" i="13"/>
  <c r="B3" i="13"/>
  <c r="F7" i="13"/>
  <c r="B5" i="13" s="1"/>
  <c r="F5" i="14"/>
  <c r="B5" i="14" s="1"/>
  <c r="F5" i="15"/>
  <c r="B5" i="15" s="1"/>
  <c r="F5" i="16"/>
  <c r="B5" i="16" s="1"/>
  <c r="F5" i="17"/>
  <c r="F22" i="17"/>
  <c r="F5" i="18"/>
  <c r="B5" i="18" s="1"/>
  <c r="F5" i="19"/>
  <c r="B5" i="19" s="1"/>
  <c r="B3" i="20"/>
  <c r="F8" i="20"/>
  <c r="F10" i="20"/>
  <c r="F12" i="20"/>
  <c r="F14" i="20"/>
  <c r="B7" i="20" s="1"/>
  <c r="B5" i="17" l="1"/>
  <c r="B5"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 Arfaj, Abdulmajeed A.</author>
  </authors>
  <commentList>
    <comment ref="E4" authorId="0" shapeId="0" xr:uid="{3E13320A-5BE1-4C49-A7C0-598BBF1728D5}">
      <text>
        <r>
          <rPr>
            <b/>
            <sz val="9"/>
            <color indexed="81"/>
            <rFont val="Tahoma"/>
            <family val="2"/>
          </rPr>
          <t>Al Arfaj, Abdulmajeed A.:</t>
        </r>
        <r>
          <rPr>
            <sz val="9"/>
            <color indexed="81"/>
            <rFont val="Tahoma"/>
            <family val="2"/>
          </rPr>
          <t xml:space="preserve">
Deducting Dar Maymoun Invoice for Jan23 to Mar23.
</t>
        </r>
      </text>
    </comment>
    <comment ref="D60" authorId="0" shapeId="0" xr:uid="{42B75D43-8F5A-4882-A36C-6E824A1E8819}">
      <text>
        <r>
          <rPr>
            <b/>
            <sz val="9"/>
            <color indexed="81"/>
            <rFont val="Tahoma"/>
            <family val="2"/>
          </rPr>
          <t>Al Arfaj, Abdulmajeed A.:</t>
        </r>
        <r>
          <rPr>
            <sz val="9"/>
            <color indexed="81"/>
            <rFont val="Tahoma"/>
            <family val="2"/>
          </rPr>
          <t xml:space="preserve">
2019 Accommodation and Admin Building Rehabilitation Project</t>
        </r>
      </text>
    </comment>
  </commentList>
</comments>
</file>

<file path=xl/sharedStrings.xml><?xml version="1.0" encoding="utf-8"?>
<sst xmlns="http://schemas.openxmlformats.org/spreadsheetml/2006/main" count="628" uniqueCount="217">
  <si>
    <t>Budget Item Amount</t>
  </si>
  <si>
    <t>PR Amount</t>
  </si>
  <si>
    <t>PR No.</t>
  </si>
  <si>
    <t>PR Comment</t>
  </si>
  <si>
    <t>Budget Remaining</t>
  </si>
  <si>
    <t>Academic</t>
  </si>
  <si>
    <t>Cost Center</t>
  </si>
  <si>
    <t>This request is to procure new Headway that will be deducted from the Academic Budget 2023, Other Training Expenses item, with balance of SAR 696,000.00.</t>
  </si>
  <si>
    <t>IT</t>
  </si>
  <si>
    <t>Budget Item Name</t>
  </si>
  <si>
    <t xml:space="preserve">M &amp; R - Other Computers &amp; Peripherals           </t>
  </si>
  <si>
    <t>Other Training Expenses</t>
  </si>
  <si>
    <t>This request is for the period from April 2023 to December 2023 that will be included in the new printer services contract for 3 years. The request will be deducted from the IT budget, M &amp; R - Other Computers &amp; Peripherals item, with remaining balance of SAR 478,062.00.</t>
  </si>
  <si>
    <t>FMD</t>
  </si>
  <si>
    <t xml:space="preserve">HVAC Contract                        </t>
  </si>
  <si>
    <t xml:space="preserve">This request is for the ZAMIL Contract for HVAC services in 2023 that will be deducted from the FMD budget 2023, HVAC Contract item, with balance of SAR 720,000.00.                         </t>
  </si>
  <si>
    <t>This request is for the technical support services for the HVAC in 2023 that will be deducted from FMD budget 2023, Technical Manpower RPO item, with balance of SAR 2,040,000.00.</t>
  </si>
  <si>
    <t xml:space="preserve">Facility services                  </t>
  </si>
  <si>
    <t xml:space="preserve">This request is for providing Building maintenance services in 2023 that will be deducted from FMD budget 2023, Technical Manpower RPO item, with remaining balance of SAR 1,837,200.00. </t>
  </si>
  <si>
    <t>This request is for providing facility services in 2023 that will be deducted from FMD budget, Facility services item, with balance of SAR 3,420,000.00.</t>
  </si>
  <si>
    <t>Labor</t>
  </si>
  <si>
    <t>This request is to reserve Hotel rooms for 11 employees to attend KAQA ceremony that will be deducted from Labor budget, Business Trip item, with balance of SAR 360,000.00.</t>
  </si>
  <si>
    <r>
      <t xml:space="preserve">Business trips </t>
    </r>
    <r>
      <rPr>
        <b/>
        <sz val="11"/>
        <color rgb="FFC00000"/>
        <rFont val="Calibri"/>
        <family val="2"/>
        <scheme val="minor"/>
      </rPr>
      <t>(Canceled)</t>
    </r>
  </si>
  <si>
    <t>PR</t>
  </si>
  <si>
    <t>This request is for Trainee Accommodation for IKTVA That will be deducted from PR Unit, meeting &amp; convention item, with remaining balance of SAR 646,000.00</t>
  </si>
  <si>
    <t xml:space="preserve">Meetings &amp; Conventions                </t>
  </si>
  <si>
    <t>This request is to replace a previous request, PR #96 that was raised by Abdulmohsen on Dec 20th, 2022, and approved by the MD as final approval. This request includes an increase by SAR 18,750.00 comparing to PR #96 that will be deducted from the PR unit budget, with remaining balance of SAR 621,131.00.</t>
  </si>
  <si>
    <t>MD</t>
  </si>
  <si>
    <t>The request was issued on Dec 28, 2022, and the requester' supervisor approves it on Jan 18, 2023 which is after closing the 2022 budget, thus this shall be deducted from MD Office Budget 2023, with balance of SAR 48,000.00.</t>
  </si>
  <si>
    <t xml:space="preserve">Food &amp; Catering                      </t>
  </si>
  <si>
    <t>Testing Group</t>
  </si>
  <si>
    <t>Licensing Support item</t>
  </si>
  <si>
    <t xml:space="preserve">This request is for renewing the Question Mark license and adding 2000 users that will be deducted from Testing Group budget, Software Licensing Support item, with balance of SAR 175,000.00.            </t>
  </si>
  <si>
    <t>HR</t>
  </si>
  <si>
    <t xml:space="preserve">Car Lease </t>
  </si>
  <si>
    <t xml:space="preserve">M &amp; R - Vehicles                     </t>
  </si>
  <si>
    <t>Decrease the budget</t>
  </si>
  <si>
    <t>Increase the budget</t>
  </si>
  <si>
    <t>This request is for maintenance services and spare parts for NITI vehicle, TOYOTA RAV 4, in addition to changing the tires that will be deducted from HR unit, M &amp; R - Vehicles, with an amount of SAR 26,000.00. A budget transfer request was submitted to Finance to transfer SAR 20,000.00 from Car Lease item to M &amp; R - Vehicles.</t>
  </si>
  <si>
    <t>This request is for chemical for R.O and STP System that will be deducted from FMD budget, Water Supply &amp; Waster water removal item, with balance of SAR 249,000.00.</t>
  </si>
  <si>
    <t xml:space="preserve">Water Supply &amp; Waster water removal  </t>
  </si>
  <si>
    <t xml:space="preserve">Maintenance Materials                </t>
  </si>
  <si>
    <t>This request is to procure HERR fume extraction system spare parts that will be deducted from FMD budget, Maintenance Materials item, with balance of SAR 1,690,000.00.     </t>
  </si>
  <si>
    <t xml:space="preserve">Advertising &amp; Media                  </t>
  </si>
  <si>
    <t>This request is to pay the Silver sponsor for Al-Ahsa Forum that will be deducted from PR budget, Advertising &amp; Media item, with balance of SAR 180,000.00.      </t>
  </si>
  <si>
    <t>The request is to provide the catering services during HRDF MD Visit in Jan 31, 2023 that will be deducted from the MD budget, Food &amp; Catering item, with remaining balance of SAR 42,500.00.</t>
  </si>
  <si>
    <t>The request is to provide the catering services during SA LTC Program Visit in Feb 6, 2023 that will be deducted from the MD budget, Food &amp; Catering item, with remaining balance of SAR 39,500.00.</t>
  </si>
  <si>
    <t>Twareat</t>
  </si>
  <si>
    <t>Month</t>
  </si>
  <si>
    <t>Ret</t>
  </si>
  <si>
    <t>GL Date</t>
  </si>
  <si>
    <t>No</t>
  </si>
  <si>
    <t>yes</t>
  </si>
  <si>
    <t>no</t>
  </si>
  <si>
    <t>Not Ret Inc</t>
  </si>
  <si>
    <t>ARABBHBMMAN</t>
  </si>
  <si>
    <t>BH80ARAB02002119092533</t>
  </si>
  <si>
    <t>Ret inc</t>
  </si>
  <si>
    <t>Future Look Maintenance Est</t>
  </si>
  <si>
    <t>Marketing Systems Trading Est.</t>
  </si>
  <si>
    <t>Mecstar</t>
  </si>
  <si>
    <t>Najmet Al Amani Copying &amp; Photocopying</t>
  </si>
  <si>
    <t>Saudi Arabian Cooperative Insurance co.(SAICO)</t>
  </si>
  <si>
    <t>Universal Inspection Ltd.</t>
  </si>
  <si>
    <t>ValueFirst Telecom &amp; Information Technology</t>
  </si>
  <si>
    <t>Golden Hats Technical Works</t>
  </si>
  <si>
    <t>TAU</t>
  </si>
  <si>
    <t xml:space="preserve">Printing and Stationery              </t>
  </si>
  <si>
    <t>This request is to procure ID Card for IMI CWQAP &amp; WPR Certificates that will be deducted from TAU budget, Printing &amp; Stationary item, with balance of SAR 100,000.00. 
This PR issued by Ramon, and we replayed to him in an email that "Since this PR is not related to a service that generates revenue, and BD budget does not contain a budget item to deduct the PR cost from it, we will delegate the PR to Fahed Al-Mengash for his approval to deduct the cost, SAR 2,000.00, from TAU budget, Printing &amp; Stationary item. Please follow up with him."</t>
  </si>
  <si>
    <t xml:space="preserve">This request is for the annual car lease for NITI &amp; NPA eligible employees that will be deducted from HR budget, Car Lease item, with balance of SAR 382,000.00. A budget transfer request was submitted to finance to transfer SAR 20,000.00 from Car Lease Item to M&amp;R Vehicle to cover NITI Rav-4 maintenance needs. </t>
  </si>
  <si>
    <t>This request is to procure Business Card/ Barcode for NITI &amp; NPA employees that will be deducted from HR budget, Printing and Stationery item, with balance of SAR 6,000.00. This request will book 66% of the budgeted item.</t>
  </si>
  <si>
    <t>Paid</t>
  </si>
  <si>
    <t>Pending</t>
  </si>
  <si>
    <t>the amount deducted from 2022 budget</t>
  </si>
  <si>
    <t>Total</t>
  </si>
  <si>
    <t>PR.174</t>
  </si>
  <si>
    <t>PR.177</t>
  </si>
  <si>
    <t>PR.176</t>
  </si>
  <si>
    <t>PR No</t>
  </si>
  <si>
    <t>Status</t>
  </si>
  <si>
    <t>Description</t>
  </si>
  <si>
    <t>Amount</t>
  </si>
  <si>
    <t>Middle East Oil, Gas and Geoscience Show</t>
  </si>
  <si>
    <t>The request is to provide the catering services during SA LP Visit in Feb 12, 2023 that will be deducted from the MD budget, Food &amp; Catering item, with remaining balance of SAR 37,500.00.</t>
  </si>
  <si>
    <t>TTD</t>
  </si>
  <si>
    <t xml:space="preserve">Gas and Fuel                         </t>
  </si>
  <si>
    <t>This request is to refill the Cylinders that will be deducted from TTD budget, Gas and Fuel item, with balance of SAR 40,000.00.</t>
  </si>
  <si>
    <t>This request is to procure consumable items for training uses that will be deducted from TTD budget, Other Training Materials item, with balance of SAR 2,021,750.00.</t>
  </si>
  <si>
    <t xml:space="preserve">This request is for the first half of 2023 for the SMP employees that will be deducted from the HR budget, Additional Manpower item, with balance of SAR 4,385,858.30. </t>
  </si>
  <si>
    <t xml:space="preserve">Additional manpower </t>
  </si>
  <si>
    <t>Based on the requester, the MD. Mr. Waleed Al-Khudhair approved to deduct this request from the MD Office budget, Food &amp; Catering item, and the item remaining balance is SAR 36,000.00.</t>
  </si>
  <si>
    <t xml:space="preserve">This request is to procure Extracurricular activities in the foundation day that will be deducted from TAU, TOD Extra curricula Activities item, with balance of SAR 100,000.00. </t>
  </si>
  <si>
    <t>TOD Extra curricula Activities</t>
  </si>
  <si>
    <t xml:space="preserve">This request is to procure Fingerprint machines for HR that will be deducted from the FMD budget, Electric Appliance item, with balance of SAR 100,000.00. </t>
  </si>
  <si>
    <t>This request is to procure Critical training equipment maintenance service that will be deducted from the FMD budget, Tecnincal Short Form Service (SFC) item, with balance of SAR 1,200,000.00.</t>
  </si>
  <si>
    <t>This request is to procure Information center repair and renovation project that will be deducted from FMD budget, Improvements to Buildings item, with balance of SAR 460,000.00.</t>
  </si>
  <si>
    <t xml:space="preserve">This request is to procure Transformer Maintenance CM/PM services that will be deducted from FMD budget, Technical Short Form Service (SFC) item, with remaining balance of SAR 1,025,000.00. </t>
  </si>
  <si>
    <t>This request is to procure Agreement for printing and signs requirements that will be deducted from FMD budget, Advertising &amp; Media item, with balance of SAR 180,000.00.  </t>
  </si>
  <si>
    <t xml:space="preserve">Furniture &amp; Fixtures                 </t>
  </si>
  <si>
    <t>This request is to procure carpets for admin building, meeting room and Break room that will be deducted from FMD budget, Furniture &amp; Fixtures item, with balance of SAR 500,000.00.</t>
  </si>
  <si>
    <t xml:space="preserve">This request is to procure Materials Belt and Bearing that will be deducted from FMD budget, Maintenance Materials item, with remaining balance of SAR 1,640,800.00. </t>
  </si>
  <si>
    <t xml:space="preserve">This request is to procure COMPLETE PCB PSU 110_125VDC OUT 050015 that will be deducted from TTD budget, Other Training Expenses item, with remaining balance of SAR 1,939,100.00. </t>
  </si>
  <si>
    <t>Fin</t>
  </si>
  <si>
    <t xml:space="preserve">This request is to procure the external Auditing services for NPA Financial Statement for the year ended on Dec 31st, 2022 that will be deducted from Finance Depar. Budget, Professional Fees - Statutory Audit item, with balance of SAR 159,992.00. </t>
  </si>
  <si>
    <t>Professional Fees - Statutory Audit</t>
  </si>
  <si>
    <t>This request is to procure Companies Logo that will be deducted from TAU budget, Printing and Stationery item, with remaining balance of SAR 98,000.00.</t>
  </si>
  <si>
    <t>BD</t>
  </si>
  <si>
    <t>Short Course Training Fees</t>
  </si>
  <si>
    <t xml:space="preserve">This request is for Saudi Aramco Caterpillar Gas Engine Training Program that is considered to be back-to-back order. The course will be delivered by ZAHID Tractor, and the cost of the course is SAR 176,000.00, and the revenue is SAR 208,800.00. </t>
  </si>
  <si>
    <t>Back to Back Order</t>
  </si>
  <si>
    <t>Budget Amount</t>
  </si>
  <si>
    <t xml:space="preserve">Electricity                          </t>
  </si>
  <si>
    <t>ITP</t>
  </si>
  <si>
    <t>Invoices</t>
  </si>
  <si>
    <t>Materials</t>
  </si>
  <si>
    <t>Fixed Assets</t>
  </si>
  <si>
    <t>Total ITP</t>
  </si>
  <si>
    <t>Total NDE</t>
  </si>
  <si>
    <t>Total Fixed Assets</t>
  </si>
  <si>
    <t xml:space="preserve">Housing RPO </t>
  </si>
  <si>
    <t xml:space="preserve">Tecnincal Manpower RPO </t>
  </si>
  <si>
    <t xml:space="preserve">Fire fighting                        </t>
  </si>
  <si>
    <t xml:space="preserve">gas and fuel                         </t>
  </si>
  <si>
    <t xml:space="preserve">Trash &amp; Sludge Removal               </t>
  </si>
  <si>
    <t xml:space="preserve">Improvements to Buildings            </t>
  </si>
  <si>
    <t xml:space="preserve">ELECTRIC Appliances                  </t>
  </si>
  <si>
    <t>Tecnincal Short Form Service  ( SFC)</t>
  </si>
  <si>
    <t xml:space="preserve">Software Licensing Support           </t>
  </si>
  <si>
    <t>M &amp; R - Others Assets ( Petty Cash )</t>
  </si>
  <si>
    <t>Professional Fees - Consultancy service</t>
  </si>
  <si>
    <t xml:space="preserve"> Miscellanous Equipment  </t>
  </si>
  <si>
    <t xml:space="preserve">Miscellaneous Expenses/Invoices       </t>
  </si>
  <si>
    <t xml:space="preserve">IT Materials &amp; Spare Parts           </t>
  </si>
  <si>
    <t xml:space="preserve">Training Equipment                   </t>
  </si>
  <si>
    <t xml:space="preserve">Security                             </t>
  </si>
  <si>
    <t xml:space="preserve">Medical Clinic                       </t>
  </si>
  <si>
    <t>refreshments (tea and snacks), and Water</t>
  </si>
  <si>
    <t xml:space="preserve">PR-Give away                         </t>
  </si>
  <si>
    <t xml:space="preserve">Trophies &amp; VIP Giveaways              </t>
  </si>
  <si>
    <t xml:space="preserve">Events </t>
  </si>
  <si>
    <t xml:space="preserve">office computers                     </t>
  </si>
  <si>
    <t xml:space="preserve">Miscellaneous Equipment </t>
  </si>
  <si>
    <t>Memberships</t>
  </si>
  <si>
    <t xml:space="preserve">Professional Fees - Attorney          </t>
  </si>
  <si>
    <t xml:space="preserve"> short courses                         </t>
  </si>
  <si>
    <t xml:space="preserve"> M &amp; R - Others Assets </t>
  </si>
  <si>
    <t xml:space="preserve">short courses                        </t>
  </si>
  <si>
    <t xml:space="preserve">Other Training Expenses              </t>
  </si>
  <si>
    <t xml:space="preserve">                     </t>
  </si>
  <si>
    <t xml:space="preserve">Service Fees                         </t>
  </si>
  <si>
    <t xml:space="preserve">Events, Graduations                  </t>
  </si>
  <si>
    <t xml:space="preserve">Postage &amp; Courier/Wassel Services     </t>
  </si>
  <si>
    <t xml:space="preserve"> Accreditation                        </t>
  </si>
  <si>
    <t>M &amp; R - Others Assets (Petty Cash)</t>
  </si>
  <si>
    <t xml:space="preserve">DATA and Internet                    </t>
  </si>
  <si>
    <t xml:space="preserve">Telephone &amp; Fax                      </t>
  </si>
  <si>
    <t xml:space="preserve">Mobile Phone                         </t>
  </si>
  <si>
    <t>IT Materials &amp; Spare Parts       </t>
  </si>
  <si>
    <t>Government Expense</t>
  </si>
  <si>
    <t xml:space="preserve">Chamber of Commerce                  </t>
  </si>
  <si>
    <t xml:space="preserve">Vehicle Insurance                    </t>
  </si>
  <si>
    <t xml:space="preserve">Medical Insurance / Expenses         </t>
  </si>
  <si>
    <t xml:space="preserve">Total Labour                         </t>
  </si>
  <si>
    <t xml:space="preserve">Buildings Insurance                  </t>
  </si>
  <si>
    <t xml:space="preserve">Professional Fees - Statutory Audit  </t>
  </si>
  <si>
    <t xml:space="preserve">Ilets tests                          </t>
  </si>
  <si>
    <t xml:space="preserve"> </t>
  </si>
  <si>
    <t>Unbudgeted</t>
  </si>
  <si>
    <t>Total ITP YTD</t>
  </si>
  <si>
    <t>Total NDE YTD</t>
  </si>
  <si>
    <t>Total Fixed Assets YTD</t>
  </si>
  <si>
    <t>Improvements to Buildings</t>
  </si>
  <si>
    <r>
      <t xml:space="preserve">Tecnincal Short Form Service (SFC) </t>
    </r>
    <r>
      <rPr>
        <b/>
        <sz val="11"/>
        <color rgb="FFFF0000"/>
        <rFont val="Calibri"/>
        <family val="2"/>
        <scheme val="minor"/>
      </rPr>
      <t>(Canceled)</t>
    </r>
  </si>
  <si>
    <t>Advertising &amp; Media</t>
  </si>
  <si>
    <t>Rejected by FMD Director</t>
  </si>
  <si>
    <t>This request is for LWDD for KAQA Celebration Lunch that will be deducted from MD office budget, Catering &amp; Food item, with remaining balance of SAR 32,500.00.</t>
  </si>
  <si>
    <t>This request is for SA - ARLANXEO Team Visit that will be deducted from MD office budget, Catering &amp; Food item, with remaining balance of SAR 25,500.00.</t>
  </si>
  <si>
    <t>This request is to purchase HP printer that will be deducted from the IT budget, IT Materials &amp; Spare Parts item, with balance of SAR 155,000.00.</t>
  </si>
  <si>
    <t>Training &amp; Development</t>
  </si>
  <si>
    <t xml:space="preserve">This request is to renew the LinkdIn subscription that will be deducted from the HR budget, Training &amp; Development item, with balance of SAR 583,404.68 . </t>
  </si>
  <si>
    <t>New Hire</t>
  </si>
  <si>
    <t xml:space="preserve">This request is to renew the BaytCom subscription that will be deducted from the Labor budget, New Hire item, with balance of SAR 2,640,986.32. </t>
  </si>
  <si>
    <t xml:space="preserve">This request is to replace previous PR 208 as per the requester. This request is to procure Transformer Maintenance CM/PM services that will be deducted from FMD budget, Technical Short Form Service (SFC) item, with remaining balance of SAR 1,025,000.00. </t>
  </si>
  <si>
    <t xml:space="preserve">This request is to renew Dynamics 365 Support And Maintenance Agreement (SL) that will be deducted from IT budget, Software Licensing Support item, with balance of SAR 419,000.00. </t>
  </si>
  <si>
    <t>office computers</t>
  </si>
  <si>
    <t>This request is to purchase Media Tools that will be deducted from PR budget, office computers item, with balance of SAR 30,000.00.</t>
  </si>
  <si>
    <t>This request is to procure the catering services in the Ramadan Gathering that will be deducted from HR Budget, Food &amp; Catering item, with balance of SAR 60,000.00.</t>
  </si>
  <si>
    <t xml:space="preserve">This request is to procure the Rental of 50 Ton Mobile Crane Terex RT 555 that will be deducted from TTD budget, Other Training Expenses item, with remaining balance of SAR 1,904,786.00. </t>
  </si>
  <si>
    <t>This request is to procure the cables for the chillers that will be deducted from FMD budget, Improvements to Buildings item, with balance of SAR 460,000.00.  </t>
  </si>
  <si>
    <t>Trainee accommodation</t>
  </si>
  <si>
    <t>This request is to procure Blankets and towels for the accommodation that will be deducted from FMD budget, Trainee accommodation item, with balance of SAR 100,000.00.</t>
  </si>
  <si>
    <t>This request is for ZAKAT Declaration preparation and submission that will be deducted from the Finance Unit, Professional Fees - Consultancy service item, with balance of SAR 162,000.00.</t>
  </si>
  <si>
    <t>This request is to renew the FSI system contract that will be deducted from the FMD budget, Software Licensing Support item, with balance of SAR 75,000.00.</t>
  </si>
  <si>
    <t>QA</t>
  </si>
  <si>
    <t>This request is to applay for the Great Place to Work Service &amp; Certification that will be deducted from the QA budget,  Accreditation item, with balance of SAR 166,038.00.</t>
  </si>
  <si>
    <t>This request is trainees OPITO registerastion fees that will be deducted from the TTD budget, Other Training Expenses item, with remaining balance of SAR 1,874,786.00.</t>
  </si>
  <si>
    <t xml:space="preserve">2019 Project - </t>
  </si>
  <si>
    <t xml:space="preserve">This request is related to the approved project of Rehabilitations of the Academic Toilets in 2019 by the BOT. The remaining of the project's budget is SAR 298,526.87. </t>
  </si>
  <si>
    <t>This request is to procure the materials for pronce visit 2023 that will be deducted from the FMD budget, Maintenance Materials, with remaining balance of SAR 1,606,510.40.</t>
  </si>
  <si>
    <t>2023 Project - Student Information System (SIS)</t>
  </si>
  <si>
    <t>This request is for the SIS Enhancement that is related to the approved BOT project, Student Information System, with balance of SAR 840,000.00.</t>
  </si>
  <si>
    <t xml:space="preserve">This request is for a 1 year Cisco Support that will start from July 2023 to July 2024, and the request will be deducted from the IT budget, M &amp; R - Other Computers &amp; Peripherals item, with remaining balance of SAR 448,062.00. </t>
  </si>
  <si>
    <t xml:space="preserve">This request is for procuring Exhaust fans for the toilets that will be deducted from the FMD budget, Maintenance Materials item, with remaining balance of SAR 1,592,360.40. </t>
  </si>
  <si>
    <t>This request is for CCU Rental / Mobilization / Demobilization that will be deducted from the TTD budget, Other Training Expenses item, with remaining balance of SAR 1,873,746.00.</t>
  </si>
  <si>
    <t>This request is to Remove &amp; Fix well pump service that will be deducted from FMD budget, Maintenance Materials Item, with remaining balance of SAR 1,544,860.40.</t>
  </si>
  <si>
    <t>This request is for Additional inspector for Al-Hajri contract that will be deducted from the FMD budget, Technical Manpower RPO item, with remaining balance of SAR 156,408.00.</t>
  </si>
  <si>
    <t>This request is to procure V-KOOL A20 Heat Control Film for the classrooms that will be deducted from FMD budget, Maintenance Materials item, with remaining balance of SAR 1,518,676.40.</t>
  </si>
  <si>
    <t>This request is to procure launch catering for the visit of HRH Prince Saud Bin Talal Al Saud that will be deducted from the PR budget, Events item, with balance of SAR 200,000.00.</t>
  </si>
  <si>
    <t>This request is to procure Media Documentation of prince' visit that will be deducted from the PR budget, Advertising &amp; Media item, with remaining balance of SAR 105,000.00.   </t>
  </si>
  <si>
    <t>This request is for Civil Project replacing PVC pipe in the Pump Room that will be deducted from the FMD budget, Maintenance Materials item, with remaining balance of SAR 1,503,676.40.</t>
  </si>
  <si>
    <t>This request is SAR 20,000.00 for supplying sweet water as the well pump has been out of service for ten days in addition to SAR10,000.00 to have advance balance with the vendor to supply the water in case of any future emergency needs. the request will be deducted from the FMD budget, Water Supply &amp; Waster water removal item, with remaining balance of SAR 184,800.00.</t>
  </si>
  <si>
    <t xml:space="preserve">Total NDE </t>
  </si>
  <si>
    <t xml:space="preserve">Total </t>
  </si>
  <si>
    <t>Total Fixed Assests</t>
  </si>
  <si>
    <t xml:space="preserve">Total ITP YTD </t>
  </si>
  <si>
    <t xml:space="preserve">Total Fixed Assets YTD </t>
  </si>
  <si>
    <t xml:space="preserve">Total NDE YTP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</si>
</sst>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11"/>
      <color rgb="FFC00000"/>
      <name val="Calibri"/>
      <family val="2"/>
      <scheme val="minor"/>
    </font>
    <font>
      <sz val="12"/>
      <color rgb="FF0000FF"/>
      <name val="Fira Sans"/>
      <family val="2"/>
    </font>
    <font>
      <sz val="11"/>
      <color theme="1"/>
      <name val="Calibri"/>
      <family val="2"/>
    </font>
    <font>
      <sz val="11"/>
      <color rgb="FF000000"/>
      <name val="Calibri"/>
      <family val="2"/>
    </font>
    <font>
      <sz val="11"/>
      <color rgb="FFFF0000"/>
      <name val="Calibri"/>
      <family val="2"/>
    </font>
    <font>
      <sz val="9"/>
      <name val="Arial"/>
      <family val="2"/>
    </font>
    <font>
      <sz val="11"/>
      <color rgb="FF000000"/>
      <name val="Calibri"/>
      <family val="2"/>
      <scheme val="minor"/>
    </font>
    <font>
      <sz val="11"/>
      <color rgb="FFFF0000"/>
      <name val="Calibri"/>
      <family val="2"/>
      <scheme val="minor"/>
    </font>
    <font>
      <b/>
      <sz val="11"/>
      <color rgb="FFFF0000"/>
      <name val="Calibri"/>
      <family val="2"/>
      <scheme val="minor"/>
    </font>
    <font>
      <b/>
      <sz val="11"/>
      <color rgb="FF3F3F3F"/>
      <name val="Calibri"/>
      <family val="2"/>
      <scheme val="minor"/>
    </font>
    <font>
      <sz val="11"/>
      <color rgb="FF3F3F3F"/>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FFFF"/>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CE4D6"/>
        <bgColor rgb="FF000000"/>
      </patternFill>
    </fill>
    <fill>
      <patternFill patternType="solid">
        <fgColor theme="0" tint="-0.14999847407452621"/>
        <bgColor rgb="FF000000"/>
      </patternFill>
    </fill>
    <fill>
      <patternFill patternType="solid">
        <fgColor theme="8" tint="0.59999389629810485"/>
        <bgColor rgb="FF000000"/>
      </patternFill>
    </fill>
    <fill>
      <patternFill patternType="solid">
        <fgColor theme="0" tint="-4.9989318521683403E-2"/>
        <bgColor rgb="FF000000"/>
      </patternFill>
    </fill>
    <fill>
      <patternFill patternType="solid">
        <fgColor theme="4" tint="0.59999389629810485"/>
        <bgColor rgb="FF000000"/>
      </patternFill>
    </fill>
    <fill>
      <patternFill patternType="solid">
        <fgColor theme="9" tint="0.59999389629810485"/>
        <bgColor rgb="FF000000"/>
      </patternFill>
    </fill>
    <fill>
      <patternFill patternType="solid">
        <fgColor theme="2" tint="-9.9978637043366805E-2"/>
        <bgColor indexed="64"/>
      </patternFill>
    </fill>
    <fill>
      <patternFill patternType="solid">
        <fgColor rgb="FFF2F2F2"/>
      </patternFill>
    </fill>
  </fills>
  <borders count="9">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3" fillId="22" borderId="8" applyNumberFormat="0" applyAlignment="0" applyProtection="0"/>
  </cellStyleXfs>
  <cellXfs count="89">
    <xf numFmtId="0" fontId="0" fillId="0" borderId="0" xfId="0"/>
    <xf numFmtId="43" fontId="0" fillId="0" borderId="0" xfId="1" applyFont="1"/>
    <xf numFmtId="0" fontId="0" fillId="0" borderId="0" xfId="0" applyAlignment="1">
      <alignment wrapText="1"/>
    </xf>
    <xf numFmtId="43" fontId="0" fillId="2" borderId="0" xfId="1" applyFont="1" applyFill="1"/>
    <xf numFmtId="0" fontId="0" fillId="3" borderId="0" xfId="0" applyFill="1"/>
    <xf numFmtId="43" fontId="0" fillId="3" borderId="0" xfId="1" applyFont="1" applyFill="1"/>
    <xf numFmtId="16" fontId="0" fillId="3" borderId="0" xfId="0" applyNumberFormat="1" applyFill="1"/>
    <xf numFmtId="43" fontId="0" fillId="4" borderId="0" xfId="1" applyFont="1" applyFill="1"/>
    <xf numFmtId="43" fontId="0" fillId="4" borderId="0" xfId="0" applyNumberFormat="1" applyFill="1"/>
    <xf numFmtId="16" fontId="0" fillId="0" borderId="0" xfId="0" applyNumberFormat="1"/>
    <xf numFmtId="0" fontId="5" fillId="0" borderId="0" xfId="0" applyFont="1"/>
    <xf numFmtId="0" fontId="7" fillId="0" borderId="1" xfId="0" applyFont="1" applyBorder="1" applyAlignment="1">
      <alignment vertical="center"/>
    </xf>
    <xf numFmtId="0" fontId="7" fillId="0" borderId="2" xfId="0" applyFont="1" applyBorder="1" applyAlignment="1">
      <alignment vertical="center"/>
    </xf>
    <xf numFmtId="4" fontId="0" fillId="0" borderId="0" xfId="0" applyNumberFormat="1"/>
    <xf numFmtId="4" fontId="7" fillId="0" borderId="2" xfId="0" applyNumberFormat="1" applyFont="1" applyBorder="1" applyAlignment="1">
      <alignment vertical="center"/>
    </xf>
    <xf numFmtId="0" fontId="8" fillId="5" borderId="1" xfId="0" applyFont="1" applyFill="1" applyBorder="1" applyAlignment="1">
      <alignment vertical="center"/>
    </xf>
    <xf numFmtId="0" fontId="8" fillId="5" borderId="2" xfId="0" applyFont="1" applyFill="1" applyBorder="1" applyAlignment="1">
      <alignment vertical="center"/>
    </xf>
    <xf numFmtId="4" fontId="8" fillId="5" borderId="2" xfId="0" applyNumberFormat="1" applyFont="1" applyFill="1" applyBorder="1" applyAlignment="1">
      <alignment vertical="center"/>
    </xf>
    <xf numFmtId="0" fontId="6" fillId="0" borderId="2" xfId="0" applyFont="1" applyBorder="1" applyAlignment="1">
      <alignment vertical="center"/>
    </xf>
    <xf numFmtId="43" fontId="0" fillId="0" borderId="0" xfId="0" applyNumberFormat="1"/>
    <xf numFmtId="43" fontId="0" fillId="0" borderId="3" xfId="1" applyFont="1" applyBorder="1"/>
    <xf numFmtId="0" fontId="0" fillId="0" borderId="3" xfId="0" applyBorder="1"/>
    <xf numFmtId="43" fontId="0" fillId="6" borderId="0" xfId="1" applyFont="1" applyFill="1"/>
    <xf numFmtId="43" fontId="0" fillId="7" borderId="0" xfId="1" applyFont="1" applyFill="1"/>
    <xf numFmtId="0" fontId="0" fillId="4"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7" xfId="0" applyBorder="1"/>
    <xf numFmtId="43" fontId="0" fillId="0" borderId="7" xfId="1" applyFont="1" applyBorder="1"/>
    <xf numFmtId="0" fontId="9" fillId="12" borderId="7" xfId="0" applyFont="1" applyFill="1" applyBorder="1" applyAlignment="1">
      <alignment horizontal="left" wrapText="1"/>
    </xf>
    <xf numFmtId="43" fontId="0" fillId="10" borderId="0" xfId="0" applyNumberFormat="1" applyFill="1"/>
    <xf numFmtId="43" fontId="0" fillId="8" borderId="0" xfId="0" applyNumberFormat="1" applyFill="1"/>
    <xf numFmtId="4" fontId="0" fillId="4" borderId="0" xfId="0" applyNumberFormat="1" applyFill="1"/>
    <xf numFmtId="4" fontId="0" fillId="9" borderId="0" xfId="0" applyNumberFormat="1" applyFill="1"/>
    <xf numFmtId="4" fontId="0" fillId="8" borderId="0" xfId="0" applyNumberFormat="1" applyFill="1"/>
    <xf numFmtId="4" fontId="0" fillId="0" borderId="7" xfId="0" applyNumberFormat="1" applyBorder="1"/>
    <xf numFmtId="0" fontId="0" fillId="13" borderId="7" xfId="0" applyFill="1" applyBorder="1"/>
    <xf numFmtId="0" fontId="0" fillId="6" borderId="7" xfId="0" applyFill="1" applyBorder="1"/>
    <xf numFmtId="0" fontId="0" fillId="4" borderId="7" xfId="0" applyFill="1" applyBorder="1"/>
    <xf numFmtId="43" fontId="0" fillId="4" borderId="7" xfId="0" applyNumberFormat="1" applyFill="1" applyBorder="1"/>
    <xf numFmtId="43" fontId="0" fillId="13" borderId="7" xfId="1" applyFont="1" applyFill="1" applyBorder="1"/>
    <xf numFmtId="0" fontId="0" fillId="14" borderId="7" xfId="0" applyFill="1" applyBorder="1"/>
    <xf numFmtId="43" fontId="0" fillId="14" borderId="7" xfId="1" applyFont="1" applyFill="1" applyBorder="1"/>
    <xf numFmtId="0" fontId="0" fillId="9" borderId="7" xfId="0" applyFill="1" applyBorder="1"/>
    <xf numFmtId="0" fontId="0" fillId="11" borderId="7" xfId="0" applyFill="1" applyBorder="1"/>
    <xf numFmtId="0" fontId="0" fillId="10" borderId="7" xfId="0" applyFill="1" applyBorder="1"/>
    <xf numFmtId="0" fontId="10" fillId="0" borderId="7" xfId="0" applyFont="1" applyBorder="1"/>
    <xf numFmtId="0" fontId="10" fillId="0" borderId="0" xfId="0" applyFont="1"/>
    <xf numFmtId="0" fontId="10" fillId="6" borderId="7" xfId="0" applyFont="1" applyFill="1" applyBorder="1"/>
    <xf numFmtId="0" fontId="10" fillId="15" borderId="7" xfId="0" applyFont="1" applyFill="1" applyBorder="1"/>
    <xf numFmtId="0" fontId="10" fillId="16" borderId="7" xfId="0" applyFont="1" applyFill="1" applyBorder="1"/>
    <xf numFmtId="43" fontId="10" fillId="16" borderId="7" xfId="0" applyNumberFormat="1" applyFont="1" applyFill="1" applyBorder="1"/>
    <xf numFmtId="43" fontId="10" fillId="0" borderId="7" xfId="1" applyFont="1" applyBorder="1"/>
    <xf numFmtId="0" fontId="10" fillId="17" borderId="7" xfId="0" applyFont="1" applyFill="1" applyBorder="1"/>
    <xf numFmtId="0" fontId="10" fillId="9" borderId="7" xfId="0" applyFont="1" applyFill="1" applyBorder="1"/>
    <xf numFmtId="0" fontId="10" fillId="13" borderId="7" xfId="0" applyFont="1" applyFill="1" applyBorder="1"/>
    <xf numFmtId="43" fontId="10" fillId="18" borderId="7" xfId="1" applyFont="1" applyFill="1" applyBorder="1"/>
    <xf numFmtId="0" fontId="10" fillId="19" borderId="7" xfId="0" applyFont="1" applyFill="1" applyBorder="1"/>
    <xf numFmtId="0" fontId="10" fillId="11" borderId="7" xfId="0" applyFont="1" applyFill="1" applyBorder="1"/>
    <xf numFmtId="0" fontId="10" fillId="18" borderId="7" xfId="0" applyFont="1" applyFill="1" applyBorder="1"/>
    <xf numFmtId="0" fontId="10" fillId="20" borderId="7" xfId="0" applyFont="1" applyFill="1" applyBorder="1"/>
    <xf numFmtId="43" fontId="10" fillId="9" borderId="7" xfId="0" applyNumberFormat="1" applyFont="1" applyFill="1" applyBorder="1"/>
    <xf numFmtId="43" fontId="10" fillId="13" borderId="7" xfId="1" applyFont="1" applyFill="1" applyBorder="1"/>
    <xf numFmtId="43" fontId="0" fillId="10" borderId="7" xfId="0" applyNumberFormat="1" applyFill="1" applyBorder="1"/>
    <xf numFmtId="4" fontId="10" fillId="11" borderId="7" xfId="0" applyNumberFormat="1" applyFont="1" applyFill="1" applyBorder="1"/>
    <xf numFmtId="4" fontId="10" fillId="13" borderId="7" xfId="0" applyNumberFormat="1" applyFont="1" applyFill="1" applyBorder="1"/>
    <xf numFmtId="43" fontId="10" fillId="15" borderId="7" xfId="0" applyNumberFormat="1" applyFont="1" applyFill="1" applyBorder="1"/>
    <xf numFmtId="2" fontId="10" fillId="18" borderId="7" xfId="1" applyNumberFormat="1" applyFont="1" applyFill="1" applyBorder="1"/>
    <xf numFmtId="0" fontId="0" fillId="0" borderId="7" xfId="1" applyNumberFormat="1" applyFont="1" applyBorder="1"/>
    <xf numFmtId="0" fontId="10" fillId="18" borderId="7" xfId="1" applyNumberFormat="1" applyFont="1" applyFill="1" applyBorder="1"/>
    <xf numFmtId="43" fontId="0" fillId="21" borderId="0" xfId="1" applyFont="1" applyFill="1"/>
    <xf numFmtId="43" fontId="0" fillId="9" borderId="0" xfId="1" applyFont="1" applyFill="1"/>
    <xf numFmtId="0" fontId="11" fillId="0" borderId="0" xfId="0" applyFont="1"/>
    <xf numFmtId="43" fontId="11" fillId="0" borderId="0" xfId="1" applyFont="1"/>
    <xf numFmtId="43" fontId="0" fillId="11" borderId="0" xfId="1" applyFont="1" applyFill="1"/>
    <xf numFmtId="0" fontId="10" fillId="0" borderId="0" xfId="0" applyFont="1" applyAlignment="1">
      <alignment horizontal="center"/>
    </xf>
    <xf numFmtId="43" fontId="10" fillId="0" borderId="0" xfId="0" applyNumberFormat="1" applyFont="1" applyAlignment="1">
      <alignment horizontal="center"/>
    </xf>
    <xf numFmtId="43"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43" fontId="0" fillId="0" borderId="0" xfId="1" applyFont="1" applyAlignment="1">
      <alignment horizontal="center"/>
    </xf>
    <xf numFmtId="43" fontId="10" fillId="11" borderId="7" xfId="0" applyNumberFormat="1" applyFont="1" applyFill="1"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43" fontId="14" fillId="22" borderId="8" xfId="4" applyNumberFormat="1" applyFont="1" applyAlignment="1"/>
    <xf numFmtId="43" fontId="1" fillId="0" borderId="0" xfId="1" applyFont="1"/>
  </cellXfs>
  <cellStyles count="5">
    <cellStyle name="Comma" xfId="1" builtinId="3"/>
    <cellStyle name="Comma 2 2" xfId="3" xr:uid="{D733F1D0-FB95-42C1-B188-86909FF28155}"/>
    <cellStyle name="Normal" xfId="0" builtinId="0"/>
    <cellStyle name="Normal 2 2" xfId="2" xr:uid="{0FF9CD03-FF0C-4090-9690-913CD3CD73BD}"/>
    <cellStyle name="Output" xfId="4" builtinId="2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9E06B-6B80-427F-9C04-F522EF14FA22}">
  <dimension ref="A2:F41"/>
  <sheetViews>
    <sheetView topLeftCell="A25" workbookViewId="0">
      <selection activeCell="D43" sqref="D43"/>
    </sheetView>
  </sheetViews>
  <sheetFormatPr defaultRowHeight="15" x14ac:dyDescent="0.25"/>
  <cols>
    <col min="2" max="2" width="11.7109375" bestFit="1" customWidth="1"/>
    <col min="5" max="5" width="16.5703125" customWidth="1"/>
    <col min="6" max="6" width="15" bestFit="1" customWidth="1"/>
  </cols>
  <sheetData>
    <row r="2" spans="1:6" x14ac:dyDescent="0.25">
      <c r="A2" t="s">
        <v>116</v>
      </c>
      <c r="E2" t="s">
        <v>9</v>
      </c>
      <c r="F2" t="s">
        <v>110</v>
      </c>
    </row>
    <row r="3" spans="1:6" x14ac:dyDescent="0.25">
      <c r="A3" t="s">
        <v>117</v>
      </c>
      <c r="B3" s="13">
        <v>1310600</v>
      </c>
      <c r="E3" s="24" t="s">
        <v>112</v>
      </c>
      <c r="F3" s="24"/>
    </row>
    <row r="4" spans="1:6" x14ac:dyDescent="0.25">
      <c r="A4" t="s">
        <v>118</v>
      </c>
    </row>
    <row r="5" spans="1:6" x14ac:dyDescent="0.25">
      <c r="E5" s="25" t="s">
        <v>113</v>
      </c>
      <c r="F5" s="25"/>
    </row>
    <row r="6" spans="1:6" x14ac:dyDescent="0.25">
      <c r="A6" t="s">
        <v>74</v>
      </c>
      <c r="E6" t="s">
        <v>43</v>
      </c>
      <c r="F6" s="13">
        <v>180000</v>
      </c>
    </row>
    <row r="7" spans="1:6" x14ac:dyDescent="0.25">
      <c r="E7" t="s">
        <v>127</v>
      </c>
      <c r="F7" s="13">
        <v>5000</v>
      </c>
    </row>
    <row r="8" spans="1:6" ht="11.25" customHeight="1" x14ac:dyDescent="0.25">
      <c r="E8" t="s">
        <v>136</v>
      </c>
      <c r="F8" s="13">
        <v>27600</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spans="5:6" hidden="1" x14ac:dyDescent="0.25"/>
    <row r="18" spans="5:6" hidden="1" x14ac:dyDescent="0.25"/>
    <row r="19" spans="5:6" hidden="1" x14ac:dyDescent="0.25"/>
    <row r="20" spans="5:6" hidden="1" x14ac:dyDescent="0.25"/>
    <row r="21" spans="5:6" hidden="1" x14ac:dyDescent="0.25"/>
    <row r="22" spans="5:6" hidden="1" x14ac:dyDescent="0.25"/>
    <row r="23" spans="5:6" hidden="1" x14ac:dyDescent="0.25"/>
    <row r="24" spans="5:6" hidden="1" x14ac:dyDescent="0.25"/>
    <row r="25" spans="5:6" x14ac:dyDescent="0.25">
      <c r="E25" t="s">
        <v>67</v>
      </c>
      <c r="F25" s="13">
        <v>48000</v>
      </c>
    </row>
    <row r="26" spans="5:6" x14ac:dyDescent="0.25">
      <c r="E26" t="s">
        <v>137</v>
      </c>
      <c r="F26" s="13">
        <v>100000</v>
      </c>
    </row>
    <row r="27" spans="5:6" x14ac:dyDescent="0.25">
      <c r="E27" t="s">
        <v>138</v>
      </c>
      <c r="F27" s="13">
        <v>50000</v>
      </c>
    </row>
    <row r="28" spans="5:6" x14ac:dyDescent="0.25">
      <c r="E28" t="s">
        <v>25</v>
      </c>
      <c r="F28" s="13">
        <v>700000</v>
      </c>
    </row>
    <row r="29" spans="5:6" x14ac:dyDescent="0.25">
      <c r="E29" t="s">
        <v>139</v>
      </c>
      <c r="F29" s="13">
        <v>200000</v>
      </c>
    </row>
    <row r="30" spans="5:6" x14ac:dyDescent="0.25">
      <c r="F30" s="13"/>
    </row>
    <row r="31" spans="5:6" x14ac:dyDescent="0.25">
      <c r="F31" s="13"/>
    </row>
    <row r="32" spans="5:6" x14ac:dyDescent="0.25">
      <c r="E32" s="26" t="s">
        <v>114</v>
      </c>
      <c r="F32" s="26"/>
    </row>
    <row r="33" spans="5:6" x14ac:dyDescent="0.25">
      <c r="F33" s="13"/>
    </row>
    <row r="34" spans="5:6" x14ac:dyDescent="0.25">
      <c r="F34" s="13"/>
    </row>
    <row r="35" spans="5:6" x14ac:dyDescent="0.25">
      <c r="F35" s="13"/>
    </row>
    <row r="37" spans="5:6" x14ac:dyDescent="0.25">
      <c r="E37" s="28" t="s">
        <v>20</v>
      </c>
      <c r="F37" s="28"/>
    </row>
    <row r="39" spans="5:6" x14ac:dyDescent="0.25">
      <c r="E39" s="27" t="s">
        <v>115</v>
      </c>
      <c r="F39" s="27"/>
    </row>
    <row r="40" spans="5:6" x14ac:dyDescent="0.25">
      <c r="E40" t="s">
        <v>140</v>
      </c>
      <c r="F40" s="1">
        <v>30000</v>
      </c>
    </row>
    <row r="41" spans="5:6" x14ac:dyDescent="0.25">
      <c r="E41" t="s">
        <v>141</v>
      </c>
      <c r="F41" s="13">
        <v>5000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58952-75B7-4153-AC92-AA392B24A4A4}">
  <dimension ref="A2:G23"/>
  <sheetViews>
    <sheetView workbookViewId="0">
      <selection activeCell="E20" sqref="E20"/>
    </sheetView>
  </sheetViews>
  <sheetFormatPr defaultRowHeight="15" x14ac:dyDescent="0.25"/>
  <cols>
    <col min="1" max="1" width="21.28515625" customWidth="1"/>
    <col min="2" max="2" width="13.28515625" bestFit="1" customWidth="1"/>
    <col min="5" max="5" width="38.7109375" bestFit="1" customWidth="1"/>
    <col min="6" max="6" width="15" bestFit="1" customWidth="1"/>
    <col min="7" max="7" width="10.5703125" bestFit="1" customWidth="1"/>
    <col min="8" max="8" width="11.5703125" customWidth="1"/>
  </cols>
  <sheetData>
    <row r="2" spans="1:7" x14ac:dyDescent="0.25">
      <c r="A2" s="80" t="s">
        <v>116</v>
      </c>
      <c r="B2" s="80">
        <f>F3</f>
        <v>0</v>
      </c>
      <c r="E2" t="s">
        <v>9</v>
      </c>
      <c r="F2" t="s">
        <v>110</v>
      </c>
    </row>
    <row r="3" spans="1:7" x14ac:dyDescent="0.25">
      <c r="A3" s="80" t="s">
        <v>168</v>
      </c>
      <c r="B3" s="80">
        <f>G3</f>
        <v>0</v>
      </c>
      <c r="E3" s="24" t="s">
        <v>112</v>
      </c>
      <c r="F3" s="24">
        <v>0</v>
      </c>
      <c r="G3" s="24">
        <v>0</v>
      </c>
    </row>
    <row r="4" spans="1:7" x14ac:dyDescent="0.25">
      <c r="A4" s="80" t="s">
        <v>117</v>
      </c>
      <c r="B4" s="81">
        <f>F5+F15+F17</f>
        <v>1310600</v>
      </c>
      <c r="G4" s="1">
        <f>SUMIFS(Sheet1!$C$3:$C$1000,Sheet1!$A$3:$A$1000,"PR",Sheet1!$D$3:$D$1000,E4)</f>
        <v>0</v>
      </c>
    </row>
    <row r="5" spans="1:7" x14ac:dyDescent="0.25">
      <c r="A5" s="80" t="s">
        <v>169</v>
      </c>
      <c r="B5" s="81">
        <f>G5+G15+G17</f>
        <v>133750</v>
      </c>
      <c r="E5" s="25" t="s">
        <v>113</v>
      </c>
      <c r="F5" s="36">
        <f>SUM(F6:F13)</f>
        <v>1310600</v>
      </c>
      <c r="G5" s="36">
        <f>SUM(G6:G13)</f>
        <v>133750</v>
      </c>
    </row>
    <row r="6" spans="1:7" x14ac:dyDescent="0.25">
      <c r="A6" s="80" t="s">
        <v>213</v>
      </c>
      <c r="B6" s="79">
        <f>F19</f>
        <v>35000</v>
      </c>
      <c r="E6" t="s">
        <v>43</v>
      </c>
      <c r="F6" s="37">
        <v>180000</v>
      </c>
      <c r="G6" s="1">
        <f>SUMIFS(Sheet1!$C$3:$C$1000,Sheet1!$A$3:$A$1000,"PR",Sheet1!$D$3:$D$1000,E6)</f>
        <v>75000</v>
      </c>
    </row>
    <row r="7" spans="1:7" ht="17.25" customHeight="1" x14ac:dyDescent="0.25">
      <c r="A7" s="80" t="s">
        <v>215</v>
      </c>
      <c r="B7" s="79">
        <f>G19</f>
        <v>0</v>
      </c>
      <c r="E7" s="29" t="s">
        <v>127</v>
      </c>
      <c r="F7" s="37">
        <v>5000</v>
      </c>
      <c r="G7" s="1">
        <f>SUMIFS(Sheet1!$C$3:$C$1000,Sheet1!$A$3:$A$1000,"PR",Sheet1!$D$3:$D$1000,E7)</f>
        <v>0</v>
      </c>
    </row>
    <row r="8" spans="1:7" ht="14.25" customHeight="1" x14ac:dyDescent="0.25">
      <c r="A8" s="80" t="s">
        <v>212</v>
      </c>
      <c r="B8" s="79">
        <f>B2+B4+B6</f>
        <v>1345600</v>
      </c>
      <c r="E8" s="29" t="s">
        <v>136</v>
      </c>
      <c r="F8" s="37">
        <v>27600</v>
      </c>
      <c r="G8" s="1">
        <f>SUMIFS(Sheet1!$C$3:$C$1000,Sheet1!$A$3:$A$1000,"PR",Sheet1!$D$3:$D$1000,E8)</f>
        <v>0</v>
      </c>
    </row>
    <row r="9" spans="1:7" x14ac:dyDescent="0.25">
      <c r="E9" s="29" t="s">
        <v>67</v>
      </c>
      <c r="F9" s="37">
        <v>48000</v>
      </c>
      <c r="G9" s="1">
        <f>SUMIFS(Sheet1!$C$3:$C$1000,Sheet1!$A$3:$A$1000,"PR",Sheet1!$D$3:$D$1000,E9)</f>
        <v>0</v>
      </c>
    </row>
    <row r="10" spans="1:7" x14ac:dyDescent="0.25">
      <c r="E10" s="29" t="s">
        <v>137</v>
      </c>
      <c r="F10" s="37">
        <v>100000</v>
      </c>
      <c r="G10" s="1">
        <f>SUMIFS(Sheet1!$C$3:$C$1000,Sheet1!$A$3:$A$1000,"PR",Sheet1!$D$3:$D$1000,E10)</f>
        <v>0</v>
      </c>
    </row>
    <row r="11" spans="1:7" x14ac:dyDescent="0.25">
      <c r="E11" s="29" t="s">
        <v>138</v>
      </c>
      <c r="F11" s="37">
        <v>50000</v>
      </c>
      <c r="G11" s="1">
        <f>SUMIFS(Sheet1!$C$3:$C$1000,Sheet1!$A$3:$A$1000,"PR",Sheet1!$D$3:$D$1000,E11)</f>
        <v>0</v>
      </c>
    </row>
    <row r="12" spans="1:7" x14ac:dyDescent="0.25">
      <c r="E12" t="s">
        <v>25</v>
      </c>
      <c r="F12" s="37">
        <v>700000</v>
      </c>
      <c r="G12" s="1">
        <f>SUMIFS(Sheet1!$C$3:$C$1000,Sheet1!$A$3:$A$1000,"PR",Sheet1!$D$3:$D$1000,E12)</f>
        <v>18750</v>
      </c>
    </row>
    <row r="13" spans="1:7" x14ac:dyDescent="0.25">
      <c r="E13" t="s">
        <v>139</v>
      </c>
      <c r="F13" s="37">
        <v>200000</v>
      </c>
      <c r="G13" s="1">
        <f>SUMIFS(Sheet1!$C$3:$C$1000,Sheet1!$A$3:$A$1000,"PR",Sheet1!$D$3:$D$1000,E13)</f>
        <v>40000</v>
      </c>
    </row>
    <row r="14" spans="1:7" x14ac:dyDescent="0.25">
      <c r="F14" s="13"/>
      <c r="G14" s="1">
        <f>SUMIFS(Sheet1!$C$3:$C$1000,Sheet1!$A$3:$A$1000,"PR",Sheet1!$D$3:$D$1000,E14)</f>
        <v>0</v>
      </c>
    </row>
    <row r="15" spans="1:7" x14ac:dyDescent="0.25">
      <c r="E15" s="26" t="s">
        <v>114</v>
      </c>
      <c r="F15" s="26"/>
      <c r="G15" s="26"/>
    </row>
    <row r="16" spans="1:7" x14ac:dyDescent="0.25">
      <c r="G16" s="1">
        <f>SUMIFS(Sheet1!$C$3:$C$1000,Sheet1!$A$3:$A$1000,"PR",Sheet1!$D$3:$D$1000,E16)</f>
        <v>0</v>
      </c>
    </row>
    <row r="17" spans="5:7" x14ac:dyDescent="0.25">
      <c r="E17" s="28" t="s">
        <v>20</v>
      </c>
      <c r="F17" s="28"/>
      <c r="G17" s="28"/>
    </row>
    <row r="18" spans="5:7" x14ac:dyDescent="0.25">
      <c r="G18" s="1">
        <f>SUMIFS(Sheet1!$C$3:$C$1000,Sheet1!$A$3:$A$1000,"PR",Sheet1!$D$3:$D$1000,E18)</f>
        <v>0</v>
      </c>
    </row>
    <row r="19" spans="5:7" x14ac:dyDescent="0.25">
      <c r="E19" s="27" t="s">
        <v>115</v>
      </c>
      <c r="F19" s="32">
        <f>SUM(F20:F21)</f>
        <v>35000</v>
      </c>
      <c r="G19" s="32">
        <f>SUM(G20:G21)</f>
        <v>0</v>
      </c>
    </row>
    <row r="20" spans="5:7" x14ac:dyDescent="0.25">
      <c r="E20" t="s">
        <v>140</v>
      </c>
      <c r="F20" s="1">
        <v>30000</v>
      </c>
      <c r="G20" s="1">
        <f>SUMIFS(Sheet1!$C$3:$C$1000,Sheet1!$A$3:$A$1000,"PR",Sheet1!$D$3:$D$1000,E20)</f>
        <v>0</v>
      </c>
    </row>
    <row r="21" spans="5:7" x14ac:dyDescent="0.25">
      <c r="E21" t="s">
        <v>141</v>
      </c>
      <c r="F21" s="13">
        <v>5000</v>
      </c>
      <c r="G21" s="1">
        <f>SUMIFS(Sheet1!$C$3:$C$1000,Sheet1!$A$3:$A$1000,"PR",Sheet1!$D$3:$D$1000,E21)</f>
        <v>0</v>
      </c>
    </row>
    <row r="23" spans="5:7" x14ac:dyDescent="0.25">
      <c r="E23" t="s">
        <v>167</v>
      </c>
      <c r="G23" s="1">
        <f>SUMIFS(Sheet1!$C$3:$C$1000,Sheet1!$A$3:$A$1000,"PR",Sheet1!$D$3:$D$1000,E23)</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1228-055E-4954-8D37-E1177AC9EE76}">
  <dimension ref="A2:G29"/>
  <sheetViews>
    <sheetView tabSelected="1" workbookViewId="0">
      <selection activeCell="G12" sqref="G12"/>
    </sheetView>
  </sheetViews>
  <sheetFormatPr defaultRowHeight="15" x14ac:dyDescent="0.25"/>
  <cols>
    <col min="1" max="1" width="20.5703125" customWidth="1"/>
    <col min="2" max="2" width="11.7109375" bestFit="1" customWidth="1"/>
    <col min="5" max="5" width="31" bestFit="1" customWidth="1"/>
    <col min="6" max="6" width="15" bestFit="1" customWidth="1"/>
    <col min="7" max="7" width="11.7109375" customWidth="1"/>
  </cols>
  <sheetData>
    <row r="2" spans="1:7" x14ac:dyDescent="0.25">
      <c r="A2" s="80" t="s">
        <v>116</v>
      </c>
      <c r="B2" s="80">
        <f>F3</f>
        <v>0</v>
      </c>
      <c r="E2" t="s">
        <v>9</v>
      </c>
      <c r="F2" t="s">
        <v>110</v>
      </c>
    </row>
    <row r="3" spans="1:7" x14ac:dyDescent="0.25">
      <c r="A3" s="80" t="s">
        <v>214</v>
      </c>
      <c r="B3" s="80">
        <f>G3</f>
        <v>0</v>
      </c>
      <c r="E3" s="24" t="s">
        <v>112</v>
      </c>
      <c r="F3" s="24">
        <f>0</f>
        <v>0</v>
      </c>
      <c r="G3" s="24">
        <f>0</f>
        <v>0</v>
      </c>
    </row>
    <row r="4" spans="1:7" x14ac:dyDescent="0.25">
      <c r="A4" s="80" t="s">
        <v>211</v>
      </c>
      <c r="B4" s="81">
        <f>F5+F9+F11</f>
        <v>188000</v>
      </c>
    </row>
    <row r="5" spans="1:7" x14ac:dyDescent="0.25">
      <c r="A5" s="80" t="s">
        <v>169</v>
      </c>
      <c r="B5" s="81">
        <f>G5+G9+G11</f>
        <v>0</v>
      </c>
      <c r="E5" s="25" t="s">
        <v>113</v>
      </c>
      <c r="F5" s="36">
        <f>SUM(F6:F7)</f>
        <v>188000</v>
      </c>
      <c r="G5" s="36">
        <f>SUM(G6:G8)</f>
        <v>0</v>
      </c>
    </row>
    <row r="6" spans="1:7" x14ac:dyDescent="0.25">
      <c r="A6" s="80" t="s">
        <v>118</v>
      </c>
      <c r="B6" s="80">
        <f>F13</f>
        <v>0</v>
      </c>
      <c r="E6" s="29" t="s">
        <v>142</v>
      </c>
      <c r="F6" s="37">
        <v>23000</v>
      </c>
      <c r="G6" s="37">
        <f>SUMIFS(Sheet1!$C$3:$C$1000,Sheet1!$A$3:$A$1000,"Legal",Sheet1!$D$3:$D$1000,E6)</f>
        <v>0</v>
      </c>
    </row>
    <row r="7" spans="1:7" x14ac:dyDescent="0.25">
      <c r="A7" s="80" t="s">
        <v>170</v>
      </c>
      <c r="B7" s="80">
        <f>G13</f>
        <v>0</v>
      </c>
      <c r="E7" s="29" t="s">
        <v>143</v>
      </c>
      <c r="F7" s="37">
        <v>165000</v>
      </c>
      <c r="G7" s="37">
        <f>SUMIFS(Sheet1!$C$3:$C$1000,Sheet1!$A$3:$A$1000,"Legal",Sheet1!$D$3:$D$1000,E7)</f>
        <v>0</v>
      </c>
    </row>
    <row r="8" spans="1:7" x14ac:dyDescent="0.25">
      <c r="A8" s="80" t="s">
        <v>212</v>
      </c>
      <c r="B8" s="81">
        <f>B2+B4+B6</f>
        <v>188000</v>
      </c>
      <c r="E8" s="29"/>
      <c r="F8" s="29"/>
      <c r="G8" s="37"/>
    </row>
    <row r="9" spans="1:7" x14ac:dyDescent="0.25">
      <c r="E9" s="26" t="s">
        <v>114</v>
      </c>
      <c r="F9" s="26">
        <v>0</v>
      </c>
      <c r="G9" s="26">
        <v>0</v>
      </c>
    </row>
    <row r="10" spans="1:7" x14ac:dyDescent="0.25">
      <c r="G10" s="37">
        <f>SUMIFS(Sheet1!$C$3:$C$1000,Sheet1!$A$3:$A$1000,"Legal",Sheet1!$D$3:$D$1000,E10)</f>
        <v>0</v>
      </c>
    </row>
    <row r="11" spans="1:7" x14ac:dyDescent="0.25">
      <c r="E11" s="28" t="s">
        <v>20</v>
      </c>
      <c r="F11" s="28"/>
      <c r="G11" s="28"/>
    </row>
    <row r="12" spans="1:7" x14ac:dyDescent="0.25">
      <c r="G12" s="37">
        <f>SUMIFS(Sheet1!$C$3:$C$1000,Sheet1!$A$3:$A$1000,"Legal",Sheet1!$D$3:$D$1000,E12)</f>
        <v>0</v>
      </c>
    </row>
    <row r="13" spans="1:7" x14ac:dyDescent="0.25">
      <c r="E13" s="27" t="s">
        <v>115</v>
      </c>
      <c r="F13" s="27">
        <v>0</v>
      </c>
      <c r="G13" s="27">
        <v>0</v>
      </c>
    </row>
    <row r="14" spans="1:7" x14ac:dyDescent="0.25">
      <c r="F14" s="1"/>
      <c r="G14" s="37">
        <f>SUMIFS(Sheet1!$C$3:$C$1000,Sheet1!$A$3:$A$1000,"Legal",Sheet1!$D$3:$D$1000,E14)</f>
        <v>0</v>
      </c>
    </row>
    <row r="15" spans="1:7" x14ac:dyDescent="0.25">
      <c r="F15" s="13"/>
    </row>
    <row r="16" spans="1:7" x14ac:dyDescent="0.25">
      <c r="E16" t="s">
        <v>167</v>
      </c>
      <c r="F16" s="13"/>
      <c r="G16" s="37">
        <f>SUMIFS(Sheet1!$C$3:$C$1000,Sheet1!$A$3:$A$1000,"Legal",Sheet1!$D$3:$D$1000,E16)</f>
        <v>0</v>
      </c>
    </row>
    <row r="17" spans="6:6" x14ac:dyDescent="0.25">
      <c r="F17" s="13"/>
    </row>
    <row r="18" spans="6:6" x14ac:dyDescent="0.25">
      <c r="F18" s="13"/>
    </row>
    <row r="19" spans="6:6" x14ac:dyDescent="0.25">
      <c r="F19" s="13"/>
    </row>
    <row r="29" spans="6:6" x14ac:dyDescent="0.25">
      <c r="F29"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9683-C556-4BC4-B8B7-D0912375838E}">
  <dimension ref="A2:G17"/>
  <sheetViews>
    <sheetView workbookViewId="0">
      <selection activeCell="H18" sqref="H18"/>
    </sheetView>
  </sheetViews>
  <sheetFormatPr defaultRowHeight="15" x14ac:dyDescent="0.25"/>
  <cols>
    <col min="1" max="1" width="21.42578125" customWidth="1"/>
    <col min="2" max="2" width="11.5703125" bestFit="1" customWidth="1"/>
    <col min="5" max="5" width="17.28515625" customWidth="1"/>
    <col min="6" max="6" width="15" bestFit="1" customWidth="1"/>
    <col min="7" max="7" width="12" customWidth="1"/>
  </cols>
  <sheetData>
    <row r="2" spans="1:7" x14ac:dyDescent="0.25">
      <c r="A2" s="80" t="s">
        <v>116</v>
      </c>
      <c r="B2" s="80">
        <f>F3</f>
        <v>0</v>
      </c>
      <c r="E2" t="s">
        <v>9</v>
      </c>
      <c r="F2" t="s">
        <v>110</v>
      </c>
    </row>
    <row r="3" spans="1:7" x14ac:dyDescent="0.25">
      <c r="A3" s="80" t="s">
        <v>168</v>
      </c>
      <c r="B3" s="80">
        <f>G3</f>
        <v>0</v>
      </c>
      <c r="E3" s="24" t="s">
        <v>112</v>
      </c>
      <c r="F3" s="24">
        <f>0</f>
        <v>0</v>
      </c>
      <c r="G3" s="24">
        <f>0</f>
        <v>0</v>
      </c>
    </row>
    <row r="4" spans="1:7" x14ac:dyDescent="0.25">
      <c r="A4" s="80" t="s">
        <v>117</v>
      </c>
      <c r="B4" s="81">
        <f>F5+F10+F12</f>
        <v>244500</v>
      </c>
    </row>
    <row r="5" spans="1:7" x14ac:dyDescent="0.25">
      <c r="A5" s="80" t="s">
        <v>169</v>
      </c>
      <c r="B5" s="81">
        <f>G5+G10+G12</f>
        <v>0</v>
      </c>
      <c r="E5" s="25" t="s">
        <v>113</v>
      </c>
      <c r="F5" s="36">
        <f>SUM(F6:F8)</f>
        <v>244500</v>
      </c>
      <c r="G5" s="36">
        <f>SUM(G6:G8)</f>
        <v>0</v>
      </c>
    </row>
    <row r="6" spans="1:7" x14ac:dyDescent="0.25">
      <c r="A6" s="80" t="s">
        <v>118</v>
      </c>
      <c r="B6" s="80">
        <f>F14</f>
        <v>0</v>
      </c>
      <c r="E6" s="29" t="s">
        <v>142</v>
      </c>
      <c r="F6" s="37">
        <v>1000</v>
      </c>
      <c r="G6" s="37">
        <f>SUMIFS(Sheet1!$C$3:$C$1000,Sheet1!$A$3:$A$1000,"Internal Auditing",Sheet1!$D$3:$D$1000,E6)</f>
        <v>0</v>
      </c>
    </row>
    <row r="7" spans="1:7" x14ac:dyDescent="0.25">
      <c r="A7" s="80" t="s">
        <v>170</v>
      </c>
      <c r="B7" s="80">
        <f>G14</f>
        <v>0</v>
      </c>
      <c r="E7" s="29" t="s">
        <v>131</v>
      </c>
      <c r="F7" s="37">
        <v>6000</v>
      </c>
      <c r="G7" s="37">
        <f>SUMIFS(Sheet1!$C$3:$C$1000,Sheet1!$A$3:$A$1000,"Internal Auditing",Sheet1!$D$3:$D$1000,E7)</f>
        <v>0</v>
      </c>
    </row>
    <row r="8" spans="1:7" x14ac:dyDescent="0.25">
      <c r="A8" s="80" t="s">
        <v>212</v>
      </c>
      <c r="B8" s="81">
        <f>B2+B4+B6</f>
        <v>244500</v>
      </c>
      <c r="E8" s="29" t="s">
        <v>129</v>
      </c>
      <c r="F8" s="37">
        <v>237500</v>
      </c>
      <c r="G8" s="37">
        <f>SUMIFS(Sheet1!$C$3:$C$1000,Sheet1!$A$3:$A$1000,"Internal Auditing",Sheet1!$D$3:$D$1000,E8)</f>
        <v>0</v>
      </c>
    </row>
    <row r="9" spans="1:7" x14ac:dyDescent="0.25">
      <c r="E9" s="29"/>
      <c r="F9" s="29"/>
      <c r="G9" s="37"/>
    </row>
    <row r="10" spans="1:7" x14ac:dyDescent="0.25">
      <c r="E10" s="26" t="s">
        <v>114</v>
      </c>
      <c r="F10" s="26"/>
      <c r="G10" s="26"/>
    </row>
    <row r="11" spans="1:7" x14ac:dyDescent="0.25">
      <c r="F11" s="13"/>
      <c r="G11" s="37">
        <f>SUMIFS(Sheet1!$C$3:$C$1000,Sheet1!$A$3:$A$1000,"Internal Auditing",Sheet1!$D$3:$D$1000,E11)</f>
        <v>0</v>
      </c>
    </row>
    <row r="12" spans="1:7" x14ac:dyDescent="0.25">
      <c r="E12" s="28" t="s">
        <v>20</v>
      </c>
      <c r="F12" s="28"/>
      <c r="G12" s="28"/>
    </row>
    <row r="13" spans="1:7" x14ac:dyDescent="0.25">
      <c r="G13" s="37">
        <f>SUMIFS(Sheet1!$C$3:$C$1000,Sheet1!$A$3:$A$1000,"Internal Auditing",Sheet1!$D$3:$D$1000,E13)</f>
        <v>0</v>
      </c>
    </row>
    <row r="14" spans="1:7" x14ac:dyDescent="0.25">
      <c r="E14" s="27" t="s">
        <v>115</v>
      </c>
      <c r="F14" s="27">
        <v>0</v>
      </c>
      <c r="G14" s="27">
        <v>0</v>
      </c>
    </row>
    <row r="15" spans="1:7" x14ac:dyDescent="0.25">
      <c r="F15" s="1"/>
      <c r="G15" s="37">
        <f>SUMIFS(Sheet1!$C$3:$C$1000,Sheet1!$A$3:$A$1000,"Internal Auditing",Sheet1!$D$3:$D$1000,E15)</f>
        <v>0</v>
      </c>
    </row>
    <row r="17" spans="5:7" x14ac:dyDescent="0.25">
      <c r="E17" t="s">
        <v>167</v>
      </c>
      <c r="G17" s="37">
        <f>SUMIFS(Sheet1!$C$3:$C$1000,Sheet1!$A$3:$A$1000,"Internal Auditing",Sheet1!$D$3:$D$1000,E17)</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67A78-655B-4260-8664-53C95B5CF954}">
  <dimension ref="A2:F21"/>
  <sheetViews>
    <sheetView workbookViewId="0">
      <selection activeCell="G28" sqref="G28"/>
    </sheetView>
  </sheetViews>
  <sheetFormatPr defaultRowHeight="15" x14ac:dyDescent="0.25"/>
  <cols>
    <col min="1" max="1" width="21.28515625" customWidth="1"/>
    <col min="2" max="2" width="13.28515625" bestFit="1" customWidth="1"/>
    <col min="4" max="4" width="35.7109375" customWidth="1"/>
    <col min="5" max="5" width="15" bestFit="1" customWidth="1"/>
    <col min="6" max="6" width="17.85546875" customWidth="1"/>
  </cols>
  <sheetData>
    <row r="2" spans="1:6" x14ac:dyDescent="0.25">
      <c r="A2" s="80" t="s">
        <v>116</v>
      </c>
      <c r="B2" s="79">
        <f>E3</f>
        <v>1040000</v>
      </c>
      <c r="D2" s="39" t="s">
        <v>9</v>
      </c>
      <c r="E2" s="39" t="s">
        <v>110</v>
      </c>
    </row>
    <row r="3" spans="1:6" x14ac:dyDescent="0.25">
      <c r="A3" s="80" t="s">
        <v>168</v>
      </c>
      <c r="B3" s="79">
        <f>F3</f>
        <v>0</v>
      </c>
      <c r="D3" s="40" t="s">
        <v>112</v>
      </c>
      <c r="E3" s="41">
        <f>SUM(E4:E5)</f>
        <v>1040000</v>
      </c>
      <c r="F3" s="41">
        <f>SUM(F4:F5)</f>
        <v>0</v>
      </c>
    </row>
    <row r="4" spans="1:6" x14ac:dyDescent="0.25">
      <c r="A4" s="80" t="s">
        <v>117</v>
      </c>
      <c r="B4" s="79">
        <f>E7+E14+E16</f>
        <v>370000</v>
      </c>
      <c r="D4" s="38" t="s">
        <v>146</v>
      </c>
      <c r="E4" s="42">
        <v>240000</v>
      </c>
      <c r="F4" s="42">
        <f>SUMIFS(Sheet1!$C$3:$C$1000,Sheet1!$A$3:$A$1000,"TAU",Sheet1!$D$3:$D$1000,D4)</f>
        <v>0</v>
      </c>
    </row>
    <row r="5" spans="1:6" x14ac:dyDescent="0.25">
      <c r="A5" s="80" t="s">
        <v>169</v>
      </c>
      <c r="B5" s="79">
        <f>F7+F14+F16</f>
        <v>28500</v>
      </c>
      <c r="D5" s="38" t="s">
        <v>147</v>
      </c>
      <c r="E5" s="42">
        <v>800000</v>
      </c>
      <c r="F5" s="42">
        <f>SUMIFS(Sheet1!$C$3:$C$1000,Sheet1!$A$3:$A$1000,"TAU",Sheet1!$D$3:$D$1000,D5)</f>
        <v>0</v>
      </c>
    </row>
    <row r="6" spans="1:6" x14ac:dyDescent="0.25">
      <c r="A6" s="80" t="s">
        <v>118</v>
      </c>
      <c r="B6" s="80">
        <f>E18</f>
        <v>0</v>
      </c>
      <c r="D6" s="42" t="s">
        <v>148</v>
      </c>
      <c r="E6" s="42"/>
      <c r="F6" s="42"/>
    </row>
    <row r="7" spans="1:6" x14ac:dyDescent="0.25">
      <c r="A7" s="80" t="s">
        <v>170</v>
      </c>
      <c r="B7" s="80">
        <f>F18</f>
        <v>0</v>
      </c>
      <c r="D7" s="43" t="s">
        <v>113</v>
      </c>
      <c r="E7" s="44">
        <f>SUM(E8:E12)</f>
        <v>370000</v>
      </c>
      <c r="F7" s="44">
        <f>SUM(F8:F12)</f>
        <v>28500</v>
      </c>
    </row>
    <row r="8" spans="1:6" x14ac:dyDescent="0.25">
      <c r="A8" s="80" t="s">
        <v>212</v>
      </c>
      <c r="B8" s="79">
        <f>B2+B4+B6</f>
        <v>1410000</v>
      </c>
      <c r="D8" s="29" t="s">
        <v>149</v>
      </c>
      <c r="E8" s="30">
        <v>40000</v>
      </c>
      <c r="F8" s="42">
        <f>SUMIFS(Sheet1!$C$3:$C$1000,Sheet1!$A$3:$A$1000,"TAU",Sheet1!$D$3:$D$1000,D8)</f>
        <v>0</v>
      </c>
    </row>
    <row r="9" spans="1:6" x14ac:dyDescent="0.25">
      <c r="D9" s="29" t="s">
        <v>150</v>
      </c>
      <c r="E9" s="30">
        <v>100000</v>
      </c>
      <c r="F9" s="42">
        <f>SUMIFS(Sheet1!$C$3:$C$1000,Sheet1!$A$3:$A$1000,"TAU",Sheet1!$D$3:$D$1000,D9)</f>
        <v>0</v>
      </c>
    </row>
    <row r="10" spans="1:6" x14ac:dyDescent="0.25">
      <c r="D10" s="29" t="s">
        <v>92</v>
      </c>
      <c r="E10" s="30">
        <v>100000</v>
      </c>
      <c r="F10" s="42">
        <f>SUMIFS(Sheet1!$C$3:$C$1000,Sheet1!$A$3:$A$1000,"TAU",Sheet1!$D$3:$D$1000,D10)</f>
        <v>14000</v>
      </c>
    </row>
    <row r="11" spans="1:6" x14ac:dyDescent="0.25">
      <c r="D11" s="29" t="s">
        <v>67</v>
      </c>
      <c r="E11" s="30">
        <v>100000</v>
      </c>
      <c r="F11" s="42">
        <f>SUMIFS(Sheet1!$C$3:$C$1000,Sheet1!$A$3:$A$1000,"TAU",Sheet1!$D$3:$D$1000,D11)</f>
        <v>14500</v>
      </c>
    </row>
    <row r="12" spans="1:6" x14ac:dyDescent="0.25">
      <c r="D12" s="29" t="s">
        <v>151</v>
      </c>
      <c r="E12" s="30">
        <v>30000</v>
      </c>
      <c r="F12" s="42">
        <f>SUMIFS(Sheet1!$C$3:$C$1000,Sheet1!$A$3:$A$1000,"TAU",Sheet1!$D$3:$D$1000,D12)</f>
        <v>0</v>
      </c>
    </row>
    <row r="13" spans="1:6" x14ac:dyDescent="0.25">
      <c r="D13" s="29"/>
      <c r="E13" s="30"/>
      <c r="F13" s="42"/>
    </row>
    <row r="14" spans="1:6" ht="15" customHeight="1" x14ac:dyDescent="0.25">
      <c r="D14" s="45" t="s">
        <v>114</v>
      </c>
      <c r="E14" s="45">
        <v>0</v>
      </c>
      <c r="F14" s="45">
        <v>0</v>
      </c>
    </row>
    <row r="15" spans="1:6" ht="15" customHeight="1" x14ac:dyDescent="0.25">
      <c r="D15" s="29"/>
      <c r="E15" s="29"/>
      <c r="F15" s="42">
        <f>SUMIFS(Sheet1!$C$3:$C$1000,Sheet1!$A$3:$A$1000,"TAU",Sheet1!$D$3:$D$1000,D15)</f>
        <v>0</v>
      </c>
    </row>
    <row r="16" spans="1:6" ht="15" customHeight="1" x14ac:dyDescent="0.25">
      <c r="D16" s="46" t="s">
        <v>20</v>
      </c>
      <c r="E16" s="46">
        <f>0</f>
        <v>0</v>
      </c>
      <c r="F16" s="46">
        <f>0</f>
        <v>0</v>
      </c>
    </row>
    <row r="17" spans="4:6" ht="15" customHeight="1" x14ac:dyDescent="0.25">
      <c r="D17" s="29"/>
      <c r="E17" s="29"/>
      <c r="F17" s="42">
        <f>SUMIFS(Sheet1!$C$3:$C$1000,Sheet1!$A$3:$A$1000,"TAU",Sheet1!$D$3:$D$1000,D17)</f>
        <v>0</v>
      </c>
    </row>
    <row r="18" spans="4:6" ht="15" customHeight="1" x14ac:dyDescent="0.25">
      <c r="D18" s="47" t="s">
        <v>115</v>
      </c>
      <c r="E18" s="47">
        <v>0</v>
      </c>
      <c r="F18" s="47">
        <v>0</v>
      </c>
    </row>
    <row r="19" spans="4:6" x14ac:dyDescent="0.25">
      <c r="D19" s="29"/>
      <c r="E19" s="29"/>
      <c r="F19" s="42">
        <f>SUMIFS(Sheet1!$C$3:$C$1000,Sheet1!$A$3:$A$1000,"TAU",Sheet1!$D$3:$D$1000,D19)</f>
        <v>0</v>
      </c>
    </row>
    <row r="21" spans="4:6" x14ac:dyDescent="0.25">
      <c r="D21" t="s">
        <v>167</v>
      </c>
      <c r="F21" s="42">
        <f>SUMIFS(Sheet1!$C$3:$C$1000,Sheet1!$A$3:$A$1000,"TAU",Sheet1!$D$3:$D$1000,D21)</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D7C5-74E1-4A99-92B4-B2F92FF82537}">
  <dimension ref="A2:F16"/>
  <sheetViews>
    <sheetView workbookViewId="0">
      <selection activeCell="F18" sqref="F18"/>
    </sheetView>
  </sheetViews>
  <sheetFormatPr defaultRowHeight="15" x14ac:dyDescent="0.25"/>
  <cols>
    <col min="1" max="1" width="20.7109375" customWidth="1"/>
    <col min="2" max="2" width="11.5703125" bestFit="1" customWidth="1"/>
    <col min="4" max="4" width="36.42578125" bestFit="1" customWidth="1"/>
    <col min="5" max="5" width="15" bestFit="1" customWidth="1"/>
    <col min="6" max="6" width="11.5703125" customWidth="1"/>
  </cols>
  <sheetData>
    <row r="2" spans="1:6" x14ac:dyDescent="0.25">
      <c r="A2" s="77" t="s">
        <v>116</v>
      </c>
      <c r="B2" s="77">
        <f>E3</f>
        <v>0</v>
      </c>
      <c r="C2" s="49"/>
      <c r="D2" s="50" t="s">
        <v>9</v>
      </c>
      <c r="E2" s="50" t="s">
        <v>110</v>
      </c>
    </row>
    <row r="3" spans="1:6" x14ac:dyDescent="0.25">
      <c r="A3" s="77" t="s">
        <v>168</v>
      </c>
      <c r="B3" s="77">
        <f>F3</f>
        <v>0</v>
      </c>
      <c r="C3" s="49"/>
      <c r="D3" s="51" t="s">
        <v>112</v>
      </c>
      <c r="E3" s="51">
        <v>0</v>
      </c>
      <c r="F3" s="51">
        <v>0</v>
      </c>
    </row>
    <row r="4" spans="1:6" x14ac:dyDescent="0.25">
      <c r="A4" s="77" t="s">
        <v>211</v>
      </c>
      <c r="B4" s="78">
        <f>E5+E9+E11</f>
        <v>266038</v>
      </c>
      <c r="C4" s="49"/>
      <c r="D4" s="48"/>
      <c r="E4" s="48"/>
    </row>
    <row r="5" spans="1:6" x14ac:dyDescent="0.25">
      <c r="A5" s="77" t="s">
        <v>216</v>
      </c>
      <c r="B5" s="79">
        <f>F5+F9+F11</f>
        <v>0</v>
      </c>
      <c r="C5" s="49"/>
      <c r="D5" s="52" t="s">
        <v>113</v>
      </c>
      <c r="E5" s="53">
        <f>SUM(E6:E7)</f>
        <v>266038</v>
      </c>
      <c r="F5" s="53">
        <f>SUM(F6:F8)</f>
        <v>0</v>
      </c>
    </row>
    <row r="6" spans="1:6" x14ac:dyDescent="0.25">
      <c r="A6" s="77" t="s">
        <v>118</v>
      </c>
      <c r="B6" s="80">
        <f>E13</f>
        <v>0</v>
      </c>
      <c r="C6" s="49"/>
      <c r="D6" s="29" t="s">
        <v>152</v>
      </c>
      <c r="E6" s="30">
        <v>166038</v>
      </c>
      <c r="F6" s="30">
        <f>SUMIFS(Sheet1!$C$3:$C$1000,Sheet1!$A$3:$A$1000,"Quality Assurance",Sheet1!$D$3:$D$1000,D6)</f>
        <v>0</v>
      </c>
    </row>
    <row r="7" spans="1:6" x14ac:dyDescent="0.25">
      <c r="A7" s="77" t="s">
        <v>215</v>
      </c>
      <c r="B7" s="80">
        <f>F13</f>
        <v>0</v>
      </c>
      <c r="C7" s="49"/>
      <c r="D7" s="48" t="s">
        <v>129</v>
      </c>
      <c r="E7" s="54">
        <v>100000</v>
      </c>
      <c r="F7" s="30">
        <f>SUMIFS(Sheet1!$C$3:$C$1000,Sheet1!$A$3:$A$1000,"Quality Assurance",Sheet1!$D$3:$D$1000,D7)</f>
        <v>0</v>
      </c>
    </row>
    <row r="8" spans="1:6" x14ac:dyDescent="0.25">
      <c r="A8" s="77" t="s">
        <v>212</v>
      </c>
      <c r="B8" s="79">
        <f>B2+B4+B6</f>
        <v>266038</v>
      </c>
      <c r="C8" s="49"/>
      <c r="D8" s="29"/>
      <c r="E8" s="30"/>
      <c r="F8" s="30"/>
    </row>
    <row r="9" spans="1:6" x14ac:dyDescent="0.25">
      <c r="C9" s="49"/>
      <c r="D9" s="55" t="s">
        <v>114</v>
      </c>
      <c r="E9" s="56">
        <v>0</v>
      </c>
      <c r="F9" s="56">
        <v>0</v>
      </c>
    </row>
    <row r="10" spans="1:6" x14ac:dyDescent="0.25">
      <c r="D10" s="57"/>
      <c r="E10" s="58"/>
      <c r="F10" s="30">
        <f>SUMIFS(Sheet1!$C$3:$C$1000,Sheet1!$A$3:$A$1000,"Quality Assurance",Sheet1!$D$3:$D$1000,D10)</f>
        <v>0</v>
      </c>
    </row>
    <row r="11" spans="1:6" x14ac:dyDescent="0.25">
      <c r="D11" s="59" t="s">
        <v>20</v>
      </c>
      <c r="E11" s="60">
        <f>0</f>
        <v>0</v>
      </c>
      <c r="F11" s="60">
        <f>0</f>
        <v>0</v>
      </c>
    </row>
    <row r="12" spans="1:6" x14ac:dyDescent="0.25">
      <c r="D12" s="57"/>
      <c r="E12" s="61"/>
      <c r="F12" s="30">
        <f>SUMIFS(Sheet1!$C$3:$C$1000,Sheet1!$A$3:$A$1000,"Quality Assurance",Sheet1!$D$3:$D$1000,D12)</f>
        <v>0</v>
      </c>
    </row>
    <row r="13" spans="1:6" x14ac:dyDescent="0.25">
      <c r="D13" s="62" t="s">
        <v>115</v>
      </c>
      <c r="E13" s="47">
        <v>0</v>
      </c>
      <c r="F13" s="47">
        <v>0</v>
      </c>
    </row>
    <row r="14" spans="1:6" x14ac:dyDescent="0.25">
      <c r="D14" s="29"/>
      <c r="E14" s="29"/>
      <c r="F14" s="30">
        <f>SUMIFS(Sheet1!$C$3:$C$1000,Sheet1!$A$3:$A$1000,"Quality Assurance",Sheet1!$D$3:$D$1000,D14)</f>
        <v>0</v>
      </c>
    </row>
    <row r="16" spans="1:6" x14ac:dyDescent="0.25">
      <c r="D16" t="s">
        <v>167</v>
      </c>
      <c r="F16" s="30">
        <f>SUMIFS(Sheet1!$C$3:$C$1000,Sheet1!$A$3:$A$1000,"Quality Assurance",Sheet1!$D$3:$D$1000,D16)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93D62-02A6-4CD1-A96A-5AF247EC7DA1}">
  <dimension ref="A2:F17"/>
  <sheetViews>
    <sheetView workbookViewId="0">
      <selection activeCell="D38" sqref="C38:D39"/>
    </sheetView>
  </sheetViews>
  <sheetFormatPr defaultRowHeight="15" x14ac:dyDescent="0.25"/>
  <cols>
    <col min="1" max="1" width="20.42578125" customWidth="1"/>
    <col min="2" max="2" width="11.5703125" bestFit="1" customWidth="1"/>
    <col min="4" max="4" width="36.42578125" bestFit="1" customWidth="1"/>
    <col min="5" max="5" width="15" bestFit="1" customWidth="1"/>
    <col min="6" max="6" width="12.5703125" customWidth="1"/>
  </cols>
  <sheetData>
    <row r="2" spans="1:6" x14ac:dyDescent="0.25">
      <c r="A2" s="80" t="s">
        <v>116</v>
      </c>
      <c r="B2" s="77">
        <f>E3</f>
        <v>0</v>
      </c>
      <c r="C2" s="49"/>
      <c r="D2" s="50" t="s">
        <v>9</v>
      </c>
      <c r="E2" s="50" t="s">
        <v>110</v>
      </c>
    </row>
    <row r="3" spans="1:6" x14ac:dyDescent="0.25">
      <c r="A3" s="80" t="s">
        <v>168</v>
      </c>
      <c r="B3" s="77">
        <f>F3</f>
        <v>0</v>
      </c>
      <c r="C3" s="49"/>
      <c r="D3" s="51" t="s">
        <v>112</v>
      </c>
      <c r="E3" s="51">
        <f>0</f>
        <v>0</v>
      </c>
      <c r="F3" s="51">
        <f>0</f>
        <v>0</v>
      </c>
    </row>
    <row r="4" spans="1:6" x14ac:dyDescent="0.25">
      <c r="A4" s="80" t="s">
        <v>117</v>
      </c>
      <c r="B4" s="78">
        <f>E5+E10+E12</f>
        <v>218000</v>
      </c>
      <c r="C4" s="49"/>
      <c r="D4" s="48"/>
      <c r="E4" s="48"/>
      <c r="F4" s="48"/>
    </row>
    <row r="5" spans="1:6" x14ac:dyDescent="0.25">
      <c r="A5" s="80" t="s">
        <v>169</v>
      </c>
      <c r="B5" s="79">
        <f>F5+F10+F12</f>
        <v>25500</v>
      </c>
      <c r="C5" s="49"/>
      <c r="D5" s="52" t="s">
        <v>113</v>
      </c>
      <c r="E5" s="53">
        <f>SUM(E6:E8)</f>
        <v>218000</v>
      </c>
      <c r="F5" s="53">
        <f>SUM(F6:F8)</f>
        <v>25500</v>
      </c>
    </row>
    <row r="6" spans="1:6" x14ac:dyDescent="0.25">
      <c r="A6" s="80" t="s">
        <v>118</v>
      </c>
      <c r="B6" s="80">
        <f>E14</f>
        <v>0</v>
      </c>
      <c r="C6" s="49"/>
      <c r="D6" s="29" t="s">
        <v>29</v>
      </c>
      <c r="E6" s="30">
        <v>48000</v>
      </c>
      <c r="F6" s="30">
        <f>SUMIFS(Sheet1!$C$3:$C$1000,Sheet1!$A$3:$A$1000,"MD",Sheet1!$D$3:$D$1000,D6)</f>
        <v>25500</v>
      </c>
    </row>
    <row r="7" spans="1:6" x14ac:dyDescent="0.25">
      <c r="A7" s="80" t="s">
        <v>170</v>
      </c>
      <c r="B7" s="80">
        <f>F14</f>
        <v>0</v>
      </c>
      <c r="C7" s="49"/>
      <c r="D7" s="29" t="s">
        <v>153</v>
      </c>
      <c r="E7" s="30">
        <v>20000</v>
      </c>
      <c r="F7" s="30">
        <f>SUMIFS(Sheet1!$C$3:$C$1000,Sheet1!$A$3:$A$1000,"MD",Sheet1!$D$3:$D$1000,D7)</f>
        <v>0</v>
      </c>
    </row>
    <row r="8" spans="1:6" x14ac:dyDescent="0.25">
      <c r="A8" s="80" t="s">
        <v>74</v>
      </c>
      <c r="B8" s="79">
        <f>B2+B4+B6</f>
        <v>218000</v>
      </c>
      <c r="C8" s="49"/>
      <c r="D8" s="48" t="s">
        <v>129</v>
      </c>
      <c r="E8" s="54">
        <v>150000</v>
      </c>
      <c r="F8" s="30">
        <f>SUMIFS(Sheet1!$C$3:$C$1000,Sheet1!$A$3:$A$1000,"MD",Sheet1!$D$3:$D$1000,D8)</f>
        <v>0</v>
      </c>
    </row>
    <row r="9" spans="1:6" x14ac:dyDescent="0.25">
      <c r="C9" s="49"/>
      <c r="D9" s="29"/>
      <c r="E9" s="30"/>
      <c r="F9" s="30"/>
    </row>
    <row r="10" spans="1:6" x14ac:dyDescent="0.25">
      <c r="D10" s="55" t="s">
        <v>114</v>
      </c>
      <c r="E10" s="56">
        <f>0</f>
        <v>0</v>
      </c>
      <c r="F10" s="56">
        <f>0</f>
        <v>0</v>
      </c>
    </row>
    <row r="11" spans="1:6" x14ac:dyDescent="0.25">
      <c r="D11" s="57"/>
      <c r="E11" s="58"/>
      <c r="F11" s="30">
        <f>SUMIFS(Sheet1!$C$3:$C$1000,Sheet1!$A$3:$A$1000,"MD",Sheet1!$D$3:$D$1000,D11)</f>
        <v>0</v>
      </c>
    </row>
    <row r="12" spans="1:6" x14ac:dyDescent="0.25">
      <c r="D12" s="59" t="s">
        <v>20</v>
      </c>
      <c r="E12" s="60">
        <f>0</f>
        <v>0</v>
      </c>
      <c r="F12" s="60">
        <f>0</f>
        <v>0</v>
      </c>
    </row>
    <row r="13" spans="1:6" x14ac:dyDescent="0.25">
      <c r="D13" s="57"/>
      <c r="E13" s="61"/>
      <c r="F13" s="30">
        <f>SUMIFS(Sheet1!$C$3:$C$1000,Sheet1!$A$3:$A$1000,"MD",Sheet1!$D$3:$D$1000,D13)</f>
        <v>0</v>
      </c>
    </row>
    <row r="14" spans="1:6" x14ac:dyDescent="0.25">
      <c r="D14" s="62" t="s">
        <v>115</v>
      </c>
      <c r="E14" s="47">
        <f>0</f>
        <v>0</v>
      </c>
      <c r="F14" s="47">
        <f>0</f>
        <v>0</v>
      </c>
    </row>
    <row r="15" spans="1:6" x14ac:dyDescent="0.25">
      <c r="D15" s="29"/>
      <c r="E15" s="29"/>
      <c r="F15" s="30">
        <f>SUMIFS(Sheet1!$C$3:$C$1000,Sheet1!$A$3:$A$1000,"MD",Sheet1!$D$3:$D$1000,D15)</f>
        <v>0</v>
      </c>
    </row>
    <row r="17" spans="4:6" x14ac:dyDescent="0.25">
      <c r="D17" t="s">
        <v>167</v>
      </c>
      <c r="F17" s="30">
        <f>SUMIFS(Sheet1!$C$3:$C$1000,Sheet1!$A$3:$A$1000,"MD",Sheet1!$D$3:$D$1000,D17)</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05A28-6C40-4EA2-9391-ED7FDA88BC3C}">
  <dimension ref="A2:F22"/>
  <sheetViews>
    <sheetView workbookViewId="0">
      <selection activeCell="D11" sqref="D11"/>
    </sheetView>
  </sheetViews>
  <sheetFormatPr defaultRowHeight="15" x14ac:dyDescent="0.25"/>
  <cols>
    <col min="1" max="1" width="20.7109375" customWidth="1"/>
    <col min="2" max="2" width="13.28515625" bestFit="1" customWidth="1"/>
    <col min="4" max="4" width="36.42578125" bestFit="1" customWidth="1"/>
    <col min="5" max="5" width="15" bestFit="1" customWidth="1"/>
    <col min="6" max="6" width="14.28515625" customWidth="1"/>
  </cols>
  <sheetData>
    <row r="2" spans="1:6" x14ac:dyDescent="0.25">
      <c r="A2" s="80" t="s">
        <v>116</v>
      </c>
      <c r="B2" s="77">
        <f>E3</f>
        <v>0</v>
      </c>
      <c r="C2" s="49"/>
      <c r="D2" s="50" t="s">
        <v>9</v>
      </c>
      <c r="E2" s="50" t="s">
        <v>110</v>
      </c>
    </row>
    <row r="3" spans="1:6" x14ac:dyDescent="0.25">
      <c r="A3" s="80" t="s">
        <v>168</v>
      </c>
      <c r="B3" s="77">
        <f>F3</f>
        <v>0</v>
      </c>
      <c r="C3" s="49"/>
      <c r="D3" s="51" t="s">
        <v>112</v>
      </c>
      <c r="E3" s="51">
        <f>0</f>
        <v>0</v>
      </c>
      <c r="F3" s="51">
        <f>0</f>
        <v>0</v>
      </c>
    </row>
    <row r="4" spans="1:6" x14ac:dyDescent="0.25">
      <c r="A4" s="80" t="s">
        <v>117</v>
      </c>
      <c r="B4" s="78">
        <f>E5+E13+E16</f>
        <v>2994200</v>
      </c>
      <c r="C4" s="49"/>
      <c r="D4" s="48"/>
      <c r="E4" s="48"/>
      <c r="F4" s="48"/>
    </row>
    <row r="5" spans="1:6" x14ac:dyDescent="0.25">
      <c r="A5" s="80" t="s">
        <v>169</v>
      </c>
      <c r="B5" s="79">
        <f>F5+F13+F16</f>
        <v>393000</v>
      </c>
      <c r="C5" s="49"/>
      <c r="D5" s="52" t="s">
        <v>113</v>
      </c>
      <c r="E5" s="53">
        <f>SUM(E6:E11)</f>
        <v>2839200</v>
      </c>
      <c r="F5" s="53">
        <f>SUM(F6:F11)</f>
        <v>393000</v>
      </c>
    </row>
    <row r="6" spans="1:6" x14ac:dyDescent="0.25">
      <c r="A6" s="80" t="s">
        <v>118</v>
      </c>
      <c r="B6" s="79">
        <f>E18</f>
        <v>280000</v>
      </c>
      <c r="C6" s="49"/>
      <c r="D6" s="29" t="s">
        <v>154</v>
      </c>
      <c r="E6" s="30">
        <v>1620000</v>
      </c>
      <c r="F6" s="30">
        <f>SUMIFS(Sheet1!$C$3:$C$1000,Sheet1!$A$3:$A$1000,"IT",Sheet1!$D$3:$D$1000,D6)</f>
        <v>0</v>
      </c>
    </row>
    <row r="7" spans="1:6" x14ac:dyDescent="0.25">
      <c r="A7" s="80" t="s">
        <v>170</v>
      </c>
      <c r="B7" s="79">
        <f>F18</f>
        <v>0</v>
      </c>
      <c r="C7" s="49"/>
      <c r="D7" s="29" t="s">
        <v>155</v>
      </c>
      <c r="E7" s="30">
        <v>31200</v>
      </c>
      <c r="F7" s="30">
        <f>SUMIFS(Sheet1!$C$3:$C$1000,Sheet1!$A$3:$A$1000,"IT",Sheet1!$D$3:$D$1000,D7)</f>
        <v>0</v>
      </c>
    </row>
    <row r="8" spans="1:6" x14ac:dyDescent="0.25">
      <c r="A8" s="80" t="s">
        <v>74</v>
      </c>
      <c r="B8" s="79">
        <f>B2+B4+B6</f>
        <v>3274200</v>
      </c>
      <c r="C8" s="49"/>
      <c r="D8" s="29" t="s">
        <v>156</v>
      </c>
      <c r="E8" s="30">
        <v>60000</v>
      </c>
      <c r="F8" s="30">
        <f>SUMIFS(Sheet1!$C$3:$C$1000,Sheet1!$A$3:$A$1000,"IT",Sheet1!$D$3:$D$1000,D8)</f>
        <v>0</v>
      </c>
    </row>
    <row r="9" spans="1:6" x14ac:dyDescent="0.25">
      <c r="A9" s="80"/>
      <c r="B9" s="80"/>
      <c r="C9" s="49"/>
      <c r="D9" s="29" t="s">
        <v>149</v>
      </c>
      <c r="E9" s="30">
        <v>64000.000000000007</v>
      </c>
      <c r="F9" s="30">
        <f>SUMIFS(Sheet1!$C$3:$C$1000,Sheet1!$A$3:$A$1000,"IT",Sheet1!$D$3:$D$1000,D9)</f>
        <v>0</v>
      </c>
    </row>
    <row r="10" spans="1:6" x14ac:dyDescent="0.25">
      <c r="D10" s="29" t="s">
        <v>127</v>
      </c>
      <c r="E10" s="30">
        <v>419000</v>
      </c>
      <c r="F10" s="30">
        <f>SUMIFS(Sheet1!$C$3:$C$1000,Sheet1!$A$3:$A$1000,"IT",Sheet1!$D$3:$D$1000,D10)</f>
        <v>90000</v>
      </c>
    </row>
    <row r="11" spans="1:6" x14ac:dyDescent="0.25">
      <c r="D11" t="s">
        <v>10</v>
      </c>
      <c r="E11" s="30">
        <v>645000</v>
      </c>
      <c r="F11" s="30">
        <f>SUMIFS(Sheet1!$C$3:$C$1000,Sheet1!$A$3:$A$1000,"IT",Sheet1!$D$3:$D$1000,D11)</f>
        <v>303000</v>
      </c>
    </row>
    <row r="12" spans="1:6" x14ac:dyDescent="0.25">
      <c r="D12" s="29"/>
      <c r="E12" s="30"/>
      <c r="F12" s="30"/>
    </row>
    <row r="13" spans="1:6" x14ac:dyDescent="0.25">
      <c r="D13" s="55" t="s">
        <v>114</v>
      </c>
      <c r="E13" s="63">
        <f>SUM(E14)</f>
        <v>155000</v>
      </c>
      <c r="F13" s="63">
        <f>SUM(F14)</f>
        <v>0</v>
      </c>
    </row>
    <row r="14" spans="1:6" x14ac:dyDescent="0.25">
      <c r="D14" s="61" t="s">
        <v>157</v>
      </c>
      <c r="E14" s="64">
        <v>155000</v>
      </c>
      <c r="F14" s="64">
        <f>SUMIFS(Sheet1!$C$3:$C$1000,Sheet1!$A$3:$A$1000,"IT",Sheet1!$D$3:$D$1000,D14)</f>
        <v>0</v>
      </c>
    </row>
    <row r="15" spans="1:6" x14ac:dyDescent="0.25">
      <c r="D15" s="57"/>
      <c r="E15" s="58"/>
      <c r="F15" s="30"/>
    </row>
    <row r="16" spans="1:6" x14ac:dyDescent="0.25">
      <c r="D16" s="59" t="s">
        <v>20</v>
      </c>
      <c r="E16" s="60">
        <f>0</f>
        <v>0</v>
      </c>
      <c r="F16" s="60">
        <f>0</f>
        <v>0</v>
      </c>
    </row>
    <row r="17" spans="4:6" x14ac:dyDescent="0.25">
      <c r="D17" s="57"/>
      <c r="E17" s="61"/>
      <c r="F17" s="64"/>
    </row>
    <row r="18" spans="4:6" x14ac:dyDescent="0.25">
      <c r="D18" s="62" t="s">
        <v>115</v>
      </c>
      <c r="E18" s="65">
        <f>SUM(E19)</f>
        <v>280000</v>
      </c>
      <c r="F18" s="65">
        <f>SUM(F19)</f>
        <v>0</v>
      </c>
    </row>
    <row r="19" spans="4:6" x14ac:dyDescent="0.25">
      <c r="D19" s="29" t="s">
        <v>140</v>
      </c>
      <c r="E19" s="30">
        <v>280000</v>
      </c>
      <c r="F19" s="64">
        <f>SUMIFS(Sheet1!$C$3:$C$1000,Sheet1!$A$3:$A$1000,"IT",Sheet1!$D$3:$D$1000,D19)</f>
        <v>0</v>
      </c>
    </row>
    <row r="20" spans="4:6" x14ac:dyDescent="0.25">
      <c r="D20" s="29"/>
      <c r="E20" s="29"/>
      <c r="F20" s="30"/>
    </row>
    <row r="22" spans="4:6" x14ac:dyDescent="0.25">
      <c r="D22" t="s">
        <v>167</v>
      </c>
      <c r="F22" s="64">
        <f>SUMIFS(Sheet1!$C$3:$C$1000,Sheet1!$A$3:$A$1000,"IT",Sheet1!$D$3:$D$1000,D22)</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A8093-D9D4-49C7-9424-F41D57E33BB5}">
  <dimension ref="A2:F28"/>
  <sheetViews>
    <sheetView workbookViewId="0">
      <selection activeCell="D7" sqref="D7"/>
    </sheetView>
  </sheetViews>
  <sheetFormatPr defaultRowHeight="15" x14ac:dyDescent="0.25"/>
  <cols>
    <col min="1" max="1" width="21.42578125" customWidth="1"/>
    <col min="2" max="2" width="14.28515625" bestFit="1" customWidth="1"/>
    <col min="4" max="4" width="34.7109375" bestFit="1" customWidth="1"/>
    <col min="5" max="5" width="15" bestFit="1" customWidth="1"/>
    <col min="6" max="6" width="17.28515625" customWidth="1"/>
  </cols>
  <sheetData>
    <row r="2" spans="1:6" x14ac:dyDescent="0.25">
      <c r="A2" s="80" t="s">
        <v>116</v>
      </c>
      <c r="B2" s="77">
        <f>E3</f>
        <v>0</v>
      </c>
      <c r="C2" s="49"/>
      <c r="D2" s="50" t="s">
        <v>9</v>
      </c>
      <c r="E2" s="50" t="s">
        <v>110</v>
      </c>
    </row>
    <row r="3" spans="1:6" x14ac:dyDescent="0.25">
      <c r="A3" s="80" t="s">
        <v>168</v>
      </c>
      <c r="B3" s="77">
        <f>F3</f>
        <v>0</v>
      </c>
      <c r="C3" s="49"/>
      <c r="D3" s="51" t="s">
        <v>112</v>
      </c>
      <c r="E3" s="51">
        <f>0</f>
        <v>0</v>
      </c>
      <c r="F3" s="51">
        <f>0</f>
        <v>0</v>
      </c>
    </row>
    <row r="4" spans="1:6" x14ac:dyDescent="0.25">
      <c r="A4" s="80" t="s">
        <v>117</v>
      </c>
      <c r="B4" s="78">
        <f>E5+E20+E22</f>
        <v>30550256.350000001</v>
      </c>
      <c r="C4" s="49"/>
      <c r="D4" s="48"/>
      <c r="E4" s="48"/>
    </row>
    <row r="5" spans="1:6" x14ac:dyDescent="0.25">
      <c r="A5" s="80" t="s">
        <v>169</v>
      </c>
      <c r="B5" s="79">
        <f>F5+F20+F22</f>
        <v>2242500</v>
      </c>
      <c r="C5" s="49"/>
      <c r="D5" s="52" t="s">
        <v>113</v>
      </c>
      <c r="E5" s="53">
        <f>SUM(E6:E18)</f>
        <v>7545983.2999999998</v>
      </c>
      <c r="F5" s="53">
        <f>SUM(F6:F18)</f>
        <v>2242500</v>
      </c>
    </row>
    <row r="6" spans="1:6" x14ac:dyDescent="0.25">
      <c r="A6" s="80" t="s">
        <v>118</v>
      </c>
      <c r="B6" s="80">
        <f>E25</f>
        <v>0</v>
      </c>
      <c r="C6" s="49"/>
      <c r="D6" s="29" t="s">
        <v>89</v>
      </c>
      <c r="E6" s="30">
        <v>4385858.3</v>
      </c>
      <c r="F6" s="30">
        <f>SUMIFS(Sheet1!$C$3:$C$1000,Sheet1!$A$3:$A$1000,"HR",Sheet1!$D$3:$D$1000,D6)</f>
        <v>1815000</v>
      </c>
    </row>
    <row r="7" spans="1:6" x14ac:dyDescent="0.25">
      <c r="A7" s="80" t="s">
        <v>170</v>
      </c>
      <c r="B7" s="80">
        <f>F25</f>
        <v>0</v>
      </c>
      <c r="C7" s="49"/>
      <c r="D7" t="s">
        <v>29</v>
      </c>
      <c r="E7" s="30">
        <v>60000</v>
      </c>
      <c r="F7" s="30">
        <f>SUMIFS(Sheet1!$C$3:$C$1000,Sheet1!$A$3:$A$1000,"HR",Sheet1!$D$3:$D$1000,D7)</f>
        <v>25500</v>
      </c>
    </row>
    <row r="8" spans="1:6" x14ac:dyDescent="0.25">
      <c r="A8" s="80" t="s">
        <v>74</v>
      </c>
      <c r="B8" s="79">
        <f>B2+B4+B6</f>
        <v>30550256.350000001</v>
      </c>
      <c r="C8" s="49"/>
      <c r="D8" s="29" t="s">
        <v>122</v>
      </c>
      <c r="E8" s="30">
        <v>86000</v>
      </c>
      <c r="F8" s="30">
        <f>SUMIFS(Sheet1!$C$3:$C$1000,Sheet1!$A$3:$A$1000,"HR",Sheet1!$D$3:$D$1000,D8)</f>
        <v>0</v>
      </c>
    </row>
    <row r="9" spans="1:6" x14ac:dyDescent="0.25">
      <c r="C9" s="49"/>
      <c r="D9" s="29" t="s">
        <v>34</v>
      </c>
      <c r="E9" s="30">
        <v>382000</v>
      </c>
      <c r="F9" s="30">
        <f>SUMIFS(Sheet1!$C$3:$C$1000,Sheet1!$A$3:$A$1000,"HR",Sheet1!$D$3:$D$1000,D9)</f>
        <v>402000</v>
      </c>
    </row>
    <row r="10" spans="1:6" x14ac:dyDescent="0.25">
      <c r="D10" s="29" t="s">
        <v>142</v>
      </c>
      <c r="E10" s="30">
        <v>10500</v>
      </c>
      <c r="F10" s="30">
        <f>SUMIFS(Sheet1!$C$3:$C$1000,Sheet1!$A$3:$A$1000,"HR",Sheet1!$D$3:$D$1000,D10)</f>
        <v>0</v>
      </c>
    </row>
    <row r="11" spans="1:6" x14ac:dyDescent="0.25">
      <c r="D11" s="29" t="s">
        <v>158</v>
      </c>
      <c r="E11" s="30">
        <v>17465</v>
      </c>
      <c r="F11" s="30">
        <f>SUMIFS(Sheet1!$C$3:$C$1000,Sheet1!$A$3:$A$1000,"HR",Sheet1!$D$3:$D$1000,D11)</f>
        <v>0</v>
      </c>
    </row>
    <row r="12" spans="1:6" x14ac:dyDescent="0.25">
      <c r="D12" s="29" t="s">
        <v>159</v>
      </c>
      <c r="E12" s="30">
        <v>21685</v>
      </c>
      <c r="F12" s="30">
        <f>SUMIFS(Sheet1!$C$3:$C$1000,Sheet1!$A$3:$A$1000,"HR",Sheet1!$D$3:$D$1000,D12)</f>
        <v>0</v>
      </c>
    </row>
    <row r="13" spans="1:6" x14ac:dyDescent="0.25">
      <c r="D13" s="29" t="s">
        <v>35</v>
      </c>
      <c r="E13" s="30">
        <v>26000</v>
      </c>
      <c r="F13" s="30">
        <f>SUMIFS(Sheet1!$C$3:$C$1000,Sheet1!$A$3:$A$1000,"HR",Sheet1!$D$3:$D$1000,D13)</f>
        <v>-4000</v>
      </c>
    </row>
    <row r="14" spans="1:6" x14ac:dyDescent="0.25">
      <c r="D14" s="29" t="s">
        <v>67</v>
      </c>
      <c r="E14" s="30">
        <v>6000</v>
      </c>
      <c r="F14" s="30">
        <f>SUMIFS(Sheet1!$C$3:$C$1000,Sheet1!$A$3:$A$1000,"HR",Sheet1!$D$3:$D$1000,D14)</f>
        <v>4000</v>
      </c>
    </row>
    <row r="15" spans="1:6" x14ac:dyDescent="0.25">
      <c r="D15" s="29" t="s">
        <v>138</v>
      </c>
      <c r="E15" s="30">
        <v>42275</v>
      </c>
      <c r="F15" s="30">
        <f>SUMIFS(Sheet1!$C$3:$C$1000,Sheet1!$A$3:$A$1000,"HR",Sheet1!$D$3:$D$1000,D15)</f>
        <v>0</v>
      </c>
    </row>
    <row r="16" spans="1:6" x14ac:dyDescent="0.25">
      <c r="D16" s="29" t="s">
        <v>151</v>
      </c>
      <c r="E16" s="30">
        <v>3200</v>
      </c>
      <c r="F16" s="30">
        <f>SUMIFS(Sheet1!$C$3:$C$1000,Sheet1!$A$3:$A$1000,"HR",Sheet1!$D$3:$D$1000,D16)</f>
        <v>0</v>
      </c>
    </row>
    <row r="17" spans="4:6" x14ac:dyDescent="0.25">
      <c r="D17" s="29" t="s">
        <v>160</v>
      </c>
      <c r="E17" s="30">
        <v>5000</v>
      </c>
      <c r="F17" s="30">
        <f>SUMIFS(Sheet1!$C$3:$C$1000,Sheet1!$A$3:$A$1000,"HR",Sheet1!$D$3:$D$1000,D17)</f>
        <v>0</v>
      </c>
    </row>
    <row r="18" spans="4:6" x14ac:dyDescent="0.25">
      <c r="D18" s="29" t="s">
        <v>161</v>
      </c>
      <c r="E18" s="30">
        <v>2500000</v>
      </c>
      <c r="F18" s="30">
        <f>SUMIFS(Sheet1!$C$3:$C$1000,Sheet1!$A$3:$A$1000,"HR",Sheet1!$D$3:$D$1000,D18)</f>
        <v>0</v>
      </c>
    </row>
    <row r="19" spans="4:6" x14ac:dyDescent="0.25">
      <c r="D19" s="29"/>
      <c r="E19" s="30"/>
      <c r="F19" s="30"/>
    </row>
    <row r="20" spans="4:6" x14ac:dyDescent="0.25">
      <c r="D20" s="55" t="s">
        <v>114</v>
      </c>
      <c r="E20" s="56">
        <f>0</f>
        <v>0</v>
      </c>
      <c r="F20" s="56">
        <f>0</f>
        <v>0</v>
      </c>
    </row>
    <row r="21" spans="4:6" x14ac:dyDescent="0.25">
      <c r="D21" s="57"/>
      <c r="E21" s="58"/>
      <c r="F21" s="30">
        <f>SUMIFS(Sheet1!$C$3:$C$1000,Sheet1!$A$3:$A$1000,"HR",Sheet1!$D$3:$D$1000,D21)</f>
        <v>0</v>
      </c>
    </row>
    <row r="22" spans="4:6" x14ac:dyDescent="0.25">
      <c r="D22" s="59" t="s">
        <v>20</v>
      </c>
      <c r="E22" s="66">
        <f>SUM(E23)</f>
        <v>23004273.050000001</v>
      </c>
      <c r="F22" s="66">
        <f>SUM(F23)</f>
        <v>0</v>
      </c>
    </row>
    <row r="23" spans="4:6" x14ac:dyDescent="0.25">
      <c r="D23" s="61" t="s">
        <v>162</v>
      </c>
      <c r="E23" s="67">
        <v>23004273.050000001</v>
      </c>
      <c r="F23" s="30">
        <f>SUMIFS(Sheet1!$C$3:$C$1000,Sheet1!$A$3:$A$1000,"HR",Sheet1!$D$3:$D$1000,D23)</f>
        <v>0</v>
      </c>
    </row>
    <row r="24" spans="4:6" x14ac:dyDescent="0.25">
      <c r="D24" s="57"/>
      <c r="E24" s="61"/>
      <c r="F24" s="30"/>
    </row>
    <row r="25" spans="4:6" x14ac:dyDescent="0.25">
      <c r="D25" s="62" t="s">
        <v>115</v>
      </c>
      <c r="E25" s="47">
        <f>0</f>
        <v>0</v>
      </c>
      <c r="F25" s="47">
        <f>0</f>
        <v>0</v>
      </c>
    </row>
    <row r="26" spans="4:6" x14ac:dyDescent="0.25">
      <c r="D26" s="29"/>
      <c r="E26" s="29"/>
      <c r="F26" s="30">
        <f>SUMIFS(Sheet1!$C$3:$C$1000,Sheet1!$A$3:$A$1000,"HR",Sheet1!$D$3:$D$1000,D26)</f>
        <v>0</v>
      </c>
    </row>
    <row r="28" spans="4:6" x14ac:dyDescent="0.25">
      <c r="D28" t="s">
        <v>167</v>
      </c>
      <c r="F28" s="30">
        <f>SUMIFS(Sheet1!$C$3:$C$1000,Sheet1!$A$3:$A$1000,"HR",Sheet1!$D$3:$D$1000,D28)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2E4A1-7546-4535-8F59-EA3C84EC327E}">
  <dimension ref="A2:F17"/>
  <sheetViews>
    <sheetView workbookViewId="0">
      <selection activeCell="E28" sqref="E28"/>
    </sheetView>
  </sheetViews>
  <sheetFormatPr defaultRowHeight="15" x14ac:dyDescent="0.25"/>
  <cols>
    <col min="1" max="1" width="21.7109375" customWidth="1"/>
    <col min="2" max="2" width="11.5703125" bestFit="1" customWidth="1"/>
    <col min="4" max="4" width="36.42578125" bestFit="1" customWidth="1"/>
    <col min="5" max="5" width="15" bestFit="1" customWidth="1"/>
    <col min="6" max="6" width="15.5703125" customWidth="1"/>
  </cols>
  <sheetData>
    <row r="2" spans="1:6" x14ac:dyDescent="0.25">
      <c r="A2" s="80" t="s">
        <v>116</v>
      </c>
      <c r="B2" s="77">
        <f>E3</f>
        <v>0</v>
      </c>
      <c r="C2" s="49"/>
      <c r="D2" s="50" t="s">
        <v>9</v>
      </c>
      <c r="E2" s="50" t="s">
        <v>110</v>
      </c>
    </row>
    <row r="3" spans="1:6" x14ac:dyDescent="0.25">
      <c r="A3" s="80" t="s">
        <v>168</v>
      </c>
      <c r="B3" s="77">
        <f>F3</f>
        <v>0</v>
      </c>
      <c r="C3" s="49"/>
      <c r="D3" s="51" t="s">
        <v>112</v>
      </c>
      <c r="E3" s="51">
        <f>0</f>
        <v>0</v>
      </c>
      <c r="F3" s="51">
        <f>0</f>
        <v>0</v>
      </c>
    </row>
    <row r="4" spans="1:6" x14ac:dyDescent="0.25">
      <c r="A4" s="80" t="s">
        <v>117</v>
      </c>
      <c r="B4" s="78">
        <f>E5+E10+E12</f>
        <v>471992</v>
      </c>
      <c r="C4" s="49"/>
      <c r="D4" s="48"/>
      <c r="E4" s="48"/>
      <c r="F4" s="48"/>
    </row>
    <row r="5" spans="1:6" x14ac:dyDescent="0.25">
      <c r="A5" s="80" t="s">
        <v>169</v>
      </c>
      <c r="B5" s="79">
        <f>F5+F10+F12</f>
        <v>0</v>
      </c>
      <c r="C5" s="49"/>
      <c r="D5" s="52" t="s">
        <v>113</v>
      </c>
      <c r="E5" s="53">
        <f>SUM(E6:E8)</f>
        <v>471992</v>
      </c>
      <c r="F5" s="53">
        <f>SUM(F6:F8)</f>
        <v>0</v>
      </c>
    </row>
    <row r="6" spans="1:6" x14ac:dyDescent="0.25">
      <c r="A6" s="80" t="s">
        <v>118</v>
      </c>
      <c r="B6" s="80">
        <f>E14</f>
        <v>0</v>
      </c>
      <c r="C6" s="49"/>
      <c r="D6" s="29" t="s">
        <v>163</v>
      </c>
      <c r="E6" s="30">
        <v>150000</v>
      </c>
      <c r="F6" s="30">
        <f>SUMIFS(Sheet1!$C$3:$C$1000,Sheet1!$A$3:$A$1000,"Finance",Sheet1!$D$3:$D$1000,D6)</f>
        <v>0</v>
      </c>
    </row>
    <row r="7" spans="1:6" x14ac:dyDescent="0.25">
      <c r="A7" s="80" t="s">
        <v>170</v>
      </c>
      <c r="B7" s="80">
        <f>F14</f>
        <v>0</v>
      </c>
      <c r="C7" s="49"/>
      <c r="D7" s="29" t="s">
        <v>164</v>
      </c>
      <c r="E7" s="30">
        <v>159992</v>
      </c>
      <c r="F7" s="30">
        <f>SUMIFS(Sheet1!$C$3:$C$1000,Sheet1!$A$3:$A$1000,"Finance",Sheet1!$D$3:$D$1000,D7)</f>
        <v>0</v>
      </c>
    </row>
    <row r="8" spans="1:6" x14ac:dyDescent="0.25">
      <c r="A8" s="80" t="s">
        <v>74</v>
      </c>
      <c r="B8" s="79">
        <f>B2+B4+B6</f>
        <v>471992</v>
      </c>
      <c r="C8" s="49"/>
      <c r="D8" t="s">
        <v>129</v>
      </c>
      <c r="E8" s="54">
        <v>162000</v>
      </c>
      <c r="F8" s="30">
        <f>SUMIFS(Sheet1!$C$3:$C$1000,Sheet1!$A$3:$A$1000,"Finance",Sheet1!$D$3:$D$1000,D8)</f>
        <v>0</v>
      </c>
    </row>
    <row r="9" spans="1:6" x14ac:dyDescent="0.25">
      <c r="C9" s="49"/>
      <c r="D9" s="29"/>
      <c r="E9" s="30"/>
      <c r="F9" s="30"/>
    </row>
    <row r="10" spans="1:6" x14ac:dyDescent="0.25">
      <c r="D10" s="55" t="s">
        <v>114</v>
      </c>
      <c r="E10" s="56">
        <f>0</f>
        <v>0</v>
      </c>
      <c r="F10" s="56">
        <f>0</f>
        <v>0</v>
      </c>
    </row>
    <row r="11" spans="1:6" x14ac:dyDescent="0.25">
      <c r="D11" s="57"/>
      <c r="E11" s="58"/>
      <c r="F11" s="30">
        <f>SUMIFS(Sheet1!$C$3:$C$1000,Sheet1!$A$3:$A$1000,"Finance",Sheet1!$D$3:$D$1000,D11)</f>
        <v>0</v>
      </c>
    </row>
    <row r="12" spans="1:6" x14ac:dyDescent="0.25">
      <c r="D12" s="59" t="s">
        <v>20</v>
      </c>
      <c r="E12" s="60">
        <f>0</f>
        <v>0</v>
      </c>
      <c r="F12" s="60">
        <f>0</f>
        <v>0</v>
      </c>
    </row>
    <row r="13" spans="1:6" x14ac:dyDescent="0.25">
      <c r="D13" s="57"/>
      <c r="E13" s="61"/>
      <c r="F13" s="30">
        <f>SUMIFS(Sheet1!$C$3:$C$1000,Sheet1!$A$3:$A$1000,"Finance",Sheet1!$D$3:$D$1000,D13)</f>
        <v>0</v>
      </c>
    </row>
    <row r="14" spans="1:6" x14ac:dyDescent="0.25">
      <c r="D14" s="62" t="s">
        <v>115</v>
      </c>
      <c r="E14" s="47">
        <f>0</f>
        <v>0</v>
      </c>
      <c r="F14" s="47">
        <f>0</f>
        <v>0</v>
      </c>
    </row>
    <row r="15" spans="1:6" x14ac:dyDescent="0.25">
      <c r="D15" s="29"/>
      <c r="E15" s="29"/>
      <c r="F15" s="30">
        <f>SUMIFS(Sheet1!$C$3:$C$1000,Sheet1!$A$3:$A$1000,"Finance",Sheet1!$D$3:$D$1000,D15)</f>
        <v>0</v>
      </c>
    </row>
    <row r="17" spans="4:6" x14ac:dyDescent="0.25">
      <c r="D17" t="s">
        <v>167</v>
      </c>
      <c r="F17" s="30">
        <f>SUMIFS(Sheet1!$C$3:$C$1000,Sheet1!$A$3:$A$1000,"Finance",Sheet1!$D$3:$D$1000,D17)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269F9-F0AE-4BB9-B697-8B36609AF398}">
  <dimension ref="A2:F16"/>
  <sheetViews>
    <sheetView workbookViewId="0">
      <selection activeCell="F8" sqref="F8"/>
    </sheetView>
  </sheetViews>
  <sheetFormatPr defaultRowHeight="15" x14ac:dyDescent="0.25"/>
  <cols>
    <col min="1" max="1" width="21.140625" customWidth="1"/>
    <col min="2" max="2" width="10.5703125" bestFit="1" customWidth="1"/>
    <col min="4" max="4" width="17.85546875" bestFit="1" customWidth="1"/>
    <col min="5" max="5" width="15" bestFit="1" customWidth="1"/>
    <col min="6" max="6" width="12.28515625" customWidth="1"/>
  </cols>
  <sheetData>
    <row r="2" spans="1:6" x14ac:dyDescent="0.25">
      <c r="A2" s="80" t="s">
        <v>116</v>
      </c>
      <c r="B2" s="77">
        <f>E3</f>
        <v>0</v>
      </c>
      <c r="C2" s="49"/>
      <c r="D2" s="50" t="s">
        <v>9</v>
      </c>
      <c r="E2" s="50" t="s">
        <v>110</v>
      </c>
    </row>
    <row r="3" spans="1:6" x14ac:dyDescent="0.25">
      <c r="A3" s="80" t="s">
        <v>168</v>
      </c>
      <c r="B3" s="77">
        <f>F3</f>
        <v>0</v>
      </c>
      <c r="C3" s="49"/>
      <c r="D3" s="51" t="s">
        <v>112</v>
      </c>
      <c r="E3" s="51">
        <f>0</f>
        <v>0</v>
      </c>
      <c r="F3" s="51">
        <f>0</f>
        <v>0</v>
      </c>
    </row>
    <row r="4" spans="1:6" x14ac:dyDescent="0.25">
      <c r="A4" s="80" t="s">
        <v>117</v>
      </c>
      <c r="B4" s="79">
        <f>E5+E9+E11</f>
        <v>62000</v>
      </c>
      <c r="C4" s="49"/>
      <c r="D4" s="48"/>
      <c r="E4" s="48"/>
      <c r="F4" s="48"/>
    </row>
    <row r="5" spans="1:6" x14ac:dyDescent="0.25">
      <c r="A5" s="80" t="s">
        <v>169</v>
      </c>
      <c r="B5" s="79">
        <f>F5+F9+F11</f>
        <v>0</v>
      </c>
      <c r="C5" s="49"/>
      <c r="D5" s="52" t="s">
        <v>113</v>
      </c>
      <c r="E5" s="53">
        <f>SUM(E6:E7)</f>
        <v>62000</v>
      </c>
      <c r="F5" s="53">
        <f>SUM(F6:F7)</f>
        <v>0</v>
      </c>
    </row>
    <row r="6" spans="1:6" x14ac:dyDescent="0.25">
      <c r="A6" s="80" t="s">
        <v>118</v>
      </c>
      <c r="B6" s="80">
        <f>E13</f>
        <v>0</v>
      </c>
      <c r="C6" s="49"/>
      <c r="D6" s="29" t="s">
        <v>29</v>
      </c>
      <c r="E6" s="30">
        <v>30000</v>
      </c>
      <c r="F6" s="30">
        <f>SUMIFS(Sheet1!$C$3:$C$1000,Sheet1!$A$3:$A$1000,"BDU",Sheet1!$D$3:$D$1000,D6)</f>
        <v>0</v>
      </c>
    </row>
    <row r="7" spans="1:6" x14ac:dyDescent="0.25">
      <c r="A7" s="80" t="s">
        <v>170</v>
      </c>
      <c r="B7" s="80">
        <f>F13</f>
        <v>0</v>
      </c>
      <c r="C7" s="49"/>
      <c r="D7" s="29" t="s">
        <v>142</v>
      </c>
      <c r="E7" s="30">
        <v>32000</v>
      </c>
      <c r="F7" s="30">
        <f>SUMIFS(Sheet1!$C$3:$C$1000,Sheet1!$A$3:$A$1000,"BDU",Sheet1!$D$3:$D$1000,D7)</f>
        <v>0</v>
      </c>
    </row>
    <row r="8" spans="1:6" x14ac:dyDescent="0.25">
      <c r="A8" s="80" t="s">
        <v>74</v>
      </c>
      <c r="B8" s="79">
        <f>B2+B4+B6</f>
        <v>62000</v>
      </c>
      <c r="C8" s="49"/>
      <c r="D8" s="48"/>
      <c r="E8" s="54"/>
      <c r="F8" s="30"/>
    </row>
    <row r="9" spans="1:6" x14ac:dyDescent="0.25">
      <c r="D9" s="55" t="s">
        <v>114</v>
      </c>
      <c r="E9" s="56">
        <f>0</f>
        <v>0</v>
      </c>
      <c r="F9" s="56">
        <f>0</f>
        <v>0</v>
      </c>
    </row>
    <row r="10" spans="1:6" x14ac:dyDescent="0.25">
      <c r="D10" s="57"/>
      <c r="E10" s="58"/>
      <c r="F10" s="30">
        <f>SUMIFS(Sheet1!$C$3:$C$1000,Sheet1!$A$3:$A$1000,"BDU",Sheet1!$D$3:$D$1000,D10)</f>
        <v>0</v>
      </c>
    </row>
    <row r="11" spans="1:6" x14ac:dyDescent="0.25">
      <c r="D11" s="59" t="s">
        <v>20</v>
      </c>
      <c r="E11" s="60">
        <f>0</f>
        <v>0</v>
      </c>
      <c r="F11" s="60">
        <f>0</f>
        <v>0</v>
      </c>
    </row>
    <row r="12" spans="1:6" x14ac:dyDescent="0.25">
      <c r="D12" s="57"/>
      <c r="E12" s="61"/>
      <c r="F12" s="30">
        <f>SUMIFS(Sheet1!$C$3:$C$1000,Sheet1!$A$3:$A$1000,"BDU",Sheet1!$D$3:$D$1000,D12)</f>
        <v>0</v>
      </c>
    </row>
    <row r="13" spans="1:6" x14ac:dyDescent="0.25">
      <c r="D13" s="62" t="s">
        <v>115</v>
      </c>
      <c r="E13" s="47">
        <f>0</f>
        <v>0</v>
      </c>
      <c r="F13" s="47">
        <f>0</f>
        <v>0</v>
      </c>
    </row>
    <row r="14" spans="1:6" x14ac:dyDescent="0.25">
      <c r="D14" s="29"/>
      <c r="E14" s="29"/>
      <c r="F14" s="30">
        <f>SUMIFS(Sheet1!$C$3:$C$1000,Sheet1!$A$3:$A$1000,"BDU",Sheet1!$D$3:$D$1000,D14)</f>
        <v>0</v>
      </c>
    </row>
    <row r="16" spans="1:6" x14ac:dyDescent="0.25">
      <c r="D16" t="s">
        <v>167</v>
      </c>
      <c r="F16" s="30">
        <f>SUMIFS(Sheet1!$C$3:$C$1000,Sheet1!$A$3:$A$1000,"BDU",Sheet1!$D$3:$D$1000,D16)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0790-6661-473D-99B5-A611035A45AD}">
  <dimension ref="A2:F41"/>
  <sheetViews>
    <sheetView topLeftCell="A25" workbookViewId="0">
      <selection activeCell="B62" sqref="B62"/>
    </sheetView>
  </sheetViews>
  <sheetFormatPr defaultRowHeight="15" x14ac:dyDescent="0.25"/>
  <cols>
    <col min="2" max="2" width="11.7109375" bestFit="1" customWidth="1"/>
    <col min="5" max="5" width="16.5703125" customWidth="1"/>
    <col min="6" max="6" width="15" bestFit="1" customWidth="1"/>
  </cols>
  <sheetData>
    <row r="2" spans="1:6" x14ac:dyDescent="0.25">
      <c r="A2" t="s">
        <v>116</v>
      </c>
      <c r="E2" t="s">
        <v>9</v>
      </c>
      <c r="F2" t="s">
        <v>110</v>
      </c>
    </row>
    <row r="3" spans="1:6" x14ac:dyDescent="0.25">
      <c r="A3" t="s">
        <v>117</v>
      </c>
      <c r="B3" s="13">
        <v>1310600</v>
      </c>
      <c r="E3" s="24" t="s">
        <v>112</v>
      </c>
      <c r="F3" s="24"/>
    </row>
    <row r="4" spans="1:6" x14ac:dyDescent="0.25">
      <c r="A4" t="s">
        <v>118</v>
      </c>
    </row>
    <row r="5" spans="1:6" x14ac:dyDescent="0.25">
      <c r="E5" s="25" t="s">
        <v>113</v>
      </c>
      <c r="F5" s="25"/>
    </row>
    <row r="6" spans="1:6" x14ac:dyDescent="0.25">
      <c r="A6" t="s">
        <v>74</v>
      </c>
      <c r="E6" t="s">
        <v>43</v>
      </c>
      <c r="F6" s="13">
        <v>180000</v>
      </c>
    </row>
    <row r="7" spans="1:6" x14ac:dyDescent="0.25">
      <c r="E7" t="s">
        <v>127</v>
      </c>
      <c r="F7" s="13">
        <v>5000</v>
      </c>
    </row>
    <row r="8" spans="1:6" ht="11.25" customHeight="1" x14ac:dyDescent="0.25">
      <c r="E8" t="s">
        <v>136</v>
      </c>
      <c r="F8" s="13">
        <v>27600</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spans="5:6" hidden="1" x14ac:dyDescent="0.25"/>
    <row r="18" spans="5:6" hidden="1" x14ac:dyDescent="0.25"/>
    <row r="19" spans="5:6" hidden="1" x14ac:dyDescent="0.25"/>
    <row r="20" spans="5:6" hidden="1" x14ac:dyDescent="0.25"/>
    <row r="21" spans="5:6" hidden="1" x14ac:dyDescent="0.25"/>
    <row r="22" spans="5:6" hidden="1" x14ac:dyDescent="0.25"/>
    <row r="23" spans="5:6" hidden="1" x14ac:dyDescent="0.25"/>
    <row r="24" spans="5:6" hidden="1" x14ac:dyDescent="0.25"/>
    <row r="25" spans="5:6" x14ac:dyDescent="0.25">
      <c r="E25" t="s">
        <v>67</v>
      </c>
      <c r="F25" s="13">
        <v>48000</v>
      </c>
    </row>
    <row r="26" spans="5:6" x14ac:dyDescent="0.25">
      <c r="E26" t="s">
        <v>137</v>
      </c>
      <c r="F26" s="13">
        <v>100000</v>
      </c>
    </row>
    <row r="27" spans="5:6" x14ac:dyDescent="0.25">
      <c r="E27" t="s">
        <v>138</v>
      </c>
      <c r="F27" s="13">
        <v>50000</v>
      </c>
    </row>
    <row r="28" spans="5:6" x14ac:dyDescent="0.25">
      <c r="E28" t="s">
        <v>25</v>
      </c>
      <c r="F28" s="13">
        <v>700000</v>
      </c>
    </row>
    <row r="29" spans="5:6" x14ac:dyDescent="0.25">
      <c r="E29" t="s">
        <v>139</v>
      </c>
      <c r="F29" s="13">
        <v>200000</v>
      </c>
    </row>
    <row r="30" spans="5:6" x14ac:dyDescent="0.25">
      <c r="F30" s="13"/>
    </row>
    <row r="31" spans="5:6" x14ac:dyDescent="0.25">
      <c r="F31" s="13"/>
    </row>
    <row r="32" spans="5:6" x14ac:dyDescent="0.25">
      <c r="E32" s="26" t="s">
        <v>114</v>
      </c>
      <c r="F32" s="26"/>
    </row>
    <row r="33" spans="5:6" x14ac:dyDescent="0.25">
      <c r="F33" s="13"/>
    </row>
    <row r="34" spans="5:6" x14ac:dyDescent="0.25">
      <c r="F34" s="13"/>
    </row>
    <row r="35" spans="5:6" x14ac:dyDescent="0.25">
      <c r="F35" s="13"/>
    </row>
    <row r="37" spans="5:6" x14ac:dyDescent="0.25">
      <c r="E37" s="28" t="s">
        <v>20</v>
      </c>
      <c r="F37" s="28"/>
    </row>
    <row r="39" spans="5:6" x14ac:dyDescent="0.25">
      <c r="E39" s="27" t="s">
        <v>115</v>
      </c>
      <c r="F39" s="27"/>
    </row>
    <row r="40" spans="5:6" x14ac:dyDescent="0.25">
      <c r="E40" t="s">
        <v>140</v>
      </c>
      <c r="F40" s="1">
        <v>30000</v>
      </c>
    </row>
    <row r="41" spans="5:6" x14ac:dyDescent="0.25">
      <c r="E41" t="s">
        <v>141</v>
      </c>
      <c r="F41" s="13">
        <v>5000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B6475-D2B3-41E2-A14E-39A2C564E9DF}">
  <dimension ref="A2:F17"/>
  <sheetViews>
    <sheetView workbookViewId="0">
      <selection activeCell="F21" sqref="F21:F22"/>
    </sheetView>
  </sheetViews>
  <sheetFormatPr defaultRowHeight="15" x14ac:dyDescent="0.25"/>
  <cols>
    <col min="1" max="1" width="20.5703125" customWidth="1"/>
    <col min="2" max="2" width="11.5703125" style="80" bestFit="1" customWidth="1"/>
    <col min="4" max="4" width="22.85546875" customWidth="1"/>
    <col min="5" max="5" width="15" bestFit="1" customWidth="1"/>
    <col min="6" max="6" width="14.5703125" customWidth="1"/>
  </cols>
  <sheetData>
    <row r="2" spans="1:6" x14ac:dyDescent="0.25">
      <c r="A2" s="80" t="s">
        <v>116</v>
      </c>
      <c r="B2" s="78">
        <f>E3</f>
        <v>826000</v>
      </c>
      <c r="C2" s="49"/>
      <c r="D2" s="50" t="s">
        <v>9</v>
      </c>
      <c r="E2" s="50" t="s">
        <v>110</v>
      </c>
    </row>
    <row r="3" spans="1:6" x14ac:dyDescent="0.25">
      <c r="A3" s="80" t="s">
        <v>168</v>
      </c>
      <c r="B3" s="78">
        <f>F3</f>
        <v>280000</v>
      </c>
      <c r="C3" s="49"/>
      <c r="D3" s="51" t="s">
        <v>112</v>
      </c>
      <c r="E3" s="68">
        <f>SUM(E4:E6)</f>
        <v>826000</v>
      </c>
      <c r="F3" s="68">
        <f>SUM(F4:F6)</f>
        <v>280000</v>
      </c>
    </row>
    <row r="4" spans="1:6" x14ac:dyDescent="0.25">
      <c r="A4" s="80" t="s">
        <v>117</v>
      </c>
      <c r="B4" s="80">
        <f>E8+E10+E12</f>
        <v>0</v>
      </c>
      <c r="C4" s="49"/>
      <c r="D4" s="61" t="s">
        <v>146</v>
      </c>
      <c r="E4" s="58">
        <v>60000</v>
      </c>
      <c r="F4" s="58">
        <f>SUMIFS(Sheet1!$C$3:$C$1000,Sheet1!$A$3:$A$1000,"Academic",Sheet1!$D$3:$D$1000,D4)</f>
        <v>0</v>
      </c>
    </row>
    <row r="5" spans="1:6" x14ac:dyDescent="0.25">
      <c r="A5" s="80" t="s">
        <v>169</v>
      </c>
      <c r="B5" s="80">
        <f>F8+F10+F12</f>
        <v>0</v>
      </c>
      <c r="C5" s="49"/>
      <c r="D5" s="61" t="s">
        <v>165</v>
      </c>
      <c r="E5" s="58">
        <v>70000</v>
      </c>
      <c r="F5" s="58">
        <f>SUMIFS(Sheet1!$C$3:$C$1000,Sheet1!$A$3:$A$1000,"Academic",Sheet1!$D$3:$D$1000,D5)</f>
        <v>0</v>
      </c>
    </row>
    <row r="6" spans="1:6" x14ac:dyDescent="0.25">
      <c r="A6" s="80" t="s">
        <v>118</v>
      </c>
      <c r="B6" s="80">
        <f>E14</f>
        <v>0</v>
      </c>
      <c r="C6" s="49"/>
      <c r="D6" s="87" t="s">
        <v>11</v>
      </c>
      <c r="E6" s="58">
        <v>696000</v>
      </c>
      <c r="F6" s="58">
        <f>SUMIFS(Sheet1!$C$3:$C$1000,Sheet1!$A$3:$A$1000,"Academic",Sheet1!$D$3:$D$1000,D6)</f>
        <v>280000</v>
      </c>
    </row>
    <row r="7" spans="1:6" x14ac:dyDescent="0.25">
      <c r="A7" s="80" t="s">
        <v>170</v>
      </c>
      <c r="B7" s="80">
        <f>F14</f>
        <v>0</v>
      </c>
      <c r="C7" s="49"/>
      <c r="D7" s="61"/>
      <c r="E7" s="69"/>
      <c r="F7" s="58"/>
    </row>
    <row r="8" spans="1:6" x14ac:dyDescent="0.25">
      <c r="A8" s="80" t="s">
        <v>74</v>
      </c>
      <c r="B8" s="79">
        <f>B2+B4+B6</f>
        <v>826000</v>
      </c>
      <c r="C8" s="49"/>
      <c r="D8" s="52" t="s">
        <v>113</v>
      </c>
      <c r="E8" s="52">
        <f>0</f>
        <v>0</v>
      </c>
      <c r="F8" s="53">
        <f>SUM(F9)</f>
        <v>0</v>
      </c>
    </row>
    <row r="9" spans="1:6" x14ac:dyDescent="0.25">
      <c r="D9" s="29" t="s">
        <v>166</v>
      </c>
      <c r="E9" s="70"/>
      <c r="F9" s="58">
        <f>SUMIFS(Sheet1!$C$3:$C$1000,Sheet1!$A$3:$A$1000,"Academic",Sheet1!$D$3:$D$1000,D9)</f>
        <v>0</v>
      </c>
    </row>
    <row r="10" spans="1:6" x14ac:dyDescent="0.25">
      <c r="D10" s="55" t="s">
        <v>114</v>
      </c>
      <c r="E10" s="56">
        <f>0</f>
        <v>0</v>
      </c>
      <c r="F10" s="63">
        <f>SUM(F11)</f>
        <v>0</v>
      </c>
    </row>
    <row r="11" spans="1:6" x14ac:dyDescent="0.25">
      <c r="D11" s="57"/>
      <c r="E11" s="71"/>
      <c r="F11" s="58">
        <f>SUMIFS(Sheet1!$C$3:$C$1000,Sheet1!$A$3:$A$1000,"Academic",Sheet1!$D$3:$D$1000,D11)</f>
        <v>0</v>
      </c>
    </row>
    <row r="12" spans="1:6" x14ac:dyDescent="0.25">
      <c r="D12" s="59" t="s">
        <v>20</v>
      </c>
      <c r="E12" s="60">
        <f>0</f>
        <v>0</v>
      </c>
      <c r="F12" s="83">
        <f>SUM(F13)</f>
        <v>0</v>
      </c>
    </row>
    <row r="13" spans="1:6" x14ac:dyDescent="0.25">
      <c r="D13" s="57"/>
      <c r="E13" s="61"/>
      <c r="F13" s="58">
        <f>SUMIFS(Sheet1!$C$3:$C$1000,Sheet1!$A$3:$A$1000,"Academic",Sheet1!$D$3:$D$1000,D13)</f>
        <v>0</v>
      </c>
    </row>
    <row r="14" spans="1:6" x14ac:dyDescent="0.25">
      <c r="D14" s="62" t="s">
        <v>115</v>
      </c>
      <c r="E14" s="47">
        <f>0</f>
        <v>0</v>
      </c>
      <c r="F14" s="65">
        <f>SUM(F15)</f>
        <v>0</v>
      </c>
    </row>
    <row r="15" spans="1:6" x14ac:dyDescent="0.25">
      <c r="D15" s="29"/>
      <c r="E15" s="29"/>
      <c r="F15" s="58">
        <f>SUMIFS(Sheet1!$C$3:$C$1000,Sheet1!$A$3:$A$1000,"Academic",Sheet1!$D$3:$D$1000,D15)</f>
        <v>0</v>
      </c>
    </row>
    <row r="17" spans="4:6" x14ac:dyDescent="0.25">
      <c r="D17" t="s">
        <v>167</v>
      </c>
      <c r="F17" s="58">
        <f>SUMIFS(Sheet1!$C$3:$C$1000,Sheet1!$A$3:$A$1000,"Academic",Sheet1!$D$3:$D$1000,D17)</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4479C-055D-4AC9-80B8-B0EFA0CB9F59}">
  <sheetPr filterMode="1"/>
  <dimension ref="A2:G74"/>
  <sheetViews>
    <sheetView workbookViewId="0">
      <pane ySplit="2" topLeftCell="A54" activePane="bottomLeft" state="frozen"/>
      <selection pane="bottomLeft" activeCell="D55" sqref="D55"/>
    </sheetView>
  </sheetViews>
  <sheetFormatPr defaultRowHeight="15" x14ac:dyDescent="0.25"/>
  <cols>
    <col min="1" max="1" width="13.42578125" bestFit="1" customWidth="1"/>
    <col min="2" max="2" width="8" bestFit="1" customWidth="1"/>
    <col min="3" max="3" width="13.28515625" style="1" bestFit="1" customWidth="1"/>
    <col min="4" max="4" width="52.42578125" bestFit="1" customWidth="1"/>
    <col min="5" max="5" width="19.7109375" style="1" bestFit="1" customWidth="1"/>
    <col min="6" max="6" width="18.85546875" style="1" bestFit="1" customWidth="1"/>
    <col min="7" max="7" width="175.140625" customWidth="1"/>
  </cols>
  <sheetData>
    <row r="2" spans="1:7" x14ac:dyDescent="0.25">
      <c r="A2" t="s">
        <v>6</v>
      </c>
      <c r="B2" t="s">
        <v>2</v>
      </c>
      <c r="C2" s="1" t="s">
        <v>1</v>
      </c>
      <c r="D2" t="s">
        <v>9</v>
      </c>
      <c r="E2" s="1" t="s">
        <v>0</v>
      </c>
      <c r="F2" s="1" t="s">
        <v>4</v>
      </c>
      <c r="G2" t="s">
        <v>3</v>
      </c>
    </row>
    <row r="3" spans="1:7" x14ac:dyDescent="0.25">
      <c r="A3" t="s">
        <v>5</v>
      </c>
      <c r="B3">
        <v>149</v>
      </c>
      <c r="C3" s="1">
        <v>280000</v>
      </c>
      <c r="D3" s="1" t="s">
        <v>11</v>
      </c>
      <c r="E3" s="1">
        <v>696000</v>
      </c>
      <c r="F3" s="1">
        <f t="shared" ref="F3:F19" si="0">E3-C3</f>
        <v>416000</v>
      </c>
      <c r="G3" s="2" t="s">
        <v>7</v>
      </c>
    </row>
    <row r="4" spans="1:7" ht="30" hidden="1" x14ac:dyDescent="0.25">
      <c r="A4" t="s">
        <v>8</v>
      </c>
      <c r="B4">
        <v>164</v>
      </c>
      <c r="C4" s="1">
        <v>165000</v>
      </c>
      <c r="D4" s="2" t="s">
        <v>10</v>
      </c>
      <c r="E4" s="72">
        <v>613062</v>
      </c>
      <c r="F4" s="72">
        <f t="shared" si="0"/>
        <v>448062</v>
      </c>
      <c r="G4" s="2" t="s">
        <v>12</v>
      </c>
    </row>
    <row r="5" spans="1:7" hidden="1" x14ac:dyDescent="0.25">
      <c r="A5" t="s">
        <v>13</v>
      </c>
      <c r="B5">
        <v>110</v>
      </c>
      <c r="C5" s="1">
        <v>720000</v>
      </c>
      <c r="D5" t="s">
        <v>14</v>
      </c>
      <c r="E5" s="1">
        <v>720000</v>
      </c>
      <c r="F5" s="1">
        <f t="shared" si="0"/>
        <v>0</v>
      </c>
      <c r="G5" t="s">
        <v>15</v>
      </c>
    </row>
    <row r="6" spans="1:7" hidden="1" x14ac:dyDescent="0.25">
      <c r="A6" t="s">
        <v>13</v>
      </c>
      <c r="B6">
        <v>94</v>
      </c>
      <c r="C6" s="1">
        <v>202800</v>
      </c>
      <c r="D6" s="29" t="s">
        <v>120</v>
      </c>
      <c r="E6" s="1">
        <v>2040000</v>
      </c>
      <c r="F6" s="3">
        <f t="shared" si="0"/>
        <v>1837200</v>
      </c>
      <c r="G6" s="2" t="s">
        <v>16</v>
      </c>
    </row>
    <row r="7" spans="1:7" hidden="1" x14ac:dyDescent="0.25">
      <c r="A7" t="s">
        <v>13</v>
      </c>
      <c r="B7">
        <v>95</v>
      </c>
      <c r="C7" s="1">
        <v>3318600</v>
      </c>
      <c r="D7" t="s">
        <v>17</v>
      </c>
      <c r="E7" s="1">
        <v>3420000</v>
      </c>
      <c r="F7" s="1">
        <f t="shared" si="0"/>
        <v>101400</v>
      </c>
      <c r="G7" t="s">
        <v>19</v>
      </c>
    </row>
    <row r="8" spans="1:7" hidden="1" x14ac:dyDescent="0.25">
      <c r="A8" t="s">
        <v>13</v>
      </c>
      <c r="B8">
        <v>97</v>
      </c>
      <c r="C8" s="1">
        <v>1680792</v>
      </c>
      <c r="D8" s="29" t="s">
        <v>120</v>
      </c>
      <c r="E8" s="3">
        <v>1837200</v>
      </c>
      <c r="F8" s="3">
        <f t="shared" si="0"/>
        <v>156408</v>
      </c>
      <c r="G8" s="2" t="s">
        <v>18</v>
      </c>
    </row>
    <row r="9" spans="1:7" hidden="1" x14ac:dyDescent="0.25">
      <c r="A9" t="s">
        <v>20</v>
      </c>
      <c r="B9">
        <v>170</v>
      </c>
      <c r="C9" s="1">
        <v>0</v>
      </c>
      <c r="D9" t="s">
        <v>22</v>
      </c>
      <c r="E9" s="1">
        <v>360000</v>
      </c>
      <c r="F9" s="1">
        <f t="shared" si="0"/>
        <v>360000</v>
      </c>
      <c r="G9" t="s">
        <v>21</v>
      </c>
    </row>
    <row r="10" spans="1:7" hidden="1" x14ac:dyDescent="0.25">
      <c r="A10" t="s">
        <v>23</v>
      </c>
      <c r="B10">
        <v>173</v>
      </c>
      <c r="C10" s="1">
        <v>0</v>
      </c>
      <c r="D10" t="s">
        <v>25</v>
      </c>
      <c r="E10" s="1">
        <v>700000</v>
      </c>
      <c r="F10" s="3">
        <f t="shared" si="0"/>
        <v>700000</v>
      </c>
      <c r="G10" t="s">
        <v>24</v>
      </c>
    </row>
    <row r="11" spans="1:7" ht="30" hidden="1" x14ac:dyDescent="0.25">
      <c r="A11" t="s">
        <v>23</v>
      </c>
      <c r="B11">
        <v>174</v>
      </c>
      <c r="C11" s="1">
        <v>18750</v>
      </c>
      <c r="D11" t="s">
        <v>25</v>
      </c>
      <c r="E11" s="3">
        <f>F10</f>
        <v>700000</v>
      </c>
      <c r="F11" s="1">
        <f t="shared" si="0"/>
        <v>681250</v>
      </c>
      <c r="G11" s="2" t="s">
        <v>26</v>
      </c>
    </row>
    <row r="12" spans="1:7" ht="30" hidden="1" x14ac:dyDescent="0.25">
      <c r="A12" t="s">
        <v>27</v>
      </c>
      <c r="B12">
        <v>121</v>
      </c>
      <c r="C12" s="1">
        <v>5500</v>
      </c>
      <c r="D12" t="s">
        <v>29</v>
      </c>
      <c r="E12" s="1">
        <v>48000</v>
      </c>
      <c r="F12" s="7">
        <f t="shared" si="0"/>
        <v>42500</v>
      </c>
      <c r="G12" s="2" t="s">
        <v>28</v>
      </c>
    </row>
    <row r="13" spans="1:7" ht="30" hidden="1" x14ac:dyDescent="0.25">
      <c r="A13" t="s">
        <v>30</v>
      </c>
      <c r="B13">
        <v>179</v>
      </c>
      <c r="C13" s="1">
        <v>175000</v>
      </c>
      <c r="D13" t="s">
        <v>31</v>
      </c>
      <c r="E13" s="1">
        <v>175000</v>
      </c>
      <c r="F13" s="1">
        <f t="shared" si="0"/>
        <v>0</v>
      </c>
      <c r="G13" s="2" t="s">
        <v>32</v>
      </c>
    </row>
    <row r="14" spans="1:7" hidden="1" x14ac:dyDescent="0.25">
      <c r="A14" s="4" t="s">
        <v>33</v>
      </c>
      <c r="B14" s="6">
        <v>44956</v>
      </c>
      <c r="C14" s="5">
        <v>20000</v>
      </c>
      <c r="D14" s="4" t="s">
        <v>34</v>
      </c>
      <c r="E14" s="5">
        <v>402000</v>
      </c>
      <c r="F14" s="5">
        <f t="shared" si="0"/>
        <v>382000</v>
      </c>
      <c r="G14" s="4" t="s">
        <v>36</v>
      </c>
    </row>
    <row r="15" spans="1:7" hidden="1" x14ac:dyDescent="0.25">
      <c r="A15" s="4" t="s">
        <v>33</v>
      </c>
      <c r="B15" s="6">
        <v>44956</v>
      </c>
      <c r="C15" s="5">
        <v>-20000</v>
      </c>
      <c r="D15" s="4" t="s">
        <v>35</v>
      </c>
      <c r="E15" s="5">
        <v>6000</v>
      </c>
      <c r="F15" s="5">
        <f t="shared" si="0"/>
        <v>26000</v>
      </c>
      <c r="G15" s="4" t="s">
        <v>37</v>
      </c>
    </row>
    <row r="16" spans="1:7" ht="30" hidden="1" x14ac:dyDescent="0.25">
      <c r="A16" t="s">
        <v>33</v>
      </c>
      <c r="B16">
        <v>184</v>
      </c>
      <c r="C16" s="1">
        <v>16000</v>
      </c>
      <c r="D16" t="s">
        <v>35</v>
      </c>
      <c r="E16" s="1">
        <f>F15</f>
        <v>26000</v>
      </c>
      <c r="F16" s="1">
        <f t="shared" si="0"/>
        <v>10000</v>
      </c>
      <c r="G16" s="2" t="s">
        <v>38</v>
      </c>
    </row>
    <row r="17" spans="1:7" hidden="1" x14ac:dyDescent="0.25">
      <c r="A17" t="s">
        <v>13</v>
      </c>
      <c r="B17">
        <v>172</v>
      </c>
      <c r="C17" s="1">
        <v>34600</v>
      </c>
      <c r="D17" t="s">
        <v>40</v>
      </c>
      <c r="E17" s="1">
        <v>249000</v>
      </c>
      <c r="F17" s="1">
        <f t="shared" si="0"/>
        <v>214400</v>
      </c>
      <c r="G17" t="s">
        <v>39</v>
      </c>
    </row>
    <row r="18" spans="1:7" hidden="1" x14ac:dyDescent="0.25">
      <c r="A18" t="s">
        <v>13</v>
      </c>
      <c r="B18">
        <v>181</v>
      </c>
      <c r="C18" s="1">
        <v>49200</v>
      </c>
      <c r="D18" t="s">
        <v>41</v>
      </c>
      <c r="E18" s="22">
        <v>1690000</v>
      </c>
      <c r="F18" s="22">
        <f t="shared" si="0"/>
        <v>1640800</v>
      </c>
      <c r="G18" t="s">
        <v>42</v>
      </c>
    </row>
    <row r="19" spans="1:7" hidden="1" x14ac:dyDescent="0.25">
      <c r="A19" t="s">
        <v>23</v>
      </c>
      <c r="B19">
        <v>188</v>
      </c>
      <c r="C19" s="1">
        <v>75000</v>
      </c>
      <c r="D19" t="s">
        <v>43</v>
      </c>
      <c r="E19" s="73">
        <v>180000</v>
      </c>
      <c r="F19" s="73">
        <f t="shared" si="0"/>
        <v>105000</v>
      </c>
      <c r="G19" t="s">
        <v>44</v>
      </c>
    </row>
    <row r="20" spans="1:7" hidden="1" x14ac:dyDescent="0.25">
      <c r="A20" t="s">
        <v>27</v>
      </c>
      <c r="B20">
        <v>182</v>
      </c>
      <c r="C20" s="1">
        <v>3000</v>
      </c>
      <c r="D20" t="s">
        <v>29</v>
      </c>
      <c r="E20" s="8">
        <f>F12</f>
        <v>42500</v>
      </c>
      <c r="F20" s="8">
        <f>E20-C20</f>
        <v>39500</v>
      </c>
      <c r="G20" s="2" t="s">
        <v>45</v>
      </c>
    </row>
    <row r="21" spans="1:7" ht="30" hidden="1" x14ac:dyDescent="0.25">
      <c r="A21" t="s">
        <v>27</v>
      </c>
      <c r="B21">
        <v>186</v>
      </c>
      <c r="C21" s="1">
        <v>2000</v>
      </c>
      <c r="D21" t="s">
        <v>29</v>
      </c>
      <c r="E21" s="8">
        <f>F20</f>
        <v>39500</v>
      </c>
      <c r="F21" s="8">
        <f>E21-C21</f>
        <v>37500</v>
      </c>
      <c r="G21" s="2" t="s">
        <v>46</v>
      </c>
    </row>
    <row r="22" spans="1:7" ht="45" hidden="1" x14ac:dyDescent="0.25">
      <c r="A22" t="s">
        <v>66</v>
      </c>
      <c r="B22">
        <v>190</v>
      </c>
      <c r="C22" s="1">
        <v>2000</v>
      </c>
      <c r="D22" t="s">
        <v>67</v>
      </c>
      <c r="E22" s="1">
        <v>100000</v>
      </c>
      <c r="F22" s="19">
        <f>E22-C22</f>
        <v>98000</v>
      </c>
      <c r="G22" s="2" t="s">
        <v>68</v>
      </c>
    </row>
    <row r="23" spans="1:7" ht="30" hidden="1" x14ac:dyDescent="0.25">
      <c r="A23" t="s">
        <v>33</v>
      </c>
      <c r="B23">
        <v>192</v>
      </c>
      <c r="C23" s="1">
        <v>4000</v>
      </c>
      <c r="D23" t="s">
        <v>67</v>
      </c>
      <c r="E23" s="1">
        <v>6000</v>
      </c>
      <c r="F23" s="19">
        <f t="shared" ref="F23:F52" si="1">E23-C23</f>
        <v>2000</v>
      </c>
      <c r="G23" s="2" t="s">
        <v>70</v>
      </c>
    </row>
    <row r="24" spans="1:7" ht="30" hidden="1" x14ac:dyDescent="0.25">
      <c r="A24" t="s">
        <v>33</v>
      </c>
      <c r="B24">
        <v>185</v>
      </c>
      <c r="C24" s="1">
        <v>382000</v>
      </c>
      <c r="D24" t="s">
        <v>34</v>
      </c>
      <c r="E24" s="1">
        <v>382000</v>
      </c>
      <c r="F24" s="19">
        <f t="shared" si="1"/>
        <v>0</v>
      </c>
      <c r="G24" s="2" t="s">
        <v>69</v>
      </c>
    </row>
    <row r="25" spans="1:7" hidden="1" x14ac:dyDescent="0.25">
      <c r="A25" t="s">
        <v>27</v>
      </c>
      <c r="B25">
        <v>191</v>
      </c>
      <c r="C25" s="1">
        <v>1500</v>
      </c>
      <c r="D25" t="s">
        <v>29</v>
      </c>
      <c r="E25" s="8">
        <f>F21</f>
        <v>37500</v>
      </c>
      <c r="F25" s="8">
        <f t="shared" si="1"/>
        <v>36000</v>
      </c>
      <c r="G25" s="2" t="s">
        <v>83</v>
      </c>
    </row>
    <row r="26" spans="1:7" hidden="1" x14ac:dyDescent="0.25">
      <c r="A26" t="s">
        <v>84</v>
      </c>
      <c r="B26">
        <v>194</v>
      </c>
      <c r="C26" s="1">
        <v>18000</v>
      </c>
      <c r="D26" t="s">
        <v>85</v>
      </c>
      <c r="E26" s="1">
        <v>40000</v>
      </c>
      <c r="F26" s="1">
        <f t="shared" si="1"/>
        <v>22000</v>
      </c>
      <c r="G26" t="s">
        <v>86</v>
      </c>
    </row>
    <row r="27" spans="1:7" hidden="1" x14ac:dyDescent="0.25">
      <c r="A27" t="s">
        <v>84</v>
      </c>
      <c r="B27">
        <v>187</v>
      </c>
      <c r="C27" s="1">
        <v>82650</v>
      </c>
      <c r="D27" t="s">
        <v>11</v>
      </c>
      <c r="E27" s="23">
        <v>2021750</v>
      </c>
      <c r="F27" s="23">
        <f t="shared" si="1"/>
        <v>1939100</v>
      </c>
      <c r="G27" t="s">
        <v>87</v>
      </c>
    </row>
    <row r="28" spans="1:7" hidden="1" x14ac:dyDescent="0.25">
      <c r="A28" t="s">
        <v>33</v>
      </c>
      <c r="B28">
        <v>189</v>
      </c>
      <c r="C28" s="1">
        <v>1815000</v>
      </c>
      <c r="D28" t="s">
        <v>89</v>
      </c>
      <c r="E28" s="1">
        <v>4385858.3</v>
      </c>
      <c r="F28" s="1">
        <f t="shared" si="1"/>
        <v>2570858.2999999998</v>
      </c>
      <c r="G28" t="s">
        <v>88</v>
      </c>
    </row>
    <row r="29" spans="1:7" hidden="1" x14ac:dyDescent="0.25">
      <c r="A29" t="s">
        <v>27</v>
      </c>
      <c r="B29">
        <v>203</v>
      </c>
      <c r="C29" s="1">
        <v>3500</v>
      </c>
      <c r="D29" t="s">
        <v>29</v>
      </c>
      <c r="E29" s="8">
        <f>F25</f>
        <v>36000</v>
      </c>
      <c r="F29" s="8">
        <f t="shared" si="1"/>
        <v>32500</v>
      </c>
      <c r="G29" s="2" t="s">
        <v>90</v>
      </c>
    </row>
    <row r="30" spans="1:7" hidden="1" x14ac:dyDescent="0.25">
      <c r="A30" t="s">
        <v>66</v>
      </c>
      <c r="B30">
        <v>204</v>
      </c>
      <c r="C30" s="1">
        <v>14000</v>
      </c>
      <c r="D30" t="s">
        <v>92</v>
      </c>
      <c r="E30" s="1">
        <v>100000</v>
      </c>
      <c r="F30" s="1">
        <f t="shared" si="1"/>
        <v>86000</v>
      </c>
      <c r="G30" t="s">
        <v>91</v>
      </c>
    </row>
    <row r="31" spans="1:7" hidden="1" x14ac:dyDescent="0.25">
      <c r="A31" t="s">
        <v>13</v>
      </c>
      <c r="B31">
        <v>202</v>
      </c>
      <c r="C31" s="1">
        <v>16000</v>
      </c>
      <c r="D31" t="s">
        <v>125</v>
      </c>
      <c r="E31" s="1">
        <v>100000</v>
      </c>
      <c r="F31" s="1">
        <f t="shared" si="1"/>
        <v>84000</v>
      </c>
      <c r="G31" t="s">
        <v>93</v>
      </c>
    </row>
    <row r="32" spans="1:7" ht="30" hidden="1" x14ac:dyDescent="0.25">
      <c r="A32" t="s">
        <v>13</v>
      </c>
      <c r="B32">
        <v>206</v>
      </c>
      <c r="C32" s="1">
        <v>175000</v>
      </c>
      <c r="D32" s="31" t="s">
        <v>126</v>
      </c>
      <c r="E32" s="1">
        <v>1200000</v>
      </c>
      <c r="F32" s="1">
        <f t="shared" si="1"/>
        <v>1025000</v>
      </c>
      <c r="G32" s="2" t="s">
        <v>94</v>
      </c>
    </row>
    <row r="33" spans="1:7" hidden="1" x14ac:dyDescent="0.25">
      <c r="A33" t="s">
        <v>13</v>
      </c>
      <c r="B33">
        <v>207</v>
      </c>
      <c r="C33" s="1">
        <v>130000</v>
      </c>
      <c r="D33" t="s">
        <v>171</v>
      </c>
      <c r="E33" s="1">
        <v>460000</v>
      </c>
      <c r="F33" s="1">
        <f t="shared" si="1"/>
        <v>330000</v>
      </c>
      <c r="G33" s="2" t="s">
        <v>95</v>
      </c>
    </row>
    <row r="34" spans="1:7" ht="30" hidden="1" x14ac:dyDescent="0.25">
      <c r="A34" t="s">
        <v>13</v>
      </c>
      <c r="B34">
        <v>208</v>
      </c>
      <c r="C34" s="1">
        <v>0</v>
      </c>
      <c r="D34" t="s">
        <v>172</v>
      </c>
      <c r="E34" s="1">
        <f>F32</f>
        <v>1025000</v>
      </c>
      <c r="F34" s="1">
        <f t="shared" si="1"/>
        <v>1025000</v>
      </c>
      <c r="G34" s="2" t="s">
        <v>96</v>
      </c>
    </row>
    <row r="35" spans="1:7" hidden="1" x14ac:dyDescent="0.25">
      <c r="A35" s="74" t="s">
        <v>13</v>
      </c>
      <c r="B35" s="74">
        <v>209</v>
      </c>
      <c r="C35" s="75">
        <v>0</v>
      </c>
      <c r="D35" s="74" t="s">
        <v>173</v>
      </c>
      <c r="E35" s="75">
        <v>180000</v>
      </c>
      <c r="F35" s="75">
        <f t="shared" si="1"/>
        <v>180000</v>
      </c>
      <c r="G35" s="74" t="s">
        <v>174</v>
      </c>
    </row>
    <row r="36" spans="1:7" hidden="1" x14ac:dyDescent="0.25">
      <c r="A36" t="s">
        <v>13</v>
      </c>
      <c r="B36">
        <v>216</v>
      </c>
      <c r="C36" s="1">
        <v>46500</v>
      </c>
      <c r="D36" t="s">
        <v>98</v>
      </c>
      <c r="E36" s="1">
        <v>500000</v>
      </c>
      <c r="F36" s="1">
        <f t="shared" si="1"/>
        <v>453500</v>
      </c>
      <c r="G36" s="2" t="s">
        <v>99</v>
      </c>
    </row>
    <row r="37" spans="1:7" hidden="1" x14ac:dyDescent="0.25">
      <c r="A37" t="s">
        <v>13</v>
      </c>
      <c r="B37">
        <v>217</v>
      </c>
      <c r="C37" s="1">
        <v>34289.599999999999</v>
      </c>
      <c r="D37" t="s">
        <v>41</v>
      </c>
      <c r="E37" s="22">
        <f>F18</f>
        <v>1640800</v>
      </c>
      <c r="F37" s="22">
        <f t="shared" si="1"/>
        <v>1606510.4</v>
      </c>
      <c r="G37" t="s">
        <v>100</v>
      </c>
    </row>
    <row r="38" spans="1:7" hidden="1" x14ac:dyDescent="0.25">
      <c r="A38" t="s">
        <v>84</v>
      </c>
      <c r="B38">
        <v>213</v>
      </c>
      <c r="C38" s="1">
        <v>34314</v>
      </c>
      <c r="D38" t="s">
        <v>11</v>
      </c>
      <c r="E38" s="23">
        <f>F27</f>
        <v>1939100</v>
      </c>
      <c r="F38" s="23">
        <f t="shared" si="1"/>
        <v>1904786</v>
      </c>
      <c r="G38" s="2" t="s">
        <v>101</v>
      </c>
    </row>
    <row r="39" spans="1:7" ht="30" hidden="1" x14ac:dyDescent="0.25">
      <c r="A39" t="s">
        <v>102</v>
      </c>
      <c r="B39">
        <v>222</v>
      </c>
      <c r="C39" s="1">
        <v>50000</v>
      </c>
      <c r="D39" t="s">
        <v>104</v>
      </c>
      <c r="E39" s="1">
        <v>159992</v>
      </c>
      <c r="F39" s="1">
        <f t="shared" si="1"/>
        <v>109992</v>
      </c>
      <c r="G39" s="2" t="s">
        <v>103</v>
      </c>
    </row>
    <row r="40" spans="1:7" hidden="1" x14ac:dyDescent="0.25">
      <c r="A40" t="s">
        <v>66</v>
      </c>
      <c r="B40">
        <v>219</v>
      </c>
      <c r="C40" s="1">
        <v>12500</v>
      </c>
      <c r="D40" t="s">
        <v>67</v>
      </c>
      <c r="E40" s="1">
        <f>F22</f>
        <v>98000</v>
      </c>
      <c r="F40" s="19">
        <f t="shared" si="1"/>
        <v>85500</v>
      </c>
      <c r="G40" t="s">
        <v>105</v>
      </c>
    </row>
    <row r="41" spans="1:7" ht="30" hidden="1" x14ac:dyDescent="0.25">
      <c r="A41" t="s">
        <v>106</v>
      </c>
      <c r="B41">
        <v>211</v>
      </c>
      <c r="C41" s="1">
        <v>176000</v>
      </c>
      <c r="D41" t="s">
        <v>107</v>
      </c>
      <c r="E41" s="1" t="s">
        <v>109</v>
      </c>
      <c r="F41" s="19">
        <v>0</v>
      </c>
      <c r="G41" s="2" t="s">
        <v>108</v>
      </c>
    </row>
    <row r="42" spans="1:7" hidden="1" x14ac:dyDescent="0.25">
      <c r="A42" t="s">
        <v>27</v>
      </c>
      <c r="B42">
        <v>225</v>
      </c>
      <c r="C42" s="1">
        <v>7000</v>
      </c>
      <c r="D42" t="s">
        <v>29</v>
      </c>
      <c r="E42" s="8">
        <f>F29</f>
        <v>32500</v>
      </c>
      <c r="F42" s="8">
        <f t="shared" si="1"/>
        <v>25500</v>
      </c>
      <c r="G42" t="s">
        <v>175</v>
      </c>
    </row>
    <row r="43" spans="1:7" hidden="1" x14ac:dyDescent="0.25">
      <c r="A43" t="s">
        <v>13</v>
      </c>
      <c r="B43">
        <v>228</v>
      </c>
      <c r="C43" s="1">
        <v>50000</v>
      </c>
      <c r="D43" t="s">
        <v>173</v>
      </c>
      <c r="E43" s="1">
        <v>180000</v>
      </c>
      <c r="F43" s="1">
        <f t="shared" si="1"/>
        <v>130000</v>
      </c>
      <c r="G43" t="s">
        <v>97</v>
      </c>
    </row>
    <row r="44" spans="1:7" hidden="1" x14ac:dyDescent="0.25">
      <c r="A44" t="s">
        <v>27</v>
      </c>
      <c r="B44">
        <v>198</v>
      </c>
      <c r="C44" s="1">
        <v>3000</v>
      </c>
      <c r="D44" t="s">
        <v>29</v>
      </c>
      <c r="E44" s="8">
        <f>F42</f>
        <v>25500</v>
      </c>
      <c r="F44" s="8">
        <f t="shared" si="1"/>
        <v>22500</v>
      </c>
      <c r="G44" t="s">
        <v>176</v>
      </c>
    </row>
    <row r="45" spans="1:7" hidden="1" x14ac:dyDescent="0.25">
      <c r="A45" t="s">
        <v>8</v>
      </c>
      <c r="B45">
        <v>205</v>
      </c>
      <c r="C45" s="1">
        <v>6100</v>
      </c>
      <c r="D45" t="s">
        <v>132</v>
      </c>
      <c r="E45" s="1">
        <v>155000</v>
      </c>
      <c r="F45" s="1">
        <f t="shared" si="1"/>
        <v>148900</v>
      </c>
      <c r="G45" t="s">
        <v>177</v>
      </c>
    </row>
    <row r="46" spans="1:7" hidden="1" x14ac:dyDescent="0.25">
      <c r="A46" t="s">
        <v>33</v>
      </c>
      <c r="B46">
        <v>224</v>
      </c>
      <c r="C46" s="1">
        <v>30000</v>
      </c>
      <c r="D46" t="s">
        <v>178</v>
      </c>
      <c r="E46" s="1">
        <v>583404.68131239631</v>
      </c>
      <c r="F46" s="1">
        <f t="shared" si="1"/>
        <v>553404.68131239631</v>
      </c>
      <c r="G46" t="s">
        <v>179</v>
      </c>
    </row>
    <row r="47" spans="1:7" hidden="1" x14ac:dyDescent="0.25">
      <c r="A47" t="s">
        <v>20</v>
      </c>
      <c r="B47">
        <v>227</v>
      </c>
      <c r="C47" s="1">
        <v>13000</v>
      </c>
      <c r="D47" t="s">
        <v>180</v>
      </c>
      <c r="E47" s="1">
        <v>2640986.3199999998</v>
      </c>
      <c r="F47" s="1">
        <f t="shared" si="1"/>
        <v>2627986.3199999998</v>
      </c>
      <c r="G47" t="s">
        <v>181</v>
      </c>
    </row>
    <row r="48" spans="1:7" ht="30" hidden="1" x14ac:dyDescent="0.25">
      <c r="A48" t="s">
        <v>13</v>
      </c>
      <c r="B48">
        <v>231</v>
      </c>
      <c r="C48" s="1">
        <v>280000</v>
      </c>
      <c r="D48" s="31" t="s">
        <v>126</v>
      </c>
      <c r="E48" s="1">
        <f>F34</f>
        <v>1025000</v>
      </c>
      <c r="F48" s="1">
        <f t="shared" si="1"/>
        <v>745000</v>
      </c>
      <c r="G48" s="2" t="s">
        <v>182</v>
      </c>
    </row>
    <row r="49" spans="1:7" hidden="1" x14ac:dyDescent="0.25">
      <c r="A49" t="s">
        <v>8</v>
      </c>
      <c r="B49">
        <v>229</v>
      </c>
      <c r="C49" s="1">
        <v>90000</v>
      </c>
      <c r="D49" t="s">
        <v>127</v>
      </c>
      <c r="E49" s="1">
        <v>419000</v>
      </c>
      <c r="F49" s="1">
        <f t="shared" si="1"/>
        <v>329000</v>
      </c>
      <c r="G49" s="2" t="s">
        <v>183</v>
      </c>
    </row>
    <row r="50" spans="1:7" hidden="1" x14ac:dyDescent="0.25">
      <c r="A50" t="s">
        <v>23</v>
      </c>
      <c r="B50">
        <v>235</v>
      </c>
      <c r="C50" s="1">
        <v>29564</v>
      </c>
      <c r="D50" t="s">
        <v>184</v>
      </c>
      <c r="E50" s="1">
        <v>30000</v>
      </c>
      <c r="F50" s="1">
        <f t="shared" si="1"/>
        <v>436</v>
      </c>
      <c r="G50" t="s">
        <v>185</v>
      </c>
    </row>
    <row r="51" spans="1:7" hidden="1" x14ac:dyDescent="0.25">
      <c r="A51" t="s">
        <v>33</v>
      </c>
      <c r="B51">
        <v>237</v>
      </c>
      <c r="C51" s="1">
        <v>18000</v>
      </c>
      <c r="D51" t="s">
        <v>29</v>
      </c>
      <c r="E51" s="76">
        <v>60000</v>
      </c>
      <c r="F51" s="76">
        <f t="shared" si="1"/>
        <v>42000</v>
      </c>
      <c r="G51" t="s">
        <v>186</v>
      </c>
    </row>
    <row r="52" spans="1:7" hidden="1" x14ac:dyDescent="0.25">
      <c r="A52" t="s">
        <v>84</v>
      </c>
      <c r="B52">
        <v>230</v>
      </c>
      <c r="C52" s="1">
        <v>30000</v>
      </c>
      <c r="D52" t="s">
        <v>11</v>
      </c>
      <c r="E52" s="23">
        <f>F38</f>
        <v>1904786</v>
      </c>
      <c r="F52" s="23">
        <f t="shared" si="1"/>
        <v>1874786</v>
      </c>
      <c r="G52" s="2" t="s">
        <v>187</v>
      </c>
    </row>
    <row r="53" spans="1:7" hidden="1" x14ac:dyDescent="0.25">
      <c r="A53" t="s">
        <v>13</v>
      </c>
      <c r="B53">
        <v>233</v>
      </c>
      <c r="C53" s="1">
        <v>288000</v>
      </c>
      <c r="D53" t="s">
        <v>171</v>
      </c>
      <c r="E53" s="1">
        <v>460000</v>
      </c>
      <c r="F53" s="1">
        <f>E53-C53</f>
        <v>172000</v>
      </c>
      <c r="G53" t="s">
        <v>188</v>
      </c>
    </row>
    <row r="54" spans="1:7" hidden="1" x14ac:dyDescent="0.25">
      <c r="A54" t="s">
        <v>13</v>
      </c>
      <c r="B54">
        <v>232</v>
      </c>
      <c r="C54" s="1">
        <v>79500</v>
      </c>
      <c r="D54" t="s">
        <v>189</v>
      </c>
      <c r="E54" s="1">
        <v>100000</v>
      </c>
      <c r="F54" s="1">
        <f>E54-C54</f>
        <v>20500</v>
      </c>
      <c r="G54" t="s">
        <v>190</v>
      </c>
    </row>
    <row r="55" spans="1:7" hidden="1" x14ac:dyDescent="0.25">
      <c r="A55" t="s">
        <v>102</v>
      </c>
      <c r="B55">
        <v>249</v>
      </c>
      <c r="C55" s="1">
        <v>8000</v>
      </c>
      <c r="D55" t="s">
        <v>129</v>
      </c>
      <c r="E55" s="1">
        <v>162000</v>
      </c>
      <c r="F55" s="1">
        <f t="shared" ref="F55" si="2">E55-C55</f>
        <v>154000</v>
      </c>
      <c r="G55" s="2" t="s">
        <v>191</v>
      </c>
    </row>
    <row r="56" spans="1:7" hidden="1" x14ac:dyDescent="0.25">
      <c r="A56" t="s">
        <v>33</v>
      </c>
      <c r="B56">
        <v>245</v>
      </c>
      <c r="C56" s="1">
        <v>7500</v>
      </c>
      <c r="D56" t="s">
        <v>29</v>
      </c>
      <c r="E56" s="76">
        <f>F51</f>
        <v>42000</v>
      </c>
      <c r="F56" s="76">
        <f>E56-C56</f>
        <v>34500</v>
      </c>
      <c r="G56" t="s">
        <v>186</v>
      </c>
    </row>
    <row r="57" spans="1:7" hidden="1" x14ac:dyDescent="0.25">
      <c r="A57" t="s">
        <v>13</v>
      </c>
      <c r="B57">
        <v>239</v>
      </c>
      <c r="C57" s="1">
        <v>39140.11</v>
      </c>
      <c r="D57" t="s">
        <v>127</v>
      </c>
      <c r="E57" s="1">
        <v>75000</v>
      </c>
      <c r="F57" s="1">
        <f>E57-C57</f>
        <v>35859.89</v>
      </c>
      <c r="G57" t="s">
        <v>192</v>
      </c>
    </row>
    <row r="58" spans="1:7" hidden="1" x14ac:dyDescent="0.25">
      <c r="A58" t="s">
        <v>193</v>
      </c>
      <c r="B58">
        <v>240</v>
      </c>
      <c r="C58" s="1">
        <v>10000</v>
      </c>
      <c r="D58" t="s">
        <v>152</v>
      </c>
      <c r="E58" s="1">
        <v>166038</v>
      </c>
      <c r="F58" s="1">
        <f>E58-C58</f>
        <v>156038</v>
      </c>
      <c r="G58" s="2" t="s">
        <v>194</v>
      </c>
    </row>
    <row r="59" spans="1:7" hidden="1" x14ac:dyDescent="0.25">
      <c r="A59" t="s">
        <v>84</v>
      </c>
      <c r="B59">
        <v>246</v>
      </c>
      <c r="C59" s="1">
        <v>1040</v>
      </c>
      <c r="D59" t="s">
        <v>11</v>
      </c>
      <c r="E59" s="23">
        <f>F52</f>
        <v>1874786</v>
      </c>
      <c r="F59" s="23">
        <f t="shared" ref="F59" si="3">E59-C59</f>
        <v>1873746</v>
      </c>
      <c r="G59" t="s">
        <v>195</v>
      </c>
    </row>
    <row r="60" spans="1:7" hidden="1" x14ac:dyDescent="0.25">
      <c r="A60" t="s">
        <v>13</v>
      </c>
      <c r="B60">
        <v>223</v>
      </c>
      <c r="C60" s="1">
        <v>125297.38</v>
      </c>
      <c r="D60" t="s">
        <v>196</v>
      </c>
      <c r="E60" s="1">
        <v>298526.87</v>
      </c>
      <c r="F60" s="1">
        <f>E60-C60</f>
        <v>173229.49</v>
      </c>
      <c r="G60" t="s">
        <v>197</v>
      </c>
    </row>
    <row r="61" spans="1:7" hidden="1" x14ac:dyDescent="0.25">
      <c r="A61" t="s">
        <v>13</v>
      </c>
      <c r="B61">
        <v>256</v>
      </c>
      <c r="C61" s="1">
        <v>14150</v>
      </c>
      <c r="D61" t="s">
        <v>41</v>
      </c>
      <c r="E61" s="22">
        <f>F37</f>
        <v>1606510.4</v>
      </c>
      <c r="F61" s="22">
        <f>E61-C61</f>
        <v>1592360.4</v>
      </c>
      <c r="G61" t="s">
        <v>198</v>
      </c>
    </row>
    <row r="62" spans="1:7" hidden="1" x14ac:dyDescent="0.25">
      <c r="A62" t="s">
        <v>8</v>
      </c>
      <c r="B62">
        <v>241</v>
      </c>
      <c r="C62" s="1">
        <v>840000</v>
      </c>
      <c r="D62" t="s">
        <v>199</v>
      </c>
      <c r="E62" s="1">
        <v>840000</v>
      </c>
      <c r="F62" s="1">
        <f t="shared" ref="F62:F63" si="4">E62-C62</f>
        <v>0</v>
      </c>
      <c r="G62" t="s">
        <v>200</v>
      </c>
    </row>
    <row r="63" spans="1:7" ht="30" hidden="1" x14ac:dyDescent="0.25">
      <c r="A63" t="s">
        <v>8</v>
      </c>
      <c r="B63">
        <v>254</v>
      </c>
      <c r="C63" s="1">
        <v>138000</v>
      </c>
      <c r="D63" t="s">
        <v>10</v>
      </c>
      <c r="E63" s="72">
        <f>F4</f>
        <v>448062</v>
      </c>
      <c r="F63" s="72">
        <f t="shared" si="4"/>
        <v>310062</v>
      </c>
      <c r="G63" s="2" t="s">
        <v>201</v>
      </c>
    </row>
    <row r="64" spans="1:7" hidden="1" x14ac:dyDescent="0.25">
      <c r="A64" t="s">
        <v>13</v>
      </c>
      <c r="B64">
        <v>243</v>
      </c>
      <c r="C64" s="1">
        <v>47500</v>
      </c>
      <c r="D64" t="s">
        <v>41</v>
      </c>
      <c r="E64" s="22">
        <f>F61</f>
        <v>1592360.4</v>
      </c>
      <c r="F64" s="22">
        <f>E64-C64</f>
        <v>1544860.4</v>
      </c>
      <c r="G64" t="s">
        <v>202</v>
      </c>
    </row>
    <row r="65" spans="1:7" hidden="1" x14ac:dyDescent="0.25">
      <c r="A65" t="s">
        <v>84</v>
      </c>
      <c r="B65">
        <v>247</v>
      </c>
      <c r="C65" s="1">
        <v>6750</v>
      </c>
      <c r="D65" t="s">
        <v>11</v>
      </c>
      <c r="E65" s="23">
        <f>F59</f>
        <v>1873746</v>
      </c>
      <c r="F65" s="23">
        <f t="shared" ref="F65:F72" si="5">E65-C65</f>
        <v>1866996</v>
      </c>
      <c r="G65" t="s">
        <v>203</v>
      </c>
    </row>
    <row r="66" spans="1:7" hidden="1" x14ac:dyDescent="0.25">
      <c r="A66" t="s">
        <v>13</v>
      </c>
      <c r="B66">
        <v>257</v>
      </c>
      <c r="C66" s="1">
        <v>26184</v>
      </c>
      <c r="D66" t="s">
        <v>41</v>
      </c>
      <c r="E66" s="22">
        <f>F64</f>
        <v>1544860.4</v>
      </c>
      <c r="F66" s="22">
        <f t="shared" si="5"/>
        <v>1518676.4</v>
      </c>
      <c r="G66" t="s">
        <v>204</v>
      </c>
    </row>
    <row r="67" spans="1:7" hidden="1" x14ac:dyDescent="0.25">
      <c r="A67" t="s">
        <v>13</v>
      </c>
      <c r="B67">
        <v>250</v>
      </c>
      <c r="C67" s="1">
        <v>43050</v>
      </c>
      <c r="D67" s="29" t="s">
        <v>120</v>
      </c>
      <c r="E67" s="3">
        <f>F8</f>
        <v>156408</v>
      </c>
      <c r="F67" s="3">
        <f t="shared" si="5"/>
        <v>113358</v>
      </c>
      <c r="G67" t="s">
        <v>205</v>
      </c>
    </row>
    <row r="68" spans="1:7" hidden="1" x14ac:dyDescent="0.25">
      <c r="A68" t="s">
        <v>13</v>
      </c>
      <c r="B68">
        <v>258</v>
      </c>
      <c r="C68" s="1">
        <v>15000</v>
      </c>
      <c r="D68" t="s">
        <v>41</v>
      </c>
      <c r="E68" s="22">
        <f>F66</f>
        <v>1518676.4</v>
      </c>
      <c r="F68" s="22">
        <f t="shared" si="5"/>
        <v>1503676.4</v>
      </c>
      <c r="G68" s="2" t="s">
        <v>206</v>
      </c>
    </row>
    <row r="69" spans="1:7" hidden="1" x14ac:dyDescent="0.25">
      <c r="A69" t="s">
        <v>23</v>
      </c>
      <c r="B69">
        <v>260</v>
      </c>
      <c r="C69" s="1">
        <v>40000</v>
      </c>
      <c r="D69" t="s">
        <v>139</v>
      </c>
      <c r="E69" s="1">
        <v>200000</v>
      </c>
      <c r="F69" s="1">
        <f t="shared" si="5"/>
        <v>160000</v>
      </c>
      <c r="G69" t="s">
        <v>207</v>
      </c>
    </row>
    <row r="70" spans="1:7" hidden="1" x14ac:dyDescent="0.25">
      <c r="A70" t="s">
        <v>23</v>
      </c>
      <c r="B70">
        <v>261</v>
      </c>
      <c r="C70" s="1">
        <v>13800</v>
      </c>
      <c r="D70" t="s">
        <v>173</v>
      </c>
      <c r="E70" s="73">
        <f>F19</f>
        <v>105000</v>
      </c>
      <c r="F70" s="73">
        <f t="shared" si="5"/>
        <v>91200</v>
      </c>
      <c r="G70" t="s">
        <v>208</v>
      </c>
    </row>
    <row r="71" spans="1:7" hidden="1" x14ac:dyDescent="0.25">
      <c r="A71" t="s">
        <v>13</v>
      </c>
      <c r="B71">
        <v>263</v>
      </c>
      <c r="C71" s="1">
        <v>19500</v>
      </c>
      <c r="D71" t="s">
        <v>41</v>
      </c>
      <c r="E71" s="22">
        <f>F68</f>
        <v>1503676.4</v>
      </c>
      <c r="F71" s="22">
        <f t="shared" si="5"/>
        <v>1484176.4</v>
      </c>
      <c r="G71" s="2" t="s">
        <v>209</v>
      </c>
    </row>
    <row r="72" spans="1:7" ht="30" hidden="1" x14ac:dyDescent="0.25">
      <c r="A72" t="s">
        <v>13</v>
      </c>
      <c r="B72">
        <v>264</v>
      </c>
      <c r="C72" s="1">
        <v>30000</v>
      </c>
      <c r="D72" t="s">
        <v>40</v>
      </c>
      <c r="E72" s="1">
        <f>F17</f>
        <v>214400</v>
      </c>
      <c r="F72" s="1">
        <f t="shared" si="5"/>
        <v>184400</v>
      </c>
      <c r="G72" s="2" t="s">
        <v>210</v>
      </c>
    </row>
    <row r="74" spans="1:7" x14ac:dyDescent="0.25">
      <c r="A74" t="s">
        <v>30</v>
      </c>
      <c r="B74">
        <v>555</v>
      </c>
      <c r="C74" s="1">
        <v>500000</v>
      </c>
      <c r="D74" t="s">
        <v>167</v>
      </c>
    </row>
  </sheetData>
  <autoFilter ref="A2:G72" xr:uid="{8654479C-055D-4AC9-80B8-B0EFA0CB9F59}">
    <filterColumn colId="0">
      <filters>
        <filter val="Academic"/>
      </filters>
    </filterColumn>
  </autoFilter>
  <conditionalFormatting sqref="B1:B1048576">
    <cfRule type="duplicateValues" dxfId="0"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E2122-AE31-4679-AC27-93EA2C194488}">
  <dimension ref="C1:F8"/>
  <sheetViews>
    <sheetView workbookViewId="0">
      <selection activeCell="G22" sqref="G22"/>
    </sheetView>
  </sheetViews>
  <sheetFormatPr defaultRowHeight="15" x14ac:dyDescent="0.25"/>
  <cols>
    <col min="4" max="4" width="14.7109375" customWidth="1"/>
    <col min="5" max="5" width="36.85546875" bestFit="1" customWidth="1"/>
    <col min="6" max="6" width="11.5703125" bestFit="1" customWidth="1"/>
  </cols>
  <sheetData>
    <row r="1" spans="3:6" ht="15.75" thickBot="1" x14ac:dyDescent="0.3"/>
    <row r="2" spans="3:6" ht="15.75" thickBot="1" x14ac:dyDescent="0.3">
      <c r="C2" s="84" t="s">
        <v>82</v>
      </c>
      <c r="D2" s="85"/>
      <c r="E2" s="85"/>
      <c r="F2" s="86"/>
    </row>
    <row r="3" spans="3:6" ht="15.75" thickBot="1" x14ac:dyDescent="0.3">
      <c r="C3" s="21" t="s">
        <v>78</v>
      </c>
      <c r="D3" s="21" t="s">
        <v>79</v>
      </c>
      <c r="E3" s="21" t="s">
        <v>80</v>
      </c>
      <c r="F3" s="21" t="s">
        <v>81</v>
      </c>
    </row>
    <row r="4" spans="3:6" ht="15.75" thickBot="1" x14ac:dyDescent="0.3">
      <c r="C4" s="21" t="s">
        <v>75</v>
      </c>
      <c r="D4" s="21" t="s">
        <v>71</v>
      </c>
      <c r="E4" s="21" t="s">
        <v>73</v>
      </c>
      <c r="F4" s="20">
        <v>100360</v>
      </c>
    </row>
    <row r="5" spans="3:6" ht="15.75" thickBot="1" x14ac:dyDescent="0.3">
      <c r="C5" s="21" t="s">
        <v>77</v>
      </c>
      <c r="D5" s="21" t="s">
        <v>71</v>
      </c>
      <c r="E5" s="21" t="s">
        <v>73</v>
      </c>
      <c r="F5" s="20">
        <v>20644.25</v>
      </c>
    </row>
    <row r="6" spans="3:6" ht="15.75" thickBot="1" x14ac:dyDescent="0.3">
      <c r="C6" s="21" t="s">
        <v>76</v>
      </c>
      <c r="D6" s="21" t="s">
        <v>71</v>
      </c>
      <c r="E6" s="21" t="s">
        <v>73</v>
      </c>
      <c r="F6" s="20">
        <v>5220.04</v>
      </c>
    </row>
    <row r="7" spans="3:6" ht="15.75" thickBot="1" x14ac:dyDescent="0.3">
      <c r="C7" s="21" t="s">
        <v>76</v>
      </c>
      <c r="D7" s="21" t="s">
        <v>72</v>
      </c>
      <c r="E7" s="21" t="s">
        <v>73</v>
      </c>
      <c r="F7" s="20">
        <v>74744.72</v>
      </c>
    </row>
    <row r="8" spans="3:6" ht="15.75" thickBot="1" x14ac:dyDescent="0.3">
      <c r="C8" s="84" t="s">
        <v>74</v>
      </c>
      <c r="D8" s="85"/>
      <c r="E8" s="85"/>
      <c r="F8" s="20">
        <f>SUM(F4:F7)</f>
        <v>200969.01</v>
      </c>
    </row>
  </sheetData>
  <mergeCells count="2">
    <mergeCell ref="C8:E8"/>
    <mergeCell ref="C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61C25-B641-48B7-B4C2-9F6C28E39B55}">
  <dimension ref="D2:I37"/>
  <sheetViews>
    <sheetView topLeftCell="A3" workbookViewId="0">
      <selection activeCell="D36" sqref="D36"/>
    </sheetView>
  </sheetViews>
  <sheetFormatPr defaultRowHeight="15" x14ac:dyDescent="0.25"/>
  <cols>
    <col min="6" max="6" width="44.42578125" bestFit="1" customWidth="1"/>
    <col min="7" max="7" width="10.140625" bestFit="1" customWidth="1"/>
    <col min="8" max="8" width="10.7109375" bestFit="1" customWidth="1"/>
  </cols>
  <sheetData>
    <row r="2" spans="4:8" x14ac:dyDescent="0.25">
      <c r="D2" t="s">
        <v>47</v>
      </c>
    </row>
    <row r="3" spans="4:8" x14ac:dyDescent="0.25">
      <c r="E3" t="s">
        <v>48</v>
      </c>
      <c r="F3" t="s">
        <v>49</v>
      </c>
      <c r="G3" t="s">
        <v>50</v>
      </c>
    </row>
    <row r="4" spans="4:8" x14ac:dyDescent="0.25">
      <c r="E4" s="9">
        <v>44948</v>
      </c>
      <c r="F4" t="s">
        <v>52</v>
      </c>
      <c r="G4" s="9">
        <v>44948</v>
      </c>
    </row>
    <row r="5" spans="4:8" x14ac:dyDescent="0.25">
      <c r="E5" s="9">
        <v>44979</v>
      </c>
      <c r="F5" t="s">
        <v>53</v>
      </c>
      <c r="G5" s="9">
        <v>44979</v>
      </c>
      <c r="H5" t="s">
        <v>54</v>
      </c>
    </row>
    <row r="6" spans="4:8" x14ac:dyDescent="0.25">
      <c r="E6" s="9">
        <v>45007</v>
      </c>
      <c r="F6" t="s">
        <v>53</v>
      </c>
      <c r="G6" s="9">
        <v>45007</v>
      </c>
      <c r="H6" t="s">
        <v>54</v>
      </c>
    </row>
    <row r="7" spans="4:8" x14ac:dyDescent="0.25">
      <c r="E7" s="9">
        <v>45038</v>
      </c>
      <c r="F7" t="s">
        <v>52</v>
      </c>
      <c r="G7" s="9">
        <v>45038</v>
      </c>
    </row>
    <row r="8" spans="4:8" x14ac:dyDescent="0.25">
      <c r="E8" s="9">
        <v>45068</v>
      </c>
      <c r="F8" t="s">
        <v>51</v>
      </c>
      <c r="G8" s="9">
        <v>45160</v>
      </c>
      <c r="H8" t="s">
        <v>57</v>
      </c>
    </row>
    <row r="9" spans="4:8" x14ac:dyDescent="0.25">
      <c r="E9" s="9">
        <v>45099</v>
      </c>
      <c r="F9" t="s">
        <v>51</v>
      </c>
      <c r="G9" s="9">
        <v>45160</v>
      </c>
      <c r="H9" t="s">
        <v>57</v>
      </c>
    </row>
    <row r="10" spans="4:8" x14ac:dyDescent="0.25">
      <c r="E10" s="9">
        <v>45129</v>
      </c>
      <c r="F10" t="s">
        <v>52</v>
      </c>
      <c r="G10" s="9">
        <v>45129</v>
      </c>
    </row>
    <row r="11" spans="4:8" x14ac:dyDescent="0.25">
      <c r="E11" s="9">
        <v>45160</v>
      </c>
      <c r="F11" t="s">
        <v>52</v>
      </c>
      <c r="G11" s="9">
        <v>45160</v>
      </c>
    </row>
    <row r="12" spans="4:8" x14ac:dyDescent="0.25">
      <c r="E12" s="9">
        <v>45191</v>
      </c>
      <c r="F12" t="s">
        <v>52</v>
      </c>
      <c r="G12" s="9">
        <v>45191</v>
      </c>
    </row>
    <row r="13" spans="4:8" x14ac:dyDescent="0.25">
      <c r="E13" s="9">
        <v>45221</v>
      </c>
      <c r="F13" t="s">
        <v>52</v>
      </c>
      <c r="G13" s="9">
        <v>45221</v>
      </c>
    </row>
    <row r="14" spans="4:8" x14ac:dyDescent="0.25">
      <c r="E14" s="9">
        <v>45252</v>
      </c>
      <c r="F14" t="s">
        <v>52</v>
      </c>
      <c r="G14" s="9">
        <v>45252</v>
      </c>
    </row>
    <row r="15" spans="4:8" x14ac:dyDescent="0.25">
      <c r="E15" s="9">
        <v>45282</v>
      </c>
      <c r="F15" t="s">
        <v>53</v>
      </c>
      <c r="G15" s="9">
        <v>45282</v>
      </c>
      <c r="H15" t="s">
        <v>54</v>
      </c>
    </row>
    <row r="23" spans="5:9" ht="15.75" x14ac:dyDescent="0.25">
      <c r="I23" s="10" t="s">
        <v>55</v>
      </c>
    </row>
    <row r="26" spans="5:9" x14ac:dyDescent="0.25">
      <c r="I26" t="s">
        <v>56</v>
      </c>
    </row>
    <row r="29" spans="5:9" ht="15.75" thickBot="1" x14ac:dyDescent="0.3">
      <c r="E29" s="11">
        <v>116</v>
      </c>
      <c r="F29" s="12" t="s">
        <v>58</v>
      </c>
      <c r="G29" s="14">
        <v>14375</v>
      </c>
    </row>
    <row r="30" spans="5:9" ht="15.75" thickBot="1" x14ac:dyDescent="0.3">
      <c r="E30" s="15">
        <v>156</v>
      </c>
      <c r="F30" s="16" t="s">
        <v>59</v>
      </c>
      <c r="G30" s="17">
        <v>34450</v>
      </c>
    </row>
    <row r="31" spans="5:9" ht="15.75" thickBot="1" x14ac:dyDescent="0.3">
      <c r="E31" s="11">
        <v>159</v>
      </c>
      <c r="F31" s="18" t="s">
        <v>60</v>
      </c>
      <c r="G31" s="14">
        <v>33350</v>
      </c>
    </row>
    <row r="32" spans="5:9" ht="15.75" thickBot="1" x14ac:dyDescent="0.3">
      <c r="E32" s="11">
        <v>177</v>
      </c>
      <c r="F32" s="12" t="s">
        <v>61</v>
      </c>
      <c r="G32" s="14">
        <v>3957.25</v>
      </c>
    </row>
    <row r="33" spans="5:7" ht="15.75" thickBot="1" x14ac:dyDescent="0.3">
      <c r="E33" s="15">
        <v>218</v>
      </c>
      <c r="F33" s="16" t="s">
        <v>62</v>
      </c>
      <c r="G33" s="17">
        <v>120999.41</v>
      </c>
    </row>
    <row r="34" spans="5:7" ht="15.75" thickBot="1" x14ac:dyDescent="0.3">
      <c r="E34" s="11">
        <v>255</v>
      </c>
      <c r="F34" s="12" t="s">
        <v>63</v>
      </c>
      <c r="G34" s="14">
        <v>6440</v>
      </c>
    </row>
    <row r="35" spans="5:7" ht="15.75" thickBot="1" x14ac:dyDescent="0.3">
      <c r="E35" s="15">
        <v>258</v>
      </c>
      <c r="F35" s="16" t="s">
        <v>64</v>
      </c>
      <c r="G35" s="17">
        <v>58650</v>
      </c>
    </row>
    <row r="36" spans="5:7" ht="15.75" thickBot="1" x14ac:dyDescent="0.3">
      <c r="E36" s="15">
        <v>271</v>
      </c>
      <c r="F36" s="16" t="s">
        <v>65</v>
      </c>
      <c r="G36" s="17">
        <v>73200</v>
      </c>
    </row>
    <row r="37" spans="5:7" x14ac:dyDescent="0.25">
      <c r="G37" s="13">
        <f>SUM(G29:G36)</f>
        <v>345421.66000000003</v>
      </c>
    </row>
  </sheetData>
  <autoFilter ref="D3:H12" xr:uid="{0B061C25-B641-48B7-B4C2-9F6C28E39B55}">
    <sortState xmlns:xlrd2="http://schemas.microsoft.com/office/spreadsheetml/2017/richdata2" ref="D4:H12">
      <sortCondition ref="E3:E12"/>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B88B3-C8F1-49E4-9487-829B18DB67A9}">
  <dimension ref="A2:F34"/>
  <sheetViews>
    <sheetView workbookViewId="0">
      <selection activeCell="D22" sqref="D22"/>
    </sheetView>
  </sheetViews>
  <sheetFormatPr defaultRowHeight="15" x14ac:dyDescent="0.25"/>
  <cols>
    <col min="1" max="1" width="21" customWidth="1"/>
    <col min="2" max="2" width="14.28515625" bestFit="1" customWidth="1"/>
    <col min="4" max="4" width="36.42578125" bestFit="1" customWidth="1"/>
    <col min="5" max="5" width="15" bestFit="1" customWidth="1"/>
    <col min="6" max="6" width="13.28515625" bestFit="1" customWidth="1"/>
  </cols>
  <sheetData>
    <row r="2" spans="1:6" x14ac:dyDescent="0.25">
      <c r="A2" s="80" t="s">
        <v>116</v>
      </c>
      <c r="B2" s="81">
        <f>E3</f>
        <v>0</v>
      </c>
      <c r="D2" t="s">
        <v>9</v>
      </c>
      <c r="E2" t="s">
        <v>110</v>
      </c>
    </row>
    <row r="3" spans="1:6" x14ac:dyDescent="0.25">
      <c r="A3" s="80" t="s">
        <v>168</v>
      </c>
      <c r="B3" s="81">
        <f>F3</f>
        <v>0</v>
      </c>
      <c r="D3" s="24" t="s">
        <v>112</v>
      </c>
      <c r="E3" s="24">
        <f>SUM(E4)</f>
        <v>0</v>
      </c>
      <c r="F3" s="24">
        <f>SUM(F4)</f>
        <v>0</v>
      </c>
    </row>
    <row r="4" spans="1:6" x14ac:dyDescent="0.25">
      <c r="A4" s="80" t="s">
        <v>117</v>
      </c>
      <c r="B4" s="81">
        <f>E5+E23+E26</f>
        <v>16850199.999999996</v>
      </c>
    </row>
    <row r="5" spans="1:6" x14ac:dyDescent="0.25">
      <c r="A5" s="80" t="s">
        <v>169</v>
      </c>
      <c r="B5" s="81">
        <f>F5+F23+F26</f>
        <v>6859305.71</v>
      </c>
      <c r="D5" s="25" t="s">
        <v>113</v>
      </c>
      <c r="E5" s="33">
        <f>SUM(E6:E21)</f>
        <v>15160199.999999996</v>
      </c>
      <c r="F5" s="33">
        <f>SUM(F6:F21)</f>
        <v>6653482.1100000003</v>
      </c>
    </row>
    <row r="6" spans="1:6" x14ac:dyDescent="0.25">
      <c r="A6" s="80" t="s">
        <v>118</v>
      </c>
      <c r="B6" s="79">
        <f>E28</f>
        <v>1360000</v>
      </c>
      <c r="D6" t="s">
        <v>111</v>
      </c>
      <c r="E6">
        <v>5979999.9999999963</v>
      </c>
      <c r="F6">
        <f>SUMIFS(Sheet1!$C$3:$C$1000,Sheet1!$A$3:$A$1000,"FMD",Sheet1!$D$3:$D$1000,D6)</f>
        <v>0</v>
      </c>
    </row>
    <row r="7" spans="1:6" x14ac:dyDescent="0.25">
      <c r="A7" s="80" t="s">
        <v>170</v>
      </c>
      <c r="B7" s="79">
        <f>F28</f>
        <v>62500</v>
      </c>
      <c r="D7" t="s">
        <v>189</v>
      </c>
      <c r="E7">
        <v>100000</v>
      </c>
      <c r="F7">
        <f>SUMIFS(Sheet1!$C$3:$C$1000,Sheet1!$A$3:$A$1000,"FMD",Sheet1!$D$3:$D$1000,D7)</f>
        <v>79500</v>
      </c>
    </row>
    <row r="8" spans="1:6" x14ac:dyDescent="0.25">
      <c r="A8" s="80" t="s">
        <v>74</v>
      </c>
      <c r="B8" s="81">
        <f>SUM(B2,B4,B6)</f>
        <v>18210199.999999996</v>
      </c>
      <c r="D8" t="s">
        <v>14</v>
      </c>
      <c r="E8">
        <v>720000</v>
      </c>
      <c r="F8">
        <f>SUMIFS(Sheet1!$C$3:$C$1000,Sheet1!$A$3:$A$1000,"FMD",Sheet1!$D$3:$D$1000,D8)</f>
        <v>720000</v>
      </c>
    </row>
    <row r="9" spans="1:6" x14ac:dyDescent="0.25">
      <c r="D9" t="s">
        <v>17</v>
      </c>
      <c r="E9">
        <v>3420000</v>
      </c>
      <c r="F9">
        <f>SUMIFS(Sheet1!$C$3:$C$1000,Sheet1!$A$3:$A$1000,"FMD",Sheet1!$D$3:$D$1000,D9)</f>
        <v>3318600</v>
      </c>
    </row>
    <row r="10" spans="1:6" x14ac:dyDescent="0.25">
      <c r="D10" t="s">
        <v>119</v>
      </c>
      <c r="E10">
        <v>616200</v>
      </c>
      <c r="F10">
        <f>SUMIFS(Sheet1!$C$3:$C$1000,Sheet1!$A$3:$A$1000,"FMD",Sheet1!$D$3:$D$1000,D10)</f>
        <v>0</v>
      </c>
    </row>
    <row r="11" spans="1:6" x14ac:dyDescent="0.25">
      <c r="D11" t="s">
        <v>120</v>
      </c>
      <c r="E11">
        <v>2040000</v>
      </c>
      <c r="F11">
        <f>SUMIFS(Sheet1!$C$3:$C$1000,Sheet1!$A$3:$A$1000,"FMD",Sheet1!$D$3:$D$1000,D11)</f>
        <v>1926642</v>
      </c>
    </row>
    <row r="12" spans="1:6" x14ac:dyDescent="0.25">
      <c r="D12" t="s">
        <v>173</v>
      </c>
      <c r="E12">
        <v>180000</v>
      </c>
      <c r="F12">
        <f>SUMIFS(Sheet1!$C$3:$C$1000,Sheet1!$A$3:$A$1000,"FMD",Sheet1!$D$3:$D$1000,D12)</f>
        <v>50000</v>
      </c>
    </row>
    <row r="13" spans="1:6" x14ac:dyDescent="0.25">
      <c r="D13" t="s">
        <v>121</v>
      </c>
      <c r="E13">
        <v>215000</v>
      </c>
      <c r="F13">
        <f>SUMIFS(Sheet1!$C$3:$C$1000,Sheet1!$A$3:$A$1000,"FMD",Sheet1!$D$3:$D$1000,D13)</f>
        <v>0</v>
      </c>
    </row>
    <row r="14" spans="1:6" x14ac:dyDescent="0.25">
      <c r="D14" t="s">
        <v>40</v>
      </c>
      <c r="E14">
        <v>249000</v>
      </c>
      <c r="F14">
        <f>SUMIFS(Sheet1!$C$3:$C$1000,Sheet1!$A$3:$A$1000,"FMD",Sheet1!$D$3:$D$1000,D14)</f>
        <v>64600</v>
      </c>
    </row>
    <row r="15" spans="1:6" x14ac:dyDescent="0.25">
      <c r="D15" t="s">
        <v>122</v>
      </c>
      <c r="E15">
        <v>30000</v>
      </c>
      <c r="F15">
        <f>SUMIFS(Sheet1!$C$3:$C$1000,Sheet1!$A$3:$A$1000,"FMD",Sheet1!$D$3:$D$1000,D15)</f>
        <v>0</v>
      </c>
    </row>
    <row r="16" spans="1:6" x14ac:dyDescent="0.25">
      <c r="D16" t="s">
        <v>123</v>
      </c>
      <c r="E16">
        <v>105000</v>
      </c>
      <c r="F16">
        <f>SUMIFS(Sheet1!$C$3:$C$1000,Sheet1!$A$3:$A$1000,"FMD",Sheet1!$D$3:$D$1000,D16)</f>
        <v>0</v>
      </c>
    </row>
    <row r="17" spans="4:6" x14ac:dyDescent="0.25">
      <c r="D17" t="s">
        <v>126</v>
      </c>
      <c r="E17">
        <v>1200000</v>
      </c>
      <c r="F17">
        <f>SUMIFS(Sheet1!$C$3:$C$1000,Sheet1!$A$3:$A$1000,"FMD",Sheet1!$D$3:$D$1000,D17)</f>
        <v>455000</v>
      </c>
    </row>
    <row r="18" spans="4:6" x14ac:dyDescent="0.25">
      <c r="D18" t="s">
        <v>127</v>
      </c>
      <c r="E18">
        <v>75000</v>
      </c>
      <c r="F18">
        <f>SUMIFS(Sheet1!$C$3:$C$1000,Sheet1!$A$3:$A$1000,"FMD",Sheet1!$D$3:$D$1000,D18)</f>
        <v>39140.11</v>
      </c>
    </row>
    <row r="19" spans="4:6" x14ac:dyDescent="0.25">
      <c r="D19" t="s">
        <v>128</v>
      </c>
      <c r="E19">
        <v>120000</v>
      </c>
      <c r="F19">
        <f>SUMIFS(Sheet1!$C$3:$C$1000,Sheet1!$A$3:$A$1000,"FMD",Sheet1!$D$3:$D$1000,D19)</f>
        <v>0</v>
      </c>
    </row>
    <row r="20" spans="4:6" x14ac:dyDescent="0.25">
      <c r="D20" t="s">
        <v>67</v>
      </c>
      <c r="E20">
        <v>60000</v>
      </c>
      <c r="F20">
        <f>SUMIFS(Sheet1!$C$3:$C$1000,Sheet1!$A$3:$A$1000,"FMD",Sheet1!$D$3:$D$1000,D20)</f>
        <v>0</v>
      </c>
    </row>
    <row r="21" spans="4:6" x14ac:dyDescent="0.25">
      <c r="D21" t="s">
        <v>129</v>
      </c>
      <c r="E21">
        <v>50000</v>
      </c>
      <c r="F21">
        <f>SUMIFS(Sheet1!$C$3:$C$1000,Sheet1!$A$3:$A$1000,"FMD",Sheet1!$D$3:$D$1000,D21)</f>
        <v>0</v>
      </c>
    </row>
    <row r="23" spans="4:6" x14ac:dyDescent="0.25">
      <c r="D23" s="26" t="s">
        <v>114</v>
      </c>
      <c r="E23" s="35">
        <f>SUM(E24)</f>
        <v>1690000</v>
      </c>
      <c r="F23" s="35">
        <f>SUM(F24)</f>
        <v>205823.6</v>
      </c>
    </row>
    <row r="24" spans="4:6" x14ac:dyDescent="0.25">
      <c r="D24" t="s">
        <v>41</v>
      </c>
      <c r="E24" s="13">
        <v>1690000</v>
      </c>
      <c r="F24" s="1">
        <f>SUMIFS(Sheet1!$C$3:$C$1000,Sheet1!$A$3:$A$1000,"FMD",Sheet1!$D$3:$D$1000,D24)</f>
        <v>205823.6</v>
      </c>
    </row>
    <row r="25" spans="4:6" x14ac:dyDescent="0.25">
      <c r="F25" s="1"/>
    </row>
    <row r="26" spans="4:6" x14ac:dyDescent="0.25">
      <c r="D26" s="28" t="s">
        <v>20</v>
      </c>
      <c r="E26" s="28"/>
      <c r="F26" s="28"/>
    </row>
    <row r="27" spans="4:6" x14ac:dyDescent="0.25">
      <c r="F27" s="1"/>
    </row>
    <row r="28" spans="4:6" x14ac:dyDescent="0.25">
      <c r="D28" s="27" t="s">
        <v>115</v>
      </c>
      <c r="E28" s="32">
        <f>SUM(E29:E33)</f>
        <v>1360000</v>
      </c>
      <c r="F28" s="32">
        <f>SUM(F29:F33)</f>
        <v>62500</v>
      </c>
    </row>
    <row r="29" spans="4:6" x14ac:dyDescent="0.25">
      <c r="D29" t="s">
        <v>124</v>
      </c>
      <c r="E29" s="30">
        <v>460000</v>
      </c>
      <c r="F29" s="1">
        <f>SUMIFS(Sheet1!$C$3:$C$1000,Sheet1!$A$3:$A$1000,"FMD",Sheet1!$D$3:$D$1000,D29)</f>
        <v>0</v>
      </c>
    </row>
    <row r="30" spans="4:6" x14ac:dyDescent="0.25">
      <c r="D30" t="s">
        <v>98</v>
      </c>
      <c r="E30" s="30">
        <v>500000</v>
      </c>
      <c r="F30" s="1">
        <f>SUMIFS(Sheet1!$C$3:$C$1000,Sheet1!$A$3:$A$1000,"FMD",Sheet1!$D$3:$D$1000,D30)</f>
        <v>46500</v>
      </c>
    </row>
    <row r="31" spans="4:6" x14ac:dyDescent="0.25">
      <c r="D31" t="s">
        <v>125</v>
      </c>
      <c r="E31" s="30">
        <v>100000</v>
      </c>
      <c r="F31" s="1">
        <f>SUMIFS(Sheet1!$C$3:$C$1000,Sheet1!$A$3:$A$1000,"FMD",Sheet1!$D$3:$D$1000,D31)</f>
        <v>16000</v>
      </c>
    </row>
    <row r="32" spans="4:6" x14ac:dyDescent="0.25">
      <c r="D32" t="s">
        <v>130</v>
      </c>
      <c r="E32" s="30">
        <v>300000</v>
      </c>
      <c r="F32" s="1">
        <f>SUMIFS(Sheet1!$C$3:$C$1000,Sheet1!$A$3:$A$1000,"FMD",Sheet1!$D$3:$D$1000,D32)</f>
        <v>0</v>
      </c>
    </row>
    <row r="34" spans="4:6" x14ac:dyDescent="0.25">
      <c r="D34" t="s">
        <v>167</v>
      </c>
      <c r="F34" s="1">
        <f>SUMIFS(Sheet1!$C$3:$C$1000,Sheet1!$A$3:$A$1000,"FMD",Sheet1!$D$3:$D$1000,D34)</f>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FF9D3-F3AF-427E-9FD8-36AAA1932582}">
  <dimension ref="A2:G20"/>
  <sheetViews>
    <sheetView workbookViewId="0">
      <selection activeCell="G18" sqref="G18"/>
    </sheetView>
  </sheetViews>
  <sheetFormatPr defaultRowHeight="15" x14ac:dyDescent="0.25"/>
  <cols>
    <col min="1" max="1" width="22.5703125" customWidth="1"/>
    <col min="2" max="2" width="11.5703125" bestFit="1" customWidth="1"/>
    <col min="3" max="3" width="10.140625" bestFit="1" customWidth="1"/>
    <col min="5" max="5" width="34.42578125" bestFit="1" customWidth="1"/>
    <col min="6" max="6" width="15" bestFit="1" customWidth="1"/>
    <col min="7" max="7" width="12.7109375" customWidth="1"/>
  </cols>
  <sheetData>
    <row r="2" spans="1:7" x14ac:dyDescent="0.25">
      <c r="A2" s="80" t="s">
        <v>116</v>
      </c>
      <c r="B2" s="80">
        <f>F3</f>
        <v>0</v>
      </c>
      <c r="E2" t="s">
        <v>9</v>
      </c>
      <c r="F2" t="s">
        <v>110</v>
      </c>
    </row>
    <row r="3" spans="1:7" x14ac:dyDescent="0.25">
      <c r="A3" s="80" t="s">
        <v>168</v>
      </c>
      <c r="B3" s="80">
        <f>G3</f>
        <v>0</v>
      </c>
      <c r="C3" s="13"/>
      <c r="E3" s="24" t="s">
        <v>112</v>
      </c>
      <c r="F3" s="24">
        <v>0</v>
      </c>
      <c r="G3" s="24">
        <v>0</v>
      </c>
    </row>
    <row r="4" spans="1:7" x14ac:dyDescent="0.25">
      <c r="A4" s="80" t="s">
        <v>117</v>
      </c>
      <c r="B4" s="81">
        <f>F5+F9+F12</f>
        <v>269000</v>
      </c>
      <c r="G4" s="82"/>
    </row>
    <row r="5" spans="1:7" x14ac:dyDescent="0.25">
      <c r="A5" s="80" t="s">
        <v>169</v>
      </c>
      <c r="B5" s="81">
        <f>G5+G9+G12</f>
        <v>0</v>
      </c>
      <c r="E5" s="25" t="s">
        <v>113</v>
      </c>
      <c r="F5" s="36">
        <f>SUM(F6:F8)</f>
        <v>179000</v>
      </c>
      <c r="G5" s="82">
        <f>SUM(G6:G7)</f>
        <v>0</v>
      </c>
    </row>
    <row r="6" spans="1:7" x14ac:dyDescent="0.25">
      <c r="A6" s="80" t="s">
        <v>118</v>
      </c>
      <c r="B6" s="79">
        <f>F14</f>
        <v>5000</v>
      </c>
      <c r="E6" t="s">
        <v>127</v>
      </c>
      <c r="F6" s="13">
        <v>175000</v>
      </c>
      <c r="G6" s="82">
        <f>SUMIFS(Sheet1!$C$3:$C$1000,Sheet1!$A$3:$A$1000,"Testing Group",Sheet1!$D$3:$D$1000,E6)</f>
        <v>0</v>
      </c>
    </row>
    <row r="7" spans="1:7" ht="15" customHeight="1" x14ac:dyDescent="0.25">
      <c r="A7" s="80" t="s">
        <v>170</v>
      </c>
      <c r="B7" s="79">
        <f>G14</f>
        <v>0</v>
      </c>
      <c r="E7" t="s">
        <v>131</v>
      </c>
      <c r="F7" s="13">
        <v>4000</v>
      </c>
      <c r="G7" s="82">
        <f>SUMIFS(Sheet1!$C$3:$C$1000,Sheet1!$A$3:$A$1000,"Testing Group",Sheet1!$D$3:$D$1000,E7)</f>
        <v>0</v>
      </c>
    </row>
    <row r="8" spans="1:7" ht="14.25" customHeight="1" x14ac:dyDescent="0.25">
      <c r="A8" s="80" t="s">
        <v>74</v>
      </c>
      <c r="B8" s="79">
        <f>B2+B4+B6</f>
        <v>274000</v>
      </c>
      <c r="G8" s="82"/>
    </row>
    <row r="9" spans="1:7" x14ac:dyDescent="0.25">
      <c r="E9" s="26" t="s">
        <v>114</v>
      </c>
      <c r="F9" s="35">
        <f>F10</f>
        <v>90000</v>
      </c>
      <c r="G9" s="35">
        <f>G10</f>
        <v>0</v>
      </c>
    </row>
    <row r="10" spans="1:7" x14ac:dyDescent="0.25">
      <c r="E10" t="s">
        <v>132</v>
      </c>
      <c r="F10" s="13">
        <v>90000</v>
      </c>
      <c r="G10" s="1">
        <f>SUMIFS(Sheet1!$C$3:$C$41,Sheet1!$A$3:$A$41,"Testing Group",Sheet1!$D$3:$D$41,E10)</f>
        <v>0</v>
      </c>
    </row>
    <row r="11" spans="1:7" x14ac:dyDescent="0.25">
      <c r="G11" s="1">
        <f>SUMIFS(Sheet1!$C$3:$C$41,Sheet1!$A$3:$A$41,"Testing Group",Sheet1!$D$3:$D$41,E11)</f>
        <v>0</v>
      </c>
    </row>
    <row r="12" spans="1:7" x14ac:dyDescent="0.25">
      <c r="E12" s="28" t="s">
        <v>20</v>
      </c>
      <c r="F12" s="28"/>
      <c r="G12" s="28"/>
    </row>
    <row r="13" spans="1:7" x14ac:dyDescent="0.25">
      <c r="G13" s="1">
        <f>SUMIFS(Sheet1!$C$3:$C$41,Sheet1!$A$3:$A$41,"Testing Group",Sheet1!$D$3:$D$41,E13)</f>
        <v>0</v>
      </c>
    </row>
    <row r="14" spans="1:7" x14ac:dyDescent="0.25">
      <c r="E14" s="27" t="s">
        <v>115</v>
      </c>
      <c r="F14" s="32">
        <f>F15</f>
        <v>5000</v>
      </c>
      <c r="G14" s="32">
        <f>G15</f>
        <v>0</v>
      </c>
    </row>
    <row r="15" spans="1:7" x14ac:dyDescent="0.25">
      <c r="E15" t="s">
        <v>125</v>
      </c>
      <c r="F15" s="1">
        <v>5000</v>
      </c>
      <c r="G15" s="1">
        <f>SUMIFS(Sheet1!$C$3:$C$41,Sheet1!$A$3:$A$41,"Testing Group",Sheet1!$D$3:$D$41,E15)</f>
        <v>0</v>
      </c>
    </row>
    <row r="16" spans="1:7" x14ac:dyDescent="0.25">
      <c r="F16" s="1"/>
    </row>
    <row r="17" spans="5:7" x14ac:dyDescent="0.25">
      <c r="F17" s="1"/>
    </row>
    <row r="18" spans="5:7" x14ac:dyDescent="0.25">
      <c r="E18" t="s">
        <v>167</v>
      </c>
      <c r="F18" s="13"/>
      <c r="G18" s="1">
        <f>SUMIFS(Sheet1!$C$3:$C$1000,Sheet1!$A$3:$A$1000,"Testing Group",Sheet1!$D$3:$D$1000,E18)</f>
        <v>500000</v>
      </c>
    </row>
    <row r="19" spans="5:7" x14ac:dyDescent="0.25">
      <c r="F19" s="13"/>
    </row>
    <row r="20" spans="5:7" ht="19.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F6D2-B9C5-48A6-8CFC-7CC631F53FB4}">
  <dimension ref="A2:H19"/>
  <sheetViews>
    <sheetView workbookViewId="0">
      <selection activeCell="L23" sqref="L23"/>
    </sheetView>
  </sheetViews>
  <sheetFormatPr defaultRowHeight="15" x14ac:dyDescent="0.25"/>
  <cols>
    <col min="1" max="1" width="20.85546875" bestFit="1" customWidth="1"/>
    <col min="2" max="2" width="11.7109375" bestFit="1" customWidth="1"/>
    <col min="5" max="5" width="30" bestFit="1" customWidth="1"/>
    <col min="6" max="6" width="15" bestFit="1" customWidth="1"/>
    <col min="7" max="7" width="11.5703125" bestFit="1" customWidth="1"/>
    <col min="8" max="8" width="10.5703125" bestFit="1" customWidth="1"/>
  </cols>
  <sheetData>
    <row r="2" spans="1:8" x14ac:dyDescent="0.25">
      <c r="A2" s="80" t="s">
        <v>116</v>
      </c>
      <c r="B2" s="81">
        <f>F3</f>
        <v>2111750</v>
      </c>
      <c r="E2" t="s">
        <v>9</v>
      </c>
      <c r="F2" t="s">
        <v>110</v>
      </c>
    </row>
    <row r="3" spans="1:8" x14ac:dyDescent="0.25">
      <c r="A3" s="80" t="s">
        <v>168</v>
      </c>
      <c r="B3" s="81">
        <f>G3</f>
        <v>154754</v>
      </c>
      <c r="E3" s="24" t="s">
        <v>112</v>
      </c>
      <c r="F3" s="34">
        <f>SUM(F4:F5)</f>
        <v>2111750</v>
      </c>
      <c r="G3" s="34">
        <f>SUM(G4:G5)</f>
        <v>154754</v>
      </c>
    </row>
    <row r="4" spans="1:8" x14ac:dyDescent="0.25">
      <c r="A4" s="80" t="s">
        <v>117</v>
      </c>
      <c r="B4" s="81">
        <f>F7+F12+F14</f>
        <v>560000</v>
      </c>
      <c r="E4" t="s">
        <v>144</v>
      </c>
      <c r="F4" s="13">
        <v>90000</v>
      </c>
      <c r="G4" s="1">
        <f>SUMIFS(Sheet1!$C$3:$C$1000,Sheet1!$A$3:$A$1000,"TTD",Sheet1!$D$3:$D$1000,E4)</f>
        <v>0</v>
      </c>
    </row>
    <row r="5" spans="1:8" x14ac:dyDescent="0.25">
      <c r="A5" s="80" t="s">
        <v>169</v>
      </c>
      <c r="B5" s="81">
        <f>G7+G12+G14</f>
        <v>18000</v>
      </c>
      <c r="E5" t="s">
        <v>11</v>
      </c>
      <c r="F5" s="13">
        <v>2021750</v>
      </c>
      <c r="G5" s="1">
        <f>SUMIFS(Sheet1!$C$3:$C$1000,Sheet1!$A$3:$A$1000,"TTD",Sheet1!$D$3:$D$1000,E5)</f>
        <v>154754</v>
      </c>
    </row>
    <row r="6" spans="1:8" x14ac:dyDescent="0.25">
      <c r="A6" s="80" t="s">
        <v>118</v>
      </c>
      <c r="B6" s="79">
        <f>F16</f>
        <v>400000</v>
      </c>
      <c r="G6" s="1"/>
    </row>
    <row r="7" spans="1:8" x14ac:dyDescent="0.25">
      <c r="A7" s="80" t="s">
        <v>170</v>
      </c>
      <c r="B7" s="79">
        <f>G16</f>
        <v>0</v>
      </c>
      <c r="E7" s="25" t="s">
        <v>113</v>
      </c>
      <c r="F7" s="36">
        <f>SUM(F8:F10)</f>
        <v>560000</v>
      </c>
      <c r="G7" s="36">
        <f>SUM(G8:G10)</f>
        <v>18000</v>
      </c>
    </row>
    <row r="8" spans="1:8" x14ac:dyDescent="0.25">
      <c r="A8" s="80" t="s">
        <v>74</v>
      </c>
      <c r="B8" s="81">
        <f>SUM(B2,B4,B6)</f>
        <v>3071750</v>
      </c>
      <c r="E8" t="s">
        <v>43</v>
      </c>
      <c r="F8" s="13">
        <v>400000</v>
      </c>
      <c r="G8" s="1">
        <f>SUMIFS(Sheet1!$C$3:$C$1000,Sheet1!$A$3:$A$1000,"TTD",Sheet1!$D$3:$D$1000,E8)</f>
        <v>0</v>
      </c>
    </row>
    <row r="9" spans="1:8" ht="13.5" customHeight="1" x14ac:dyDescent="0.25">
      <c r="E9" t="s">
        <v>122</v>
      </c>
      <c r="F9">
        <v>40000</v>
      </c>
      <c r="G9" s="88">
        <f>SUMIFS(Sheet1!$C$3:$C$1000,Sheet1!$A$3:$A$1000,"TTD",Sheet1!$D$3:$D$1000,E9)</f>
        <v>18000</v>
      </c>
      <c r="H9" s="19">
        <f>F9-G9</f>
        <v>22000</v>
      </c>
    </row>
    <row r="10" spans="1:8" ht="15.75" customHeight="1" x14ac:dyDescent="0.25">
      <c r="E10" t="s">
        <v>145</v>
      </c>
      <c r="F10" s="13">
        <v>120000</v>
      </c>
      <c r="G10" s="1"/>
    </row>
    <row r="11" spans="1:8" ht="15.75" customHeight="1" x14ac:dyDescent="0.25">
      <c r="G11" s="1"/>
    </row>
    <row r="12" spans="1:8" x14ac:dyDescent="0.25">
      <c r="E12" s="26" t="s">
        <v>114</v>
      </c>
      <c r="F12" s="26"/>
      <c r="G12" s="26"/>
    </row>
    <row r="13" spans="1:8" x14ac:dyDescent="0.25">
      <c r="F13" s="13"/>
      <c r="G13" s="1"/>
    </row>
    <row r="14" spans="1:8" x14ac:dyDescent="0.25">
      <c r="E14" s="28" t="s">
        <v>20</v>
      </c>
      <c r="F14" s="28"/>
      <c r="G14" s="28"/>
    </row>
    <row r="15" spans="1:8" x14ac:dyDescent="0.25">
      <c r="G15" s="1"/>
    </row>
    <row r="16" spans="1:8" x14ac:dyDescent="0.25">
      <c r="E16" s="27" t="s">
        <v>115</v>
      </c>
      <c r="F16" s="32">
        <f>SUM(F17)</f>
        <v>400000</v>
      </c>
      <c r="G16" s="32">
        <f>SUM(G17)</f>
        <v>0</v>
      </c>
    </row>
    <row r="17" spans="5:7" x14ac:dyDescent="0.25">
      <c r="E17" t="s">
        <v>133</v>
      </c>
      <c r="F17" s="1">
        <v>400000</v>
      </c>
      <c r="G17" s="1">
        <f>SUMIFS(Sheet1!$C$3:$C$1000,Sheet1!$A$3:$A$1000,"TTD",Sheet1!$D$3:$D$1000,E17)</f>
        <v>0</v>
      </c>
    </row>
    <row r="19" spans="5:7" x14ac:dyDescent="0.25">
      <c r="E19" t="s">
        <v>167</v>
      </c>
      <c r="G19" s="1">
        <f>SUMIFS(Sheet1!$C$3:$C$1000,Sheet1!$A$3:$A$1000,"TTD",Sheet1!$D$3:$D$1000,E19)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2594-939C-4E8A-A18B-073851BF0FCD}">
  <dimension ref="A2:H20"/>
  <sheetViews>
    <sheetView workbookViewId="0">
      <selection activeCell="G15" sqref="G15"/>
    </sheetView>
  </sheetViews>
  <sheetFormatPr defaultRowHeight="15" x14ac:dyDescent="0.25"/>
  <cols>
    <col min="1" max="1" width="20.7109375" customWidth="1"/>
    <col min="2" max="2" width="13.28515625" bestFit="1" customWidth="1"/>
    <col min="5" max="5" width="16.5703125" customWidth="1"/>
    <col min="6" max="6" width="15" bestFit="1" customWidth="1"/>
    <col min="8" max="8" width="13.28515625" bestFit="1" customWidth="1"/>
  </cols>
  <sheetData>
    <row r="2" spans="1:8" x14ac:dyDescent="0.25">
      <c r="A2" s="80" t="s">
        <v>116</v>
      </c>
      <c r="B2" s="81">
        <f>F3</f>
        <v>0</v>
      </c>
      <c r="E2" t="s">
        <v>9</v>
      </c>
      <c r="F2" t="s">
        <v>110</v>
      </c>
    </row>
    <row r="3" spans="1:8" x14ac:dyDescent="0.25">
      <c r="A3" s="80" t="s">
        <v>168</v>
      </c>
      <c r="B3" s="81">
        <f>G3</f>
        <v>0</v>
      </c>
      <c r="E3" s="24" t="s">
        <v>112</v>
      </c>
      <c r="F3" s="24">
        <v>0</v>
      </c>
      <c r="G3" s="24">
        <v>0</v>
      </c>
    </row>
    <row r="4" spans="1:8" x14ac:dyDescent="0.25">
      <c r="A4" s="80" t="s">
        <v>117</v>
      </c>
      <c r="B4" s="81">
        <f>F5+F9+F11</f>
        <v>3540000</v>
      </c>
      <c r="G4" s="1"/>
    </row>
    <row r="5" spans="1:8" x14ac:dyDescent="0.25">
      <c r="A5" s="80" t="s">
        <v>169</v>
      </c>
      <c r="B5" s="81">
        <f>G5+G9+G11</f>
        <v>0</v>
      </c>
      <c r="E5" s="25" t="s">
        <v>113</v>
      </c>
      <c r="F5" s="36">
        <f>SUM(F6:F7)</f>
        <v>3540000</v>
      </c>
      <c r="G5" s="36">
        <f>SUM(G6:G7)</f>
        <v>0</v>
      </c>
      <c r="H5" s="19">
        <f>F5-G5</f>
        <v>3540000</v>
      </c>
    </row>
    <row r="6" spans="1:8" x14ac:dyDescent="0.25">
      <c r="A6" s="80" t="s">
        <v>118</v>
      </c>
      <c r="B6" s="79">
        <f>F13</f>
        <v>0</v>
      </c>
      <c r="E6" t="s">
        <v>134</v>
      </c>
      <c r="F6" s="13">
        <v>2940000</v>
      </c>
      <c r="G6" s="1">
        <f>SUMIFS(Sheet1!$C$3:$C$1000,Sheet1!$A$3:$A$1000,"Safety",Sheet1!$D$3:$D$1000,E6)</f>
        <v>0</v>
      </c>
    </row>
    <row r="7" spans="1:8" x14ac:dyDescent="0.25">
      <c r="A7" s="80" t="s">
        <v>170</v>
      </c>
      <c r="B7" s="79">
        <f>G13</f>
        <v>0</v>
      </c>
      <c r="E7" t="s">
        <v>135</v>
      </c>
      <c r="F7" s="13">
        <v>600000</v>
      </c>
      <c r="G7" s="1">
        <f>SUMIFS(Sheet1!$C$3:$C$1000,Sheet1!$A$3:$A$1000,"Safety",Sheet1!$D$3:$D$1000,E7)</f>
        <v>0</v>
      </c>
    </row>
    <row r="8" spans="1:8" x14ac:dyDescent="0.25">
      <c r="A8" s="80" t="s">
        <v>74</v>
      </c>
      <c r="B8" s="81">
        <f>SUM(B2,B4,B6)</f>
        <v>3540000</v>
      </c>
      <c r="G8" s="1">
        <f>SUMIFS(Sheet1!$C$3:$C$1000,Sheet1!$A$3:$A$1000,"Safety",Sheet1!$D$3:$D$1000,E8)</f>
        <v>0</v>
      </c>
    </row>
    <row r="9" spans="1:8" x14ac:dyDescent="0.25">
      <c r="E9" s="26" t="s">
        <v>114</v>
      </c>
      <c r="F9" s="26"/>
      <c r="G9" s="26"/>
    </row>
    <row r="10" spans="1:8" x14ac:dyDescent="0.25">
      <c r="F10" s="13"/>
      <c r="G10" s="1">
        <f>SUMIFS(Sheet1!$C$3:$C$1000,Sheet1!$A$3:$A$1000,"Safety",Sheet1!$D$3:$D$1000,E10)</f>
        <v>0</v>
      </c>
    </row>
    <row r="11" spans="1:8" x14ac:dyDescent="0.25">
      <c r="E11" s="28" t="s">
        <v>20</v>
      </c>
      <c r="F11" s="28"/>
      <c r="G11" s="28"/>
    </row>
    <row r="12" spans="1:8" x14ac:dyDescent="0.25">
      <c r="G12" s="1">
        <f>SUMIFS(Sheet1!$C$3:$C$1000,Sheet1!$A$3:$A$1000,"Safety",Sheet1!$D$3:$D$1000,E12)</f>
        <v>0</v>
      </c>
    </row>
    <row r="13" spans="1:8" x14ac:dyDescent="0.25">
      <c r="E13" s="27" t="s">
        <v>115</v>
      </c>
      <c r="F13" s="27">
        <v>0</v>
      </c>
      <c r="G13" s="27">
        <v>0</v>
      </c>
    </row>
    <row r="14" spans="1:8" x14ac:dyDescent="0.25">
      <c r="F14" s="1"/>
    </row>
    <row r="15" spans="1:8" x14ac:dyDescent="0.25">
      <c r="E15" t="s">
        <v>167</v>
      </c>
      <c r="G15" s="1">
        <f>SUMIFS(Sheet1!$C$3:$C$1000,Sheet1!$A$3:$A$1000,"Safety",Sheet1!$D$3:$D$1000,E15)</f>
        <v>0</v>
      </c>
    </row>
    <row r="20" spans="8:8" x14ac:dyDescent="0.25">
      <c r="H20" s="1">
        <f>SUMIFS(Sheet1!$C$3:$C$1000,Sheet1!$A$3:$A$1000,"Safety",Sheet1!$D$3:$D$1000,F20)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 (3)</vt:lpstr>
      <vt:lpstr>PR (2)</vt:lpstr>
      <vt:lpstr>Sheet1</vt:lpstr>
      <vt:lpstr>Sheet3</vt:lpstr>
      <vt:lpstr>Sheet2</vt:lpstr>
      <vt:lpstr>FMD</vt:lpstr>
      <vt:lpstr>Testing</vt:lpstr>
      <vt:lpstr>TTD</vt:lpstr>
      <vt:lpstr>Safety</vt:lpstr>
      <vt:lpstr>PR</vt:lpstr>
      <vt:lpstr>Legal</vt:lpstr>
      <vt:lpstr>Internal Auditing</vt:lpstr>
      <vt:lpstr>TAU</vt:lpstr>
      <vt:lpstr>Quality Assurance</vt:lpstr>
      <vt:lpstr>MD</vt:lpstr>
      <vt:lpstr>IT</vt:lpstr>
      <vt:lpstr>HR</vt:lpstr>
      <vt:lpstr>Finance</vt:lpstr>
      <vt:lpstr>BDU</vt:lpstr>
      <vt:lpstr>Academic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Arfaj, Abdulmajeed A.</dc:creator>
  <cp:lastModifiedBy>Al Obaidan, Fatimah A.</cp:lastModifiedBy>
  <dcterms:created xsi:type="dcterms:W3CDTF">2023-01-11T10:48:13Z</dcterms:created>
  <dcterms:modified xsi:type="dcterms:W3CDTF">2023-05-16T07:13:51Z</dcterms:modified>
</cp:coreProperties>
</file>