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filterPrivacy="1" hidePivotFieldList="1" defaultThemeVersion="124226"/>
  <xr:revisionPtr revIDLastSave="0" documentId="8_{A981A64E-2878-441D-920F-55EA5489AA84}" xr6:coauthVersionLast="36" xr6:coauthVersionMax="36" xr10:uidLastSave="{00000000-0000-0000-0000-000000000000}"/>
  <bookViews>
    <workbookView xWindow="0" yWindow="0" windowWidth="19200" windowHeight="8250" xr2:uid="{00000000-000D-0000-FFFF-FFFF00000000}"/>
  </bookViews>
  <sheets>
    <sheet name="Feuil1" sheetId="1" r:id="rId1"/>
    <sheet name="Feuil2" sheetId="2" r:id="rId2"/>
    <sheet name="database" sheetId="3" r:id="rId3"/>
    <sheet name="Zone" sheetId="4" r:id="rId4"/>
    <sheet name="Operation" sheetId="5" r:id="rId5"/>
    <sheet name="Machines" sheetId="6" r:id="rId6"/>
    <sheet name="Fréquence" sheetId="8" r:id="rId7"/>
    <sheet name="Couts" sheetId="7" r:id="rId8"/>
    <sheet name="Pivot Tables" sheetId="9" r:id="rId9"/>
    <sheet name="Cout_monthly" sheetId="11" r:id="rId10"/>
    <sheet name="Tableau_de_bord" sheetId="10" r:id="rId11"/>
  </sheets>
  <definedNames>
    <definedName name="NativeTimeline_Date">#N/A</definedName>
    <definedName name="Slicer_Zone">#N/A</definedName>
  </definedNames>
  <calcPr calcId="191029"/>
  <pivotCaches>
    <pivotCache cacheId="24" r:id="rId12"/>
    <pivotCache cacheId="25" r:id="rId13"/>
    <pivotCache cacheId="26"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Lst>
</workbook>
</file>

<file path=xl/calcChain.xml><?xml version="1.0" encoding="utf-8"?>
<calcChain xmlns="http://schemas.openxmlformats.org/spreadsheetml/2006/main">
  <c r="J2" i="8" l="1"/>
  <c r="J3" i="8"/>
  <c r="J4" i="8"/>
  <c r="J5" i="8"/>
  <c r="J7" i="8"/>
  <c r="C139" i="9"/>
  <c r="C140" i="9"/>
  <c r="C138" i="9"/>
  <c r="F8" i="10"/>
  <c r="W55" i="3"/>
  <c r="W50" i="3"/>
  <c r="W26" i="3"/>
  <c r="W22" i="3"/>
  <c r="W13" i="3"/>
  <c r="E2" i="8"/>
  <c r="H2" i="8" s="1"/>
  <c r="I2" i="8" s="1"/>
  <c r="E3" i="8"/>
  <c r="H3" i="8" s="1"/>
  <c r="I3" i="8" s="1"/>
  <c r="E4" i="8"/>
  <c r="H4" i="8" s="1"/>
  <c r="I4" i="8" s="1"/>
  <c r="E5" i="8"/>
  <c r="H5" i="8" s="1"/>
  <c r="I5" i="8" s="1"/>
  <c r="E6" i="8"/>
  <c r="H6" i="8" s="1"/>
  <c r="I6" i="8" s="1"/>
  <c r="E7" i="8"/>
  <c r="H7" i="8" s="1"/>
  <c r="I7" i="8" s="1"/>
  <c r="E8" i="8"/>
  <c r="H8" i="8" s="1"/>
  <c r="I8" i="8" s="1"/>
  <c r="E9" i="8"/>
  <c r="H9" i="8" s="1"/>
  <c r="I9" i="8" s="1"/>
  <c r="E10" i="8"/>
  <c r="H10" i="8" s="1"/>
  <c r="I10" i="8" s="1"/>
  <c r="E11" i="8"/>
  <c r="H11" i="8" s="1"/>
  <c r="I11" i="8" s="1"/>
  <c r="E12" i="8"/>
  <c r="H12" i="8" s="1"/>
  <c r="I12" i="8" s="1"/>
  <c r="E13" i="8"/>
  <c r="H13" i="8" s="1"/>
  <c r="I13" i="8" s="1"/>
  <c r="E14" i="8"/>
  <c r="H14" i="8" s="1"/>
  <c r="I14" i="8" s="1"/>
  <c r="E15" i="8"/>
  <c r="H15" i="8" s="1"/>
  <c r="I15" i="8" s="1"/>
  <c r="E16" i="8"/>
  <c r="H16" i="8" s="1"/>
  <c r="I16" i="8" s="1"/>
  <c r="E17" i="8"/>
  <c r="H17" i="8" s="1"/>
  <c r="I17" i="8" s="1"/>
  <c r="E18" i="8"/>
  <c r="H18" i="8" s="1"/>
  <c r="I18" i="8" s="1"/>
  <c r="E19" i="8"/>
  <c r="H19" i="8" s="1"/>
  <c r="I19" i="8" s="1"/>
  <c r="E20" i="8"/>
  <c r="H20" i="8" s="1"/>
  <c r="I20" i="8" s="1"/>
  <c r="E21" i="8"/>
  <c r="H21" i="8" s="1"/>
  <c r="I21" i="8" s="1"/>
  <c r="E22" i="8"/>
  <c r="H22" i="8" s="1"/>
  <c r="I22" i="8" s="1"/>
  <c r="E23" i="8"/>
  <c r="H23" i="8" s="1"/>
  <c r="I23" i="8" s="1"/>
  <c r="E24" i="8"/>
  <c r="H24" i="8" s="1"/>
  <c r="I24" i="8" s="1"/>
  <c r="E25" i="8"/>
  <c r="H25" i="8" s="1"/>
  <c r="I25" i="8" s="1"/>
  <c r="E26" i="8"/>
  <c r="H26" i="8" s="1"/>
  <c r="I26" i="8" s="1"/>
  <c r="E27" i="8"/>
  <c r="H27" i="8" s="1"/>
  <c r="I27" i="8" s="1"/>
  <c r="E28" i="8"/>
  <c r="H28" i="8" s="1"/>
  <c r="I28" i="8" s="1"/>
  <c r="E29" i="8"/>
  <c r="H29" i="8" s="1"/>
  <c r="I29" i="8" s="1"/>
  <c r="E30" i="8"/>
  <c r="H30" i="8" s="1"/>
  <c r="I30" i="8" s="1"/>
  <c r="E31" i="8"/>
  <c r="H31" i="8" s="1"/>
  <c r="I31" i="8" s="1"/>
  <c r="E32" i="8"/>
  <c r="H32" i="8" s="1"/>
  <c r="I32" i="8" s="1"/>
  <c r="E33" i="8"/>
  <c r="H33" i="8" s="1"/>
  <c r="I33" i="8" s="1"/>
  <c r="E34" i="8"/>
  <c r="H34" i="8" s="1"/>
  <c r="I34" i="8" s="1"/>
  <c r="E35" i="8"/>
  <c r="H35" i="8" s="1"/>
  <c r="I35" i="8" s="1"/>
  <c r="E36" i="8"/>
  <c r="H36" i="8" s="1"/>
  <c r="I36" i="8" s="1"/>
  <c r="E37" i="8"/>
  <c r="H37" i="8" s="1"/>
  <c r="I37" i="8" s="1"/>
  <c r="E38" i="8"/>
  <c r="H38" i="8" s="1"/>
  <c r="I38" i="8" s="1"/>
  <c r="E39" i="8"/>
  <c r="H39" i="8" s="1"/>
  <c r="I39" i="8" s="1"/>
  <c r="E40" i="8"/>
  <c r="H40" i="8" s="1"/>
  <c r="I40" i="8" s="1"/>
  <c r="E41" i="8"/>
  <c r="H41" i="8" s="1"/>
  <c r="I41" i="8" s="1"/>
  <c r="E42" i="8"/>
  <c r="H42" i="8" s="1"/>
  <c r="I42" i="8" s="1"/>
  <c r="E43" i="8"/>
  <c r="H43" i="8" s="1"/>
  <c r="I43" i="8" s="1"/>
  <c r="E44" i="8"/>
  <c r="H44" i="8" s="1"/>
  <c r="I44" i="8" s="1"/>
  <c r="E45" i="8"/>
  <c r="H45" i="8" s="1"/>
  <c r="I45" i="8" s="1"/>
  <c r="E46" i="8"/>
  <c r="H46" i="8" s="1"/>
  <c r="I46" i="8" s="1"/>
  <c r="E47" i="8"/>
  <c r="H47" i="8" s="1"/>
  <c r="I47" i="8" s="1"/>
  <c r="E48" i="8"/>
  <c r="H48" i="8" s="1"/>
  <c r="I48" i="8" s="1"/>
  <c r="E49" i="8"/>
  <c r="H49" i="8" s="1"/>
  <c r="I49" i="8" s="1"/>
  <c r="E50" i="8"/>
  <c r="H50" i="8" s="1"/>
  <c r="I50" i="8" s="1"/>
  <c r="E51" i="8"/>
  <c r="H51" i="8" s="1"/>
  <c r="I51" i="8" s="1"/>
  <c r="E52" i="8"/>
  <c r="H52" i="8" s="1"/>
  <c r="I52" i="8" s="1"/>
  <c r="E53" i="8"/>
  <c r="H53" i="8" s="1"/>
  <c r="I53" i="8" s="1"/>
  <c r="E54" i="8"/>
  <c r="H54" i="8" s="1"/>
  <c r="I54" i="8" s="1"/>
  <c r="E55" i="8"/>
  <c r="H55" i="8" s="1"/>
  <c r="I55" i="8" s="1"/>
  <c r="E56" i="8"/>
  <c r="H56" i="8" s="1"/>
  <c r="I56" i="8" s="1"/>
  <c r="E57" i="8"/>
  <c r="H57" i="8" s="1"/>
  <c r="I57" i="8" s="1"/>
  <c r="E58" i="8"/>
  <c r="H58" i="8" s="1"/>
  <c r="I58" i="8" s="1"/>
  <c r="E59" i="8"/>
  <c r="H59" i="8" s="1"/>
  <c r="I59" i="8" s="1"/>
  <c r="E60" i="8"/>
  <c r="H60" i="8" s="1"/>
  <c r="I60" i="8" s="1"/>
  <c r="E61" i="8"/>
  <c r="H61" i="8" s="1"/>
  <c r="I61" i="8" s="1"/>
  <c r="E62" i="8"/>
  <c r="H62" i="8" s="1"/>
  <c r="I62" i="8" s="1"/>
  <c r="E63" i="8"/>
  <c r="H63" i="8" s="1"/>
  <c r="I63" i="8" s="1"/>
  <c r="E64" i="8"/>
  <c r="H64" i="8" s="1"/>
  <c r="I64" i="8" s="1"/>
  <c r="E65" i="8"/>
  <c r="H65" i="8" s="1"/>
  <c r="I65" i="8" s="1"/>
  <c r="E66" i="8"/>
  <c r="H66" i="8" s="1"/>
  <c r="I66" i="8" s="1"/>
  <c r="E67" i="8"/>
  <c r="H67" i="8" s="1"/>
  <c r="I67" i="8" s="1"/>
  <c r="E68" i="8"/>
  <c r="H68" i="8" s="1"/>
  <c r="I68" i="8" s="1"/>
  <c r="E69" i="8"/>
  <c r="H69" i="8" s="1"/>
  <c r="I69" i="8" s="1"/>
  <c r="E70" i="8"/>
  <c r="H70" i="8" s="1"/>
  <c r="I70" i="8" s="1"/>
  <c r="E71" i="8"/>
  <c r="H71" i="8" s="1"/>
  <c r="I71" i="8" s="1"/>
  <c r="E72" i="8"/>
  <c r="H72" i="8" s="1"/>
  <c r="I72" i="8" s="1"/>
  <c r="E73" i="8"/>
  <c r="H73" i="8" s="1"/>
  <c r="I73" i="8" s="1"/>
  <c r="E74" i="8"/>
  <c r="H74" i="8" s="1"/>
  <c r="I74" i="8" s="1"/>
  <c r="E75" i="8"/>
  <c r="H75" i="8" s="1"/>
  <c r="I75" i="8" s="1"/>
  <c r="E76" i="8"/>
  <c r="H76" i="8" s="1"/>
  <c r="I76" i="8" s="1"/>
  <c r="E77" i="8"/>
  <c r="H77" i="8" s="1"/>
  <c r="I77" i="8" s="1"/>
  <c r="E78" i="8"/>
  <c r="H78" i="8" s="1"/>
  <c r="I78" i="8" s="1"/>
  <c r="E79" i="8"/>
  <c r="H79" i="8" s="1"/>
  <c r="I79" i="8" s="1"/>
  <c r="E80" i="8"/>
  <c r="H80" i="8" s="1"/>
  <c r="I80" i="8" s="1"/>
  <c r="E81" i="8"/>
  <c r="H81" i="8" s="1"/>
  <c r="I81" i="8" s="1"/>
  <c r="E82" i="8"/>
  <c r="H82" i="8" s="1"/>
  <c r="I82" i="8" s="1"/>
  <c r="E83" i="8"/>
  <c r="H83" i="8" s="1"/>
  <c r="I83" i="8" s="1"/>
  <c r="E84" i="8"/>
  <c r="H84" i="8" s="1"/>
  <c r="I84" i="8" s="1"/>
  <c r="E85" i="8"/>
  <c r="H85" i="8" s="1"/>
  <c r="I85" i="8" s="1"/>
  <c r="E86" i="8"/>
  <c r="H86" i="8" s="1"/>
  <c r="I86" i="8" s="1"/>
  <c r="E87" i="8"/>
  <c r="H87" i="8" s="1"/>
  <c r="I87" i="8" s="1"/>
  <c r="E88" i="8"/>
  <c r="H88" i="8" s="1"/>
  <c r="I88" i="8" s="1"/>
  <c r="E89" i="8"/>
  <c r="H89" i="8" s="1"/>
  <c r="I89" i="8" s="1"/>
  <c r="E90" i="8"/>
  <c r="H90" i="8" s="1"/>
  <c r="I90" i="8" s="1"/>
  <c r="E91" i="8"/>
  <c r="H91" i="8" s="1"/>
  <c r="I91" i="8" s="1"/>
  <c r="E92" i="8"/>
  <c r="H92" i="8" s="1"/>
  <c r="I92" i="8" s="1"/>
  <c r="E93" i="8"/>
  <c r="H93" i="8" s="1"/>
  <c r="I93" i="8" s="1"/>
  <c r="E94" i="8"/>
  <c r="H94" i="8" s="1"/>
  <c r="I94" i="8" s="1"/>
  <c r="E95" i="8"/>
  <c r="H95" i="8" s="1"/>
  <c r="I95" i="8" s="1"/>
  <c r="E96" i="8"/>
  <c r="H96" i="8" s="1"/>
  <c r="I96" i="8" s="1"/>
  <c r="E97" i="8"/>
  <c r="H97" i="8" s="1"/>
  <c r="I97" i="8" s="1"/>
  <c r="E98" i="8"/>
  <c r="H98" i="8" s="1"/>
  <c r="I98" i="8" s="1"/>
  <c r="E99" i="8"/>
  <c r="H99" i="8" s="1"/>
  <c r="I99" i="8" s="1"/>
  <c r="E100" i="8"/>
  <c r="H100" i="8" s="1"/>
  <c r="I100" i="8" s="1"/>
  <c r="E101" i="8"/>
  <c r="H101" i="8" s="1"/>
  <c r="I101" i="8" s="1"/>
  <c r="E102" i="8"/>
  <c r="H102" i="8" s="1"/>
  <c r="I102" i="8" s="1"/>
  <c r="E103" i="8"/>
  <c r="H103" i="8" s="1"/>
  <c r="I103" i="8" s="1"/>
  <c r="E104" i="8"/>
  <c r="H104" i="8" s="1"/>
  <c r="I104" i="8" s="1"/>
  <c r="A2" i="7"/>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7" i="10"/>
  <c r="G3" i="8"/>
  <c r="G2"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98" i="8"/>
  <c r="G99" i="8"/>
  <c r="G100" i="8"/>
  <c r="G101" i="8"/>
  <c r="G102" i="8"/>
  <c r="G103" i="8"/>
  <c r="G104" i="8"/>
  <c r="E2"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J52" i="3"/>
  <c r="J4" i="3"/>
  <c r="J3" i="3"/>
  <c r="A40" i="4"/>
  <c r="A41" i="4"/>
  <c r="A42" i="4"/>
  <c r="A43" i="4"/>
  <c r="E41" i="4"/>
  <c r="E40" i="4"/>
  <c r="A17" i="4"/>
  <c r="A18" i="4"/>
  <c r="A19" i="4"/>
  <c r="A20" i="4"/>
  <c r="A21" i="4"/>
  <c r="A22" i="4"/>
  <c r="A23" i="4"/>
  <c r="A24" i="4"/>
  <c r="A25" i="4"/>
  <c r="A26" i="4"/>
  <c r="A27" i="4"/>
  <c r="A28" i="4"/>
  <c r="A29" i="4"/>
  <c r="A30" i="4"/>
  <c r="A31" i="4"/>
  <c r="A32" i="4"/>
  <c r="A33" i="4"/>
  <c r="A34" i="4"/>
  <c r="A35" i="4"/>
  <c r="A36" i="4"/>
  <c r="A37" i="4"/>
  <c r="A38" i="4"/>
  <c r="A39" i="4"/>
  <c r="A15" i="4"/>
  <c r="A16" i="4"/>
  <c r="A12" i="4"/>
  <c r="A13" i="4"/>
  <c r="A14" i="4"/>
  <c r="A3" i="4"/>
  <c r="A4" i="4"/>
  <c r="A5" i="4"/>
  <c r="A6" i="4"/>
  <c r="A7" i="4"/>
  <c r="A8" i="4"/>
  <c r="A9" i="4"/>
  <c r="A10" i="4"/>
  <c r="A11" i="4"/>
  <c r="A2" i="4"/>
  <c r="C52" i="3"/>
  <c r="I51" i="3"/>
  <c r="J51" i="3" s="1"/>
  <c r="C51" i="3"/>
  <c r="C55" i="3" s="1"/>
  <c r="C50" i="3"/>
  <c r="F50" i="3" s="1"/>
  <c r="I34" i="3"/>
  <c r="G34" i="3"/>
  <c r="H34" i="3" s="1"/>
  <c r="J34" i="3" s="1"/>
  <c r="I33" i="3"/>
  <c r="G33" i="3"/>
  <c r="H33" i="3" s="1"/>
  <c r="J33" i="3" s="1"/>
  <c r="I32" i="3"/>
  <c r="G32" i="3"/>
  <c r="H32" i="3" s="1"/>
  <c r="J32" i="3" s="1"/>
  <c r="I31" i="3"/>
  <c r="G31" i="3"/>
  <c r="H31" i="3" s="1"/>
  <c r="J31" i="3" s="1"/>
  <c r="I30" i="3"/>
  <c r="G30" i="3"/>
  <c r="H30" i="3" s="1"/>
  <c r="J30" i="3" s="1"/>
  <c r="I29" i="3"/>
  <c r="G29" i="3"/>
  <c r="H29" i="3" s="1"/>
  <c r="J29" i="3" s="1"/>
  <c r="I28" i="3"/>
  <c r="G28" i="3"/>
  <c r="H28" i="3" s="1"/>
  <c r="J28" i="3" s="1"/>
  <c r="I27" i="3"/>
  <c r="G27" i="3"/>
  <c r="H27" i="3" s="1"/>
  <c r="J27" i="3" s="1"/>
  <c r="C26" i="3"/>
  <c r="I25" i="3"/>
  <c r="G25" i="3"/>
  <c r="H25" i="3" s="1"/>
  <c r="J25" i="3" s="1"/>
  <c r="I24" i="3"/>
  <c r="G24" i="3"/>
  <c r="H24" i="3" s="1"/>
  <c r="J24" i="3" s="1"/>
  <c r="I23" i="3"/>
  <c r="G23" i="3"/>
  <c r="H23" i="3" s="1"/>
  <c r="J23" i="3" s="1"/>
  <c r="C22" i="3"/>
  <c r="I21" i="3"/>
  <c r="J21" i="3" s="1"/>
  <c r="H21" i="3"/>
  <c r="G21" i="3"/>
  <c r="I20" i="3"/>
  <c r="J20" i="3" s="1"/>
  <c r="H20" i="3"/>
  <c r="G20" i="3"/>
  <c r="I19" i="3"/>
  <c r="J19" i="3" s="1"/>
  <c r="H19" i="3"/>
  <c r="G19" i="3"/>
  <c r="I18" i="3"/>
  <c r="J18" i="3" s="1"/>
  <c r="H18" i="3"/>
  <c r="G18" i="3"/>
  <c r="I17" i="3"/>
  <c r="J17" i="3" s="1"/>
  <c r="H17" i="3"/>
  <c r="G17" i="3"/>
  <c r="I16" i="3"/>
  <c r="J16" i="3" s="1"/>
  <c r="H16" i="3"/>
  <c r="G16" i="3"/>
  <c r="I15" i="3"/>
  <c r="J15" i="3" s="1"/>
  <c r="H15" i="3"/>
  <c r="G15" i="3"/>
  <c r="I14" i="3"/>
  <c r="J14" i="3" s="1"/>
  <c r="H14" i="3"/>
  <c r="G14" i="3"/>
  <c r="C13" i="3"/>
  <c r="J12" i="3"/>
  <c r="I11" i="3"/>
  <c r="G11" i="3"/>
  <c r="H11" i="3" s="1"/>
  <c r="J11" i="3" s="1"/>
  <c r="I10" i="3"/>
  <c r="G10" i="3"/>
  <c r="H10" i="3" s="1"/>
  <c r="J10" i="3" s="1"/>
  <c r="I9" i="3"/>
  <c r="G9" i="3"/>
  <c r="H9" i="3" s="1"/>
  <c r="J9" i="3" s="1"/>
  <c r="V8" i="3"/>
  <c r="U8" i="3"/>
  <c r="S8" i="3"/>
  <c r="R8" i="3"/>
  <c r="Q8" i="3"/>
  <c r="P8" i="3"/>
  <c r="O8" i="3"/>
  <c r="N8" i="3"/>
  <c r="L8" i="3"/>
  <c r="K8" i="3"/>
  <c r="I8" i="3"/>
  <c r="J8" i="3" s="1"/>
  <c r="H8" i="3"/>
  <c r="G8" i="3"/>
  <c r="I7" i="3"/>
  <c r="J7" i="3" s="1"/>
  <c r="H7" i="3"/>
  <c r="G7" i="3"/>
  <c r="I6" i="3"/>
  <c r="J6" i="3" s="1"/>
  <c r="H6" i="3"/>
  <c r="G6" i="3"/>
  <c r="I5" i="3"/>
  <c r="J5" i="3" s="1"/>
  <c r="H5" i="3"/>
  <c r="G5" i="3"/>
  <c r="G4" i="3"/>
  <c r="G3" i="3"/>
  <c r="U26" i="3" l="1"/>
  <c r="Q26" i="3"/>
  <c r="M26" i="3"/>
  <c r="V26" i="3"/>
  <c r="T26" i="3"/>
  <c r="P26" i="3"/>
  <c r="L26" i="3"/>
  <c r="R26" i="3"/>
  <c r="S26" i="3"/>
  <c r="O26" i="3"/>
  <c r="K26" i="3"/>
  <c r="N26" i="3"/>
  <c r="S50" i="3"/>
  <c r="O50" i="3"/>
  <c r="K50" i="3"/>
  <c r="V50" i="3"/>
  <c r="R50" i="3"/>
  <c r="N50" i="3"/>
  <c r="P50" i="3"/>
  <c r="U50" i="3"/>
  <c r="Q50" i="3"/>
  <c r="M50" i="3"/>
  <c r="T50" i="3"/>
  <c r="L50" i="3"/>
  <c r="V22" i="3"/>
  <c r="R22" i="3"/>
  <c r="N22" i="3"/>
  <c r="S22" i="3"/>
  <c r="U22" i="3"/>
  <c r="Q22" i="3"/>
  <c r="M22" i="3"/>
  <c r="K22" i="3"/>
  <c r="T22" i="3"/>
  <c r="P22" i="3"/>
  <c r="L22" i="3"/>
  <c r="O22" i="3"/>
  <c r="V55" i="3"/>
  <c r="R55" i="3"/>
  <c r="N55" i="3"/>
  <c r="U55" i="3"/>
  <c r="Q55" i="3"/>
  <c r="M55" i="3"/>
  <c r="O55" i="3"/>
  <c r="T55" i="3"/>
  <c r="P55" i="3"/>
  <c r="L55" i="3"/>
  <c r="S55" i="3"/>
  <c r="K55" i="3"/>
  <c r="S13" i="3"/>
  <c r="L13" i="3"/>
  <c r="Q13" i="3"/>
  <c r="T13" i="3"/>
  <c r="M13" i="3"/>
  <c r="U13" i="3"/>
  <c r="N13" i="3"/>
  <c r="R13" i="3"/>
  <c r="V13" i="3"/>
  <c r="P13" i="3"/>
  <c r="K13" i="3"/>
  <c r="O13" i="3"/>
  <c r="I51" i="1"/>
  <c r="I19" i="1"/>
  <c r="I18" i="1"/>
  <c r="I17" i="1"/>
  <c r="I15" i="1"/>
  <c r="I14" i="1"/>
  <c r="I25" i="1"/>
  <c r="I24" i="1"/>
  <c r="I23" i="1"/>
  <c r="I34" i="1"/>
  <c r="I33" i="1"/>
  <c r="I31" i="1"/>
  <c r="I30" i="1"/>
  <c r="I28" i="1"/>
  <c r="I27" i="1"/>
  <c r="I32" i="1"/>
  <c r="I8" i="1" l="1"/>
  <c r="I7" i="1"/>
  <c r="I5" i="1"/>
  <c r="J51" i="1"/>
  <c r="M55" i="1" s="1"/>
  <c r="C50" i="1"/>
  <c r="K8" i="1"/>
  <c r="J4" i="1"/>
  <c r="J12" i="1"/>
  <c r="J3" i="1"/>
  <c r="V8" i="1"/>
  <c r="U8" i="1"/>
  <c r="S8" i="1"/>
  <c r="R8" i="1"/>
  <c r="Q8" i="1"/>
  <c r="P8" i="1"/>
  <c r="O8" i="1"/>
  <c r="N8" i="1"/>
  <c r="L8" i="1"/>
  <c r="I21" i="1"/>
  <c r="I10" i="1"/>
  <c r="G4" i="1"/>
  <c r="G3" i="1"/>
  <c r="C26" i="1"/>
  <c r="I33" i="2"/>
  <c r="I34" i="2"/>
  <c r="I35" i="2"/>
  <c r="I28" i="2"/>
  <c r="G20" i="1" s="1"/>
  <c r="C13" i="1"/>
  <c r="C22" i="1"/>
  <c r="C52" i="1"/>
  <c r="C51" i="1"/>
  <c r="H32" i="2"/>
  <c r="I32" i="2" s="1"/>
  <c r="G23" i="1" s="1"/>
  <c r="G32" i="2"/>
  <c r="H28" i="2"/>
  <c r="H27" i="2"/>
  <c r="I27" i="2" s="1"/>
  <c r="G19" i="1" s="1"/>
  <c r="H23" i="2"/>
  <c r="I23" i="2" s="1"/>
  <c r="G15" i="1" s="1"/>
  <c r="H20" i="2"/>
  <c r="I20" i="2" s="1"/>
  <c r="G10" i="1" s="1"/>
  <c r="H19" i="2"/>
  <c r="I19" i="2" s="1"/>
  <c r="G9" i="1" s="1"/>
  <c r="G22" i="2"/>
  <c r="H22" i="2" s="1"/>
  <c r="I22" i="2" s="1"/>
  <c r="G14" i="1" s="1"/>
  <c r="G6" i="2"/>
  <c r="G25" i="2"/>
  <c r="H25" i="2" s="1"/>
  <c r="I25" i="2" s="1"/>
  <c r="G17" i="1" s="1"/>
  <c r="G24" i="2"/>
  <c r="H24" i="2" s="1"/>
  <c r="I24" i="2" s="1"/>
  <c r="G16" i="1" s="1"/>
  <c r="G23" i="2"/>
  <c r="G37" i="2"/>
  <c r="H37" i="2" s="1"/>
  <c r="I37" i="2" s="1"/>
  <c r="G25" i="1" s="1"/>
  <c r="G36" i="2"/>
  <c r="H36" i="2" s="1"/>
  <c r="I36" i="2" s="1"/>
  <c r="G24" i="1" s="1"/>
  <c r="G29" i="2"/>
  <c r="H29" i="2" s="1"/>
  <c r="I29" i="2" s="1"/>
  <c r="G21" i="1" s="1"/>
  <c r="G28" i="2"/>
  <c r="G27" i="2"/>
  <c r="G26" i="2"/>
  <c r="H26" i="2" s="1"/>
  <c r="I26" i="2" s="1"/>
  <c r="G18" i="1" s="1"/>
  <c r="G21" i="2"/>
  <c r="H21" i="2" s="1"/>
  <c r="I21" i="2" s="1"/>
  <c r="G11" i="1" s="1"/>
  <c r="G20" i="2"/>
  <c r="G19" i="2"/>
  <c r="G18" i="2"/>
  <c r="H18" i="2" s="1"/>
  <c r="I18" i="2" s="1"/>
  <c r="G8" i="1" s="1"/>
  <c r="G17" i="2"/>
  <c r="H17" i="2" s="1"/>
  <c r="I17" i="2" s="1"/>
  <c r="G7" i="1" s="1"/>
  <c r="G16" i="2"/>
  <c r="G15" i="2"/>
  <c r="G11" i="2"/>
  <c r="G10" i="2"/>
  <c r="G9" i="2"/>
  <c r="G8" i="2"/>
  <c r="G7" i="2"/>
  <c r="G5" i="2"/>
  <c r="G4" i="2"/>
  <c r="F43" i="2"/>
  <c r="H16" i="2" l="1"/>
  <c r="I16" i="2" s="1"/>
  <c r="G6" i="1" s="1"/>
  <c r="I11" i="1"/>
  <c r="I6" i="1"/>
  <c r="H20" i="1"/>
  <c r="I16" i="1"/>
  <c r="F50" i="1"/>
  <c r="I29" i="1"/>
  <c r="L55" i="1"/>
  <c r="S55" i="1"/>
  <c r="V55" i="1"/>
  <c r="R55" i="1"/>
  <c r="N55" i="1"/>
  <c r="T55" i="1"/>
  <c r="P55" i="1"/>
  <c r="K55" i="1"/>
  <c r="O55" i="1"/>
  <c r="U55" i="1"/>
  <c r="Q55" i="1"/>
  <c r="H18" i="1"/>
  <c r="J18" i="1" s="1"/>
  <c r="H21" i="1"/>
  <c r="J21" i="1" s="1"/>
  <c r="H19" i="1"/>
  <c r="J19" i="1" s="1"/>
  <c r="H15" i="1"/>
  <c r="J15" i="1" s="1"/>
  <c r="I20" i="1"/>
  <c r="H24" i="1"/>
  <c r="J24" i="1" s="1"/>
  <c r="H25" i="1"/>
  <c r="J25" i="1" s="1"/>
  <c r="H14" i="1"/>
  <c r="J14" i="1" s="1"/>
  <c r="H17" i="1"/>
  <c r="J17" i="1" s="1"/>
  <c r="H6" i="1"/>
  <c r="J6" i="1" s="1"/>
  <c r="H23" i="1"/>
  <c r="J23" i="1" s="1"/>
  <c r="H16" i="1"/>
  <c r="J16" i="1" s="1"/>
  <c r="I9" i="1"/>
  <c r="H8" i="1"/>
  <c r="J8" i="1" s="1"/>
  <c r="H10" i="1"/>
  <c r="J10" i="1" s="1"/>
  <c r="H9" i="1"/>
  <c r="H7" i="1"/>
  <c r="J7" i="1" s="1"/>
  <c r="C55" i="1"/>
  <c r="H11" i="1"/>
  <c r="J11" i="1" s="1"/>
  <c r="I5" i="2"/>
  <c r="G28" i="1" s="1"/>
  <c r="H28" i="1" s="1"/>
  <c r="J28" i="1" s="1"/>
  <c r="I12" i="2"/>
  <c r="H11" i="2"/>
  <c r="I11" i="2" s="1"/>
  <c r="G34" i="1" s="1"/>
  <c r="H34" i="1" s="1"/>
  <c r="J34" i="1" s="1"/>
  <c r="H10" i="2"/>
  <c r="I10" i="2" s="1"/>
  <c r="G33" i="1" s="1"/>
  <c r="H33" i="1" s="1"/>
  <c r="J33" i="1" s="1"/>
  <c r="H9" i="2"/>
  <c r="I9" i="2" s="1"/>
  <c r="G32" i="1" s="1"/>
  <c r="H32" i="1" s="1"/>
  <c r="J32" i="1" s="1"/>
  <c r="H5" i="2"/>
  <c r="H4" i="2"/>
  <c r="H8" i="2"/>
  <c r="I8" i="2" s="1"/>
  <c r="G31" i="1" s="1"/>
  <c r="H31" i="1" s="1"/>
  <c r="J31" i="1" s="1"/>
  <c r="H7" i="2"/>
  <c r="I7" i="2" s="1"/>
  <c r="G30" i="1" s="1"/>
  <c r="H30" i="1" s="1"/>
  <c r="J30" i="1" s="1"/>
  <c r="C74" i="2"/>
  <c r="C75" i="2" s="1"/>
  <c r="A54" i="2"/>
  <c r="A53" i="2"/>
  <c r="A48" i="2"/>
  <c r="A47" i="2"/>
  <c r="C47" i="2"/>
  <c r="J20" i="1" l="1"/>
  <c r="H6" i="2"/>
  <c r="I6" i="2" s="1"/>
  <c r="G29" i="1" s="1"/>
  <c r="H29" i="1" s="1"/>
  <c r="J29" i="1" s="1"/>
  <c r="H15" i="2"/>
  <c r="I15" i="2" s="1"/>
  <c r="G5" i="1" s="1"/>
  <c r="H5" i="1" s="1"/>
  <c r="J5" i="1" s="1"/>
  <c r="C76" i="2"/>
  <c r="U50" i="1"/>
  <c r="M50" i="1"/>
  <c r="L22" i="1"/>
  <c r="P22" i="1"/>
  <c r="T22" i="1"/>
  <c r="M22" i="1"/>
  <c r="Q22" i="1"/>
  <c r="U22" i="1"/>
  <c r="N22" i="1"/>
  <c r="R22" i="1"/>
  <c r="V22" i="1"/>
  <c r="O22" i="1"/>
  <c r="S22" i="1"/>
  <c r="K22" i="1"/>
  <c r="J9" i="1"/>
  <c r="O26" i="1"/>
  <c r="S26" i="1"/>
  <c r="K26" i="1"/>
  <c r="V26" i="1"/>
  <c r="L26" i="1"/>
  <c r="P26" i="1"/>
  <c r="T26" i="1"/>
  <c r="R26" i="1"/>
  <c r="M26" i="1"/>
  <c r="Q26" i="1"/>
  <c r="U26" i="1"/>
  <c r="N26" i="1"/>
  <c r="P13" i="1"/>
  <c r="R13" i="1"/>
  <c r="M13" i="1"/>
  <c r="Q13" i="1"/>
  <c r="U13" i="1"/>
  <c r="S13" i="1"/>
  <c r="K13" i="1"/>
  <c r="O13" i="1"/>
  <c r="T13" i="1"/>
  <c r="N13" i="1"/>
  <c r="V13" i="1"/>
  <c r="L13" i="1"/>
  <c r="I4" i="2"/>
  <c r="G27" i="1" s="1"/>
  <c r="H27" i="1" s="1"/>
  <c r="J27" i="1" s="1"/>
  <c r="O50" i="1" s="1"/>
  <c r="L50" i="1" l="1"/>
  <c r="P50" i="1"/>
  <c r="S50" i="1"/>
  <c r="N50" i="1"/>
  <c r="V50" i="1"/>
  <c r="R50" i="1"/>
  <c r="T50" i="1"/>
  <c r="K50" i="1"/>
  <c r="Q50" i="1"/>
</calcChain>
</file>

<file path=xl/sharedStrings.xml><?xml version="1.0" encoding="utf-8"?>
<sst xmlns="http://schemas.openxmlformats.org/spreadsheetml/2006/main" count="1354" uniqueCount="307">
  <si>
    <t xml:space="preserve">Zone </t>
  </si>
  <si>
    <t>Green1</t>
  </si>
  <si>
    <t>Green2</t>
  </si>
  <si>
    <t>Green3</t>
  </si>
  <si>
    <t>Green4</t>
  </si>
  <si>
    <t>Green5</t>
  </si>
  <si>
    <t>Green6</t>
  </si>
  <si>
    <t>Depart1</t>
  </si>
  <si>
    <t>Depart2</t>
  </si>
  <si>
    <t>Depart3</t>
  </si>
  <si>
    <t>CD</t>
  </si>
  <si>
    <t>green1</t>
  </si>
  <si>
    <t>green2</t>
  </si>
  <si>
    <t>green3</t>
  </si>
  <si>
    <t>green4</t>
  </si>
  <si>
    <t>green5</t>
  </si>
  <si>
    <t>green6</t>
  </si>
  <si>
    <t>green7</t>
  </si>
  <si>
    <t>green8</t>
  </si>
  <si>
    <t>Big bunke</t>
  </si>
  <si>
    <t>Total Smal bunkr</t>
  </si>
  <si>
    <t>WD</t>
  </si>
  <si>
    <t>Depart4</t>
  </si>
  <si>
    <t>Wp</t>
  </si>
  <si>
    <t xml:space="preserve">Surafce </t>
  </si>
  <si>
    <t xml:space="preserve">depart Prince </t>
  </si>
  <si>
    <t>smal  bunke</t>
  </si>
  <si>
    <t>CP</t>
  </si>
  <si>
    <t>PG</t>
  </si>
  <si>
    <t xml:space="preserve">Gazonnière </t>
  </si>
  <si>
    <t>Bermuda Hollywod</t>
  </si>
  <si>
    <t>Fairway</t>
  </si>
  <si>
    <t>Agrostis Ignite</t>
  </si>
  <si>
    <t>Agrostis 007</t>
  </si>
  <si>
    <t>sable siliceux</t>
  </si>
  <si>
    <t>G</t>
  </si>
  <si>
    <t xml:space="preserve">Dsignation </t>
  </si>
  <si>
    <t xml:space="preserve">Janvier </t>
  </si>
  <si>
    <t>Février</t>
  </si>
  <si>
    <t>Mars</t>
  </si>
  <si>
    <t>Avril</t>
  </si>
  <si>
    <t>Mai</t>
  </si>
  <si>
    <t>Juin</t>
  </si>
  <si>
    <t>Juillet</t>
  </si>
  <si>
    <t>Août</t>
  </si>
  <si>
    <t>Septembre</t>
  </si>
  <si>
    <t>Octobre</t>
  </si>
  <si>
    <t>Novembre</t>
  </si>
  <si>
    <t>Décembre</t>
  </si>
  <si>
    <t xml:space="preserve">les taches d'entretien et maitenance mesuel recomendez </t>
  </si>
  <si>
    <t xml:space="preserve">Aération par louchet creux </t>
  </si>
  <si>
    <t xml:space="preserve">sablage </t>
  </si>
  <si>
    <t xml:space="preserve">scarification </t>
  </si>
  <si>
    <t>verticutte</t>
  </si>
  <si>
    <t xml:space="preserve">tonte  </t>
  </si>
  <si>
    <t xml:space="preserve">fertilisation </t>
  </si>
  <si>
    <t xml:space="preserve">traitement phytosanitaire </t>
  </si>
  <si>
    <t xml:space="preserve">sursemis </t>
  </si>
  <si>
    <t>le cout des operation d'entretien des golf /m²/passage</t>
  </si>
  <si>
    <t xml:space="preserve">la machine utilisé </t>
  </si>
  <si>
    <t xml:space="preserve">intervention mecanique </t>
  </si>
  <si>
    <t xml:space="preserve">type d'operation </t>
  </si>
  <si>
    <t xml:space="preserve">zone d'atace </t>
  </si>
  <si>
    <t xml:space="preserve">liste des machine </t>
  </si>
  <si>
    <t xml:space="preserve">cout en DH/heur </t>
  </si>
  <si>
    <t>Sableuse de fairways MH400 + tracteur</t>
  </si>
  <si>
    <t>multipro</t>
  </si>
  <si>
    <t>scarificateur graden+ tracteur</t>
  </si>
  <si>
    <t>Procour648</t>
  </si>
  <si>
    <t>procour 846 + tracteur</t>
  </si>
  <si>
    <t xml:space="preserve">fertilisant equilibre N-P-K pour green par ans </t>
  </si>
  <si>
    <t>150kg</t>
  </si>
  <si>
    <t xml:space="preserve">fertilisant equilibre N-P-K pour Fairay par ans </t>
  </si>
  <si>
    <t>Qté</t>
  </si>
  <si>
    <t>designation</t>
  </si>
  <si>
    <t>Prix par kg</t>
  </si>
  <si>
    <t xml:space="preserve">fertilisant equilibre N-P-K pour depart par ans </t>
  </si>
  <si>
    <t xml:space="preserve">produit phytosanaire </t>
  </si>
  <si>
    <t>Green master flexe 2120</t>
  </si>
  <si>
    <t>5000h</t>
  </si>
  <si>
    <t>3000h</t>
  </si>
  <si>
    <t>dure de traval recommandé</t>
  </si>
  <si>
    <t xml:space="preserve">prix d'achat </t>
  </si>
  <si>
    <t xml:space="preserve">fertilisant </t>
  </si>
  <si>
    <t>produit phytosanaire pour green</t>
  </si>
  <si>
    <t>produit phytosanaire pour depart</t>
  </si>
  <si>
    <t xml:space="preserve">produit phytosanaire fairways </t>
  </si>
  <si>
    <t xml:space="preserve">la main d'œuvre </t>
  </si>
  <si>
    <t>la matiere utilisé</t>
  </si>
  <si>
    <t xml:space="preserve">cout de main d'œuvre </t>
  </si>
  <si>
    <t xml:space="preserve">dure de fonctionement (heur) </t>
  </si>
  <si>
    <t xml:space="preserve">un jeux de louchet creux </t>
  </si>
  <si>
    <t xml:space="preserve">nomnre de jardinies </t>
  </si>
  <si>
    <t>cout globale de la main d'œuvre par an</t>
  </si>
  <si>
    <t>salaire monsuel (DH)</t>
  </si>
  <si>
    <t>cout d'une journée de travail (DH/jour)</t>
  </si>
  <si>
    <t>cout d'heur de travail de la main d'œuvre (DH/heur)</t>
  </si>
  <si>
    <t>reelmaster 5410</t>
  </si>
  <si>
    <t>groundsmaster 4300-d</t>
  </si>
  <si>
    <t>GroundsMaster 3280</t>
  </si>
  <si>
    <t>Sableuse de green : workman HDX+propass 200</t>
  </si>
  <si>
    <t>Souffleurs Pro Force</t>
  </si>
  <si>
    <t>workman HDX+propass 200</t>
  </si>
  <si>
    <t>Greensmaster® TriFlex™ 3400</t>
  </si>
  <si>
    <t>1500h</t>
  </si>
  <si>
    <t>épandeur d'engrais manuel</t>
  </si>
  <si>
    <t>semoire manuel</t>
  </si>
  <si>
    <t xml:space="preserve">sable </t>
  </si>
  <si>
    <t>Green PG-s=2220m²</t>
  </si>
  <si>
    <t>MH400 + tracteur</t>
  </si>
  <si>
    <t>graden+ tracteur</t>
  </si>
  <si>
    <t>CD Depart1- S= 746</t>
  </si>
  <si>
    <t xml:space="preserve">CD fairways - S=11879 </t>
  </si>
  <si>
    <t xml:space="preserve">cout de l'operation </t>
  </si>
  <si>
    <t>prix par m²</t>
  </si>
  <si>
    <t xml:space="preserve">Type de gazon et support </t>
  </si>
  <si>
    <t xml:space="preserve">secteur  </t>
  </si>
  <si>
    <t xml:space="preserve">les operation </t>
  </si>
  <si>
    <t>Total des green</t>
  </si>
  <si>
    <t xml:space="preserve">total Fairways </t>
  </si>
  <si>
    <t xml:space="preserve">total Depart </t>
  </si>
  <si>
    <t xml:space="preserve">total bunker </t>
  </si>
  <si>
    <t xml:space="preserve"> Rough - S=11560</t>
  </si>
  <si>
    <t>total Rough</t>
  </si>
  <si>
    <t>Rough</t>
  </si>
  <si>
    <t xml:space="preserve">ratissage </t>
  </si>
  <si>
    <t xml:space="preserve">desherbage </t>
  </si>
  <si>
    <t>cout d'intrant et consomablepar oppération</t>
  </si>
  <si>
    <t>type de machine utilisé</t>
  </si>
  <si>
    <t>le cout en DH/ m²</t>
  </si>
  <si>
    <t>cout en DH de la surface reel Total</t>
  </si>
  <si>
    <t>sand pro</t>
  </si>
  <si>
    <t xml:space="preserve">deplaqueuse </t>
  </si>
  <si>
    <t xml:space="preserve">Aération par louchet plein </t>
  </si>
  <si>
    <t xml:space="preserve">Aération par louchet plein  </t>
  </si>
  <si>
    <t xml:space="preserve">Aération par louchet plein   </t>
  </si>
  <si>
    <t>ID_Zone</t>
  </si>
  <si>
    <t>Secteur</t>
  </si>
  <si>
    <t>Zone</t>
  </si>
  <si>
    <t>Surface</t>
  </si>
  <si>
    <t>type-gazon</t>
  </si>
  <si>
    <t xml:space="preserve">depart_Prince </t>
  </si>
  <si>
    <t>WP</t>
  </si>
  <si>
    <t>ID_Opération</t>
  </si>
  <si>
    <t>Type d’opération</t>
  </si>
  <si>
    <t>OP01</t>
  </si>
  <si>
    <t>OP02</t>
  </si>
  <si>
    <t>OP03</t>
  </si>
  <si>
    <t>OP04</t>
  </si>
  <si>
    <t>OP05</t>
  </si>
  <si>
    <t>OP06</t>
  </si>
  <si>
    <t>OP07</t>
  </si>
  <si>
    <t>OP08</t>
  </si>
  <si>
    <t>OP09</t>
  </si>
  <si>
    <t>OP10</t>
  </si>
  <si>
    <t>OP11</t>
  </si>
  <si>
    <t>ID_OP</t>
  </si>
  <si>
    <t>Machines</t>
  </si>
  <si>
    <t>Depart</t>
  </si>
  <si>
    <t>semoir de précision</t>
  </si>
  <si>
    <t>Green</t>
  </si>
  <si>
    <t>Bunker</t>
  </si>
  <si>
    <t>les taches d'entretien et maitenance mesuel recomender</t>
  </si>
  <si>
    <t>Couts</t>
  </si>
  <si>
    <t>ID</t>
  </si>
  <si>
    <t>ID_Operation</t>
  </si>
  <si>
    <t>Frequence</t>
  </si>
  <si>
    <t>F001</t>
  </si>
  <si>
    <t>F002</t>
  </si>
  <si>
    <t>F003</t>
  </si>
  <si>
    <t>F004</t>
  </si>
  <si>
    <t>F005</t>
  </si>
  <si>
    <t>F006</t>
  </si>
  <si>
    <t>F007</t>
  </si>
  <si>
    <t>F008</t>
  </si>
  <si>
    <t>F009</t>
  </si>
  <si>
    <t>F010</t>
  </si>
  <si>
    <t>F011</t>
  </si>
  <si>
    <t>F012</t>
  </si>
  <si>
    <t>F013</t>
  </si>
  <si>
    <t>F014</t>
  </si>
  <si>
    <t>F015</t>
  </si>
  <si>
    <t>F016</t>
  </si>
  <si>
    <t>F017</t>
  </si>
  <si>
    <t>F018</t>
  </si>
  <si>
    <t>F019</t>
  </si>
  <si>
    <t>F020</t>
  </si>
  <si>
    <t>F021</t>
  </si>
  <si>
    <t>F022</t>
  </si>
  <si>
    <t>F023</t>
  </si>
  <si>
    <t>F024</t>
  </si>
  <si>
    <t>F025</t>
  </si>
  <si>
    <t>F026</t>
  </si>
  <si>
    <t>F027</t>
  </si>
  <si>
    <t>F028</t>
  </si>
  <si>
    <t>F029</t>
  </si>
  <si>
    <t>F030</t>
  </si>
  <si>
    <t>F031</t>
  </si>
  <si>
    <t>F032</t>
  </si>
  <si>
    <t>F033</t>
  </si>
  <si>
    <t>F034</t>
  </si>
  <si>
    <t>F035</t>
  </si>
  <si>
    <t>F036</t>
  </si>
  <si>
    <t>F037</t>
  </si>
  <si>
    <t>F038</t>
  </si>
  <si>
    <t>F039</t>
  </si>
  <si>
    <t>F040</t>
  </si>
  <si>
    <t>F041</t>
  </si>
  <si>
    <t>F042</t>
  </si>
  <si>
    <t>F043</t>
  </si>
  <si>
    <t>F044</t>
  </si>
  <si>
    <t>F045</t>
  </si>
  <si>
    <t>F046</t>
  </si>
  <si>
    <t>F047</t>
  </si>
  <si>
    <t>F048</t>
  </si>
  <si>
    <t>F049</t>
  </si>
  <si>
    <t>F050</t>
  </si>
  <si>
    <t>F051</t>
  </si>
  <si>
    <t>F052</t>
  </si>
  <si>
    <t>F053</t>
  </si>
  <si>
    <t>F054</t>
  </si>
  <si>
    <t>F055</t>
  </si>
  <si>
    <t>F056</t>
  </si>
  <si>
    <t>F057</t>
  </si>
  <si>
    <t>F058</t>
  </si>
  <si>
    <t>F059</t>
  </si>
  <si>
    <t>F060</t>
  </si>
  <si>
    <t>F061</t>
  </si>
  <si>
    <t>F062</t>
  </si>
  <si>
    <t>F063</t>
  </si>
  <si>
    <t>F064</t>
  </si>
  <si>
    <t>F065</t>
  </si>
  <si>
    <t>F066</t>
  </si>
  <si>
    <t>F067</t>
  </si>
  <si>
    <t>F068</t>
  </si>
  <si>
    <t>F069</t>
  </si>
  <si>
    <t>F070</t>
  </si>
  <si>
    <t>F071</t>
  </si>
  <si>
    <t>F072</t>
  </si>
  <si>
    <t>F073</t>
  </si>
  <si>
    <t>F074</t>
  </si>
  <si>
    <t>F075</t>
  </si>
  <si>
    <t>F076</t>
  </si>
  <si>
    <t>F077</t>
  </si>
  <si>
    <t>F078</t>
  </si>
  <si>
    <t>F079</t>
  </si>
  <si>
    <t>F080</t>
  </si>
  <si>
    <t>F081</t>
  </si>
  <si>
    <t>F082</t>
  </si>
  <si>
    <t>F083</t>
  </si>
  <si>
    <t>F084</t>
  </si>
  <si>
    <t>F085</t>
  </si>
  <si>
    <t>F086</t>
  </si>
  <si>
    <t>F087</t>
  </si>
  <si>
    <t>F088</t>
  </si>
  <si>
    <t>F089</t>
  </si>
  <si>
    <t>F090</t>
  </si>
  <si>
    <t>F091</t>
  </si>
  <si>
    <t>F092</t>
  </si>
  <si>
    <t>F093</t>
  </si>
  <si>
    <t>F094</t>
  </si>
  <si>
    <t>F095</t>
  </si>
  <si>
    <t>F096</t>
  </si>
  <si>
    <t>F097</t>
  </si>
  <si>
    <t>F098</t>
  </si>
  <si>
    <t>F099</t>
  </si>
  <si>
    <t>F100</t>
  </si>
  <si>
    <t>F101</t>
  </si>
  <si>
    <t>F102</t>
  </si>
  <si>
    <t>F103</t>
  </si>
  <si>
    <t>Zone_precise</t>
  </si>
  <si>
    <t>Row Labels</t>
  </si>
  <si>
    <t>Grand Total</t>
  </si>
  <si>
    <t>Sum of Surface</t>
  </si>
  <si>
    <t>Sum of Couts</t>
  </si>
  <si>
    <t>Sum of Frequence</t>
  </si>
  <si>
    <t>Column Labels</t>
  </si>
  <si>
    <t>Average of Surface</t>
  </si>
  <si>
    <t>Cout</t>
  </si>
  <si>
    <t>Cout_Total</t>
  </si>
  <si>
    <t>Sum of Cout_Total</t>
  </si>
  <si>
    <t>ID_Cout</t>
  </si>
  <si>
    <t xml:space="preserve">Sablage </t>
  </si>
  <si>
    <t xml:space="preserve">Scarification </t>
  </si>
  <si>
    <t>Verticutte</t>
  </si>
  <si>
    <t xml:space="preserve">Tonte  </t>
  </si>
  <si>
    <t xml:space="preserve">Fertilisation </t>
  </si>
  <si>
    <t xml:space="preserve">Traitement phytosanitaire </t>
  </si>
  <si>
    <t xml:space="preserve">Sursemis </t>
  </si>
  <si>
    <t xml:space="preserve">Ratissage </t>
  </si>
  <si>
    <t xml:space="preserve">Désherbage </t>
  </si>
  <si>
    <t>Date</t>
  </si>
  <si>
    <t>Jan</t>
  </si>
  <si>
    <t>Feb</t>
  </si>
  <si>
    <t>Mar</t>
  </si>
  <si>
    <t>Apr</t>
  </si>
  <si>
    <t>May</t>
  </si>
  <si>
    <t>Jun</t>
  </si>
  <si>
    <t>Jul</t>
  </si>
  <si>
    <t>Aug</t>
  </si>
  <si>
    <t>Sep</t>
  </si>
  <si>
    <t>Oct</t>
  </si>
  <si>
    <t>Nov</t>
  </si>
  <si>
    <t>Dec</t>
  </si>
  <si>
    <t>Sum of Cout</t>
  </si>
  <si>
    <t>sup</t>
  </si>
  <si>
    <t>Sum of sup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</si>
</sst>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_-* #,##0.00\ [$د.م.‏-1801]_-;\-* #,##0.00\ [$د.م.‏-1801]_-;_-* &quot;-&quot;??\ [$د.م.‏-1801]_-;_-@_-"/>
    <numFmt numFmtId="165" formatCode="0.00&quot; m²&quot;"/>
    <numFmt numFmtId="166" formatCode="[$MAD]\ #,##0.00"/>
    <numFmt numFmtId="167" formatCode="_([$MAD]\ * #,##0.00_);_([$MAD]\ * \(#,##0.00\);_([$MAD]\ * &quot;-&quot;??_);_(@_)"/>
    <numFmt numFmtId="168" formatCode="mmmm"/>
  </numFmts>
  <fonts count="10" x14ac:knownFonts="1">
    <font>
      <sz val="11"/>
      <color theme="1"/>
      <name val="Calibri"/>
      <family val="2"/>
      <scheme val="minor"/>
    </font>
    <font>
      <sz val="11"/>
      <color theme="1"/>
      <name val="Times New Roman"/>
      <family val="1"/>
    </font>
    <font>
      <b/>
      <sz val="11"/>
      <color theme="1"/>
      <name val="Calibri"/>
      <family val="2"/>
      <scheme val="minor"/>
    </font>
    <font>
      <b/>
      <sz val="12"/>
      <color theme="1"/>
      <name val="Calibri"/>
      <family val="2"/>
      <scheme val="minor"/>
    </font>
    <font>
      <b/>
      <i/>
      <sz val="11"/>
      <color theme="1"/>
      <name val="Calibri"/>
      <family val="2"/>
      <scheme val="minor"/>
    </font>
    <font>
      <i/>
      <sz val="11"/>
      <color theme="1"/>
      <name val="Calibri"/>
      <family val="2"/>
      <scheme val="minor"/>
    </font>
    <font>
      <b/>
      <i/>
      <sz val="11"/>
      <color theme="1"/>
      <name val="Times New Roman"/>
      <family val="1"/>
    </font>
    <font>
      <sz val="11"/>
      <color theme="1"/>
      <name val="Calibri"/>
      <family val="2"/>
      <scheme val="minor"/>
    </font>
    <font>
      <b/>
      <sz val="20"/>
      <color theme="6" tint="-0.499984740745262"/>
      <name val="Times New Roman"/>
      <family val="1"/>
    </font>
    <font>
      <b/>
      <sz val="22"/>
      <color theme="6" tint="-0.499984740745262"/>
      <name val="Times New Roman"/>
      <family val="1"/>
    </font>
  </fonts>
  <fills count="8">
    <fill>
      <patternFill patternType="none"/>
    </fill>
    <fill>
      <patternFill patternType="gray125"/>
    </fill>
    <fill>
      <patternFill patternType="solid">
        <fgColor theme="6" tint="0.39997558519241921"/>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44" fontId="7" fillId="0" borderId="0" applyFont="0" applyFill="0" applyBorder="0" applyAlignment="0" applyProtection="0"/>
  </cellStyleXfs>
  <cellXfs count="203">
    <xf numFmtId="0" fontId="0" fillId="0" borderId="0" xfId="0"/>
    <xf numFmtId="0" fontId="0" fillId="0" borderId="0" xfId="0" applyAlignment="1">
      <alignment horizontal="center"/>
    </xf>
    <xf numFmtId="0" fontId="0" fillId="0" borderId="1" xfId="0" applyBorder="1"/>
    <xf numFmtId="0" fontId="0" fillId="0" borderId="0" xfId="0" applyAlignment="1">
      <alignment vertical="center"/>
    </xf>
    <xf numFmtId="0" fontId="0" fillId="2" borderId="1" xfId="0" applyFill="1" applyBorder="1" applyAlignment="1">
      <alignment horizontal="center"/>
    </xf>
    <xf numFmtId="1" fontId="1" fillId="4" borderId="1" xfId="0" applyNumberFormat="1" applyFont="1" applyFill="1" applyBorder="1" applyAlignment="1">
      <alignment horizontal="center" vertical="center"/>
    </xf>
    <xf numFmtId="0" fontId="0" fillId="3" borderId="1" xfId="0" applyFill="1" applyBorder="1" applyAlignment="1">
      <alignment horizontal="center"/>
    </xf>
    <xf numFmtId="0" fontId="0" fillId="4" borderId="7" xfId="0" applyFill="1" applyBorder="1" applyAlignment="1">
      <alignment horizontal="center"/>
    </xf>
    <xf numFmtId="0" fontId="0" fillId="4" borderId="1" xfId="0" applyFill="1" applyBorder="1" applyAlignment="1">
      <alignment horizontal="center"/>
    </xf>
    <xf numFmtId="0" fontId="0" fillId="2" borderId="1" xfId="0" applyFill="1" applyBorder="1"/>
    <xf numFmtId="0" fontId="0" fillId="2" borderId="9" xfId="0" applyFill="1" applyBorder="1"/>
    <xf numFmtId="0" fontId="0" fillId="4" borderId="1" xfId="0" applyFill="1" applyBorder="1"/>
    <xf numFmtId="0" fontId="0" fillId="4" borderId="9" xfId="0" applyFill="1" applyBorder="1"/>
    <xf numFmtId="0" fontId="0" fillId="4" borderId="7" xfId="0" applyFill="1" applyBorder="1"/>
    <xf numFmtId="0" fontId="0" fillId="4" borderId="8" xfId="0" applyFill="1" applyBorder="1"/>
    <xf numFmtId="0" fontId="0" fillId="3" borderId="1" xfId="0" applyFill="1" applyBorder="1"/>
    <xf numFmtId="0" fontId="0" fillId="3" borderId="9" xfId="0" applyFill="1" applyBorder="1"/>
    <xf numFmtId="0" fontId="0" fillId="3" borderId="10" xfId="0" applyFill="1" applyBorder="1"/>
    <xf numFmtId="0" fontId="0" fillId="3" borderId="11" xfId="0" applyFill="1" applyBorder="1"/>
    <xf numFmtId="0" fontId="0" fillId="0" borderId="3" xfId="0" applyBorder="1" applyAlignment="1">
      <alignment horizontal="center"/>
    </xf>
    <xf numFmtId="0" fontId="0" fillId="0" borderId="3" xfId="0" applyFill="1" applyBorder="1" applyAlignment="1">
      <alignment horizontal="center"/>
    </xf>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3" fillId="0" borderId="1" xfId="0" applyFont="1" applyBorder="1"/>
    <xf numFmtId="2" fontId="0" fillId="0" borderId="1" xfId="0" applyNumberFormat="1" applyBorder="1" applyAlignment="1">
      <alignment vertical="center"/>
    </xf>
    <xf numFmtId="0" fontId="2" fillId="0" borderId="1" xfId="0" applyFont="1" applyBorder="1" applyAlignment="1">
      <alignment horizontal="center"/>
    </xf>
    <xf numFmtId="0" fontId="0" fillId="0" borderId="3" xfId="0" applyBorder="1" applyAlignment="1"/>
    <xf numFmtId="0" fontId="0" fillId="0" borderId="1" xfId="0" applyBorder="1" applyAlignment="1"/>
    <xf numFmtId="0" fontId="0" fillId="0" borderId="19" xfId="0" applyFill="1" applyBorder="1" applyAlignment="1"/>
    <xf numFmtId="2" fontId="0" fillId="0" borderId="1" xfId="0" applyNumberFormat="1" applyBorder="1"/>
    <xf numFmtId="0" fontId="0" fillId="0" borderId="0" xfId="0" applyBorder="1"/>
    <xf numFmtId="0" fontId="0" fillId="0" borderId="19" xfId="0" applyFill="1" applyBorder="1"/>
    <xf numFmtId="0" fontId="0" fillId="0" borderId="0" xfId="0" applyFill="1" applyBorder="1"/>
    <xf numFmtId="0" fontId="0" fillId="0" borderId="1" xfId="0" applyFill="1" applyBorder="1"/>
    <xf numFmtId="0" fontId="0" fillId="0" borderId="0" xfId="0" applyBorder="1" applyAlignment="1">
      <alignment horizontal="center" vertical="center"/>
    </xf>
    <xf numFmtId="16" fontId="0" fillId="0" borderId="0" xfId="0" applyNumberFormat="1"/>
    <xf numFmtId="0" fontId="0" fillId="6" borderId="7" xfId="0" applyFill="1" applyBorder="1"/>
    <xf numFmtId="1" fontId="1" fillId="6" borderId="7" xfId="0" applyNumberFormat="1" applyFont="1" applyFill="1" applyBorder="1" applyAlignment="1">
      <alignment horizontal="center" vertical="center"/>
    </xf>
    <xf numFmtId="0" fontId="0" fillId="6" borderId="8" xfId="0" applyFill="1" applyBorder="1"/>
    <xf numFmtId="0" fontId="0" fillId="6" borderId="1" xfId="0" applyFill="1" applyBorder="1"/>
    <xf numFmtId="1" fontId="1" fillId="6" borderId="1" xfId="0" applyNumberFormat="1" applyFont="1" applyFill="1" applyBorder="1" applyAlignment="1">
      <alignment horizontal="center" vertical="center"/>
    </xf>
    <xf numFmtId="0" fontId="0" fillId="6" borderId="9" xfId="0" applyFill="1" applyBorder="1"/>
    <xf numFmtId="1" fontId="1" fillId="6" borderId="10" xfId="0" applyNumberFormat="1" applyFont="1" applyFill="1" applyBorder="1" applyAlignment="1">
      <alignment horizontal="center" vertical="center"/>
    </xf>
    <xf numFmtId="0" fontId="0" fillId="6" borderId="10" xfId="0" applyFill="1" applyBorder="1"/>
    <xf numFmtId="0" fontId="0" fillId="6" borderId="11" xfId="0" applyFill="1" applyBorder="1"/>
    <xf numFmtId="0" fontId="0" fillId="2" borderId="7" xfId="0" applyFill="1" applyBorder="1"/>
    <xf numFmtId="0" fontId="0" fillId="2" borderId="7" xfId="0" applyFill="1" applyBorder="1" applyAlignment="1">
      <alignment horizontal="center"/>
    </xf>
    <xf numFmtId="0" fontId="0" fillId="2" borderId="13" xfId="0" applyFill="1" applyBorder="1" applyAlignment="1">
      <alignment horizontal="center"/>
    </xf>
    <xf numFmtId="0" fontId="0" fillId="2" borderId="10" xfId="0" applyFill="1" applyBorder="1" applyAlignment="1">
      <alignment horizontal="center"/>
    </xf>
    <xf numFmtId="0" fontId="0" fillId="2" borderId="10" xfId="0" applyFill="1" applyBorder="1"/>
    <xf numFmtId="0" fontId="0" fillId="5" borderId="1" xfId="0" applyFill="1" applyBorder="1"/>
    <xf numFmtId="0" fontId="0" fillId="5" borderId="7" xfId="0" applyFill="1" applyBorder="1"/>
    <xf numFmtId="0" fontId="0" fillId="5" borderId="8" xfId="0" applyFill="1" applyBorder="1"/>
    <xf numFmtId="0" fontId="0" fillId="5" borderId="9" xfId="0" applyFill="1" applyBorder="1"/>
    <xf numFmtId="0" fontId="0" fillId="2" borderId="12" xfId="0" applyFill="1" applyBorder="1" applyAlignment="1">
      <alignment vertical="center"/>
    </xf>
    <xf numFmtId="0" fontId="0" fillId="2" borderId="8" xfId="0" applyFill="1" applyBorder="1"/>
    <xf numFmtId="0" fontId="0" fillId="2" borderId="13" xfId="0" applyFill="1" applyBorder="1" applyAlignment="1">
      <alignment vertical="center"/>
    </xf>
    <xf numFmtId="0" fontId="0" fillId="5" borderId="3" xfId="0" applyFill="1" applyBorder="1"/>
    <xf numFmtId="0" fontId="0" fillId="5" borderId="15" xfId="0" applyFill="1" applyBorder="1"/>
    <xf numFmtId="1" fontId="1" fillId="4" borderId="7" xfId="0" applyNumberFormat="1" applyFont="1" applyFill="1" applyBorder="1" applyAlignment="1">
      <alignment horizontal="center" vertical="center"/>
    </xf>
    <xf numFmtId="1" fontId="1" fillId="4" borderId="10" xfId="0" applyNumberFormat="1" applyFont="1" applyFill="1" applyBorder="1" applyAlignment="1">
      <alignment horizontal="center" vertical="center"/>
    </xf>
    <xf numFmtId="0" fontId="0" fillId="4" borderId="10" xfId="0" applyFill="1" applyBorder="1"/>
    <xf numFmtId="0" fontId="0" fillId="2" borderId="11" xfId="0" applyFill="1" applyBorder="1"/>
    <xf numFmtId="0" fontId="0" fillId="3" borderId="7" xfId="0" applyFill="1" applyBorder="1"/>
    <xf numFmtId="0" fontId="0" fillId="3" borderId="7" xfId="0" applyFill="1" applyBorder="1" applyAlignment="1">
      <alignment horizontal="center"/>
    </xf>
    <xf numFmtId="0" fontId="0" fillId="3" borderId="10" xfId="0" applyFill="1" applyBorder="1" applyAlignment="1">
      <alignment horizontal="center"/>
    </xf>
    <xf numFmtId="0" fontId="0" fillId="3" borderId="8" xfId="0" applyFill="1" applyBorder="1"/>
    <xf numFmtId="0" fontId="0" fillId="3" borderId="13" xfId="0" applyFill="1" applyBorder="1" applyAlignment="1">
      <alignment vertical="center"/>
    </xf>
    <xf numFmtId="0" fontId="0" fillId="3" borderId="14" xfId="0" applyFill="1" applyBorder="1" applyAlignment="1">
      <alignment vertical="center"/>
    </xf>
    <xf numFmtId="0" fontId="0" fillId="5" borderId="1" xfId="0" applyFill="1" applyBorder="1" applyAlignment="1">
      <alignment vertical="center"/>
    </xf>
    <xf numFmtId="1" fontId="1" fillId="5" borderId="1" xfId="0" applyNumberFormat="1" applyFont="1" applyFill="1" applyBorder="1" applyAlignment="1">
      <alignment vertical="center"/>
    </xf>
    <xf numFmtId="0" fontId="0" fillId="5" borderId="12" xfId="0" applyFill="1" applyBorder="1" applyAlignment="1">
      <alignment vertical="center"/>
    </xf>
    <xf numFmtId="0" fontId="0" fillId="5" borderId="7" xfId="0" applyFill="1" applyBorder="1" applyAlignment="1">
      <alignment vertical="center"/>
    </xf>
    <xf numFmtId="1" fontId="1" fillId="5" borderId="7" xfId="0" applyNumberFormat="1" applyFont="1" applyFill="1" applyBorder="1" applyAlignment="1">
      <alignment vertical="center"/>
    </xf>
    <xf numFmtId="0" fontId="0" fillId="5" borderId="13" xfId="0" applyFill="1" applyBorder="1" applyAlignment="1">
      <alignment vertical="center"/>
    </xf>
    <xf numFmtId="0" fontId="4" fillId="4" borderId="5" xfId="0" applyFont="1" applyFill="1" applyBorder="1"/>
    <xf numFmtId="0" fontId="4" fillId="3" borderId="5" xfId="0" applyFont="1" applyFill="1" applyBorder="1" applyAlignment="1">
      <alignment horizontal="center"/>
    </xf>
    <xf numFmtId="0" fontId="4" fillId="3" borderId="5" xfId="0" applyFont="1" applyFill="1" applyBorder="1"/>
    <xf numFmtId="0" fontId="5" fillId="0" borderId="0" xfId="0" applyFont="1"/>
    <xf numFmtId="0" fontId="0" fillId="5" borderId="16" xfId="0" applyFill="1" applyBorder="1" applyAlignment="1">
      <alignment vertical="center"/>
    </xf>
    <xf numFmtId="0" fontId="0" fillId="5" borderId="3" xfId="0" applyFill="1" applyBorder="1" applyAlignment="1">
      <alignment vertical="center"/>
    </xf>
    <xf numFmtId="1" fontId="1" fillId="5" borderId="3" xfId="0" applyNumberFormat="1" applyFont="1" applyFill="1" applyBorder="1" applyAlignment="1">
      <alignment vertical="center"/>
    </xf>
    <xf numFmtId="0" fontId="0" fillId="0" borderId="0" xfId="0" applyFont="1"/>
    <xf numFmtId="0" fontId="4" fillId="2" borderId="17" xfId="0" applyFont="1" applyFill="1" applyBorder="1"/>
    <xf numFmtId="1" fontId="6" fillId="5" borderId="17" xfId="0" applyNumberFormat="1" applyFont="1" applyFill="1" applyBorder="1" applyAlignment="1">
      <alignment horizontal="center" vertical="center"/>
    </xf>
    <xf numFmtId="0" fontId="4" fillId="5" borderId="17" xfId="0" applyFont="1" applyFill="1" applyBorder="1"/>
    <xf numFmtId="0" fontId="0" fillId="4" borderId="12" xfId="0" applyFill="1" applyBorder="1" applyAlignment="1">
      <alignment horizontal="center" vertical="center"/>
    </xf>
    <xf numFmtId="0" fontId="2" fillId="4" borderId="7" xfId="0" applyFont="1" applyFill="1" applyBorder="1"/>
    <xf numFmtId="0" fontId="2" fillId="4" borderId="8" xfId="0" applyFont="1" applyFill="1" applyBorder="1"/>
    <xf numFmtId="0" fontId="0" fillId="7" borderId="5" xfId="0" applyFill="1" applyBorder="1" applyAlignment="1">
      <alignment horizontal="center" vertical="center"/>
    </xf>
    <xf numFmtId="0" fontId="4" fillId="7" borderId="5" xfId="0" applyFont="1" applyFill="1" applyBorder="1"/>
    <xf numFmtId="0" fontId="0" fillId="7" borderId="1" xfId="0" applyFill="1" applyBorder="1"/>
    <xf numFmtId="0" fontId="0" fillId="7" borderId="3" xfId="0" applyFill="1" applyBorder="1"/>
    <xf numFmtId="0" fontId="4" fillId="7" borderId="17" xfId="0" applyFont="1" applyFill="1" applyBorder="1"/>
    <xf numFmtId="0" fontId="2" fillId="7" borderId="7" xfId="0" applyFont="1" applyFill="1" applyBorder="1"/>
    <xf numFmtId="0" fontId="0" fillId="7" borderId="0" xfId="0" applyFill="1"/>
    <xf numFmtId="2" fontId="0" fillId="7" borderId="5" xfId="0" applyNumberFormat="1" applyFill="1" applyBorder="1" applyAlignment="1">
      <alignment horizontal="center" vertical="center"/>
    </xf>
    <xf numFmtId="2" fontId="0" fillId="7" borderId="7" xfId="0" applyNumberFormat="1" applyFill="1" applyBorder="1"/>
    <xf numFmtId="2" fontId="0" fillId="7" borderId="1" xfId="0" applyNumberFormat="1" applyFill="1" applyBorder="1"/>
    <xf numFmtId="2" fontId="0" fillId="7" borderId="10" xfId="0" applyNumberFormat="1" applyFill="1" applyBorder="1"/>
    <xf numFmtId="2" fontId="4" fillId="7" borderId="5" xfId="0" applyNumberFormat="1" applyFont="1" applyFill="1" applyBorder="1"/>
    <xf numFmtId="2" fontId="0" fillId="7" borderId="3" xfId="0" applyNumberFormat="1" applyFill="1" applyBorder="1"/>
    <xf numFmtId="2" fontId="4" fillId="7" borderId="17" xfId="0" applyNumberFormat="1" applyFont="1" applyFill="1" applyBorder="1"/>
    <xf numFmtId="2" fontId="2" fillId="7" borderId="7" xfId="0" applyNumberFormat="1" applyFont="1" applyFill="1" applyBorder="1"/>
    <xf numFmtId="2" fontId="0" fillId="7" borderId="0" xfId="0" applyNumberFormat="1" applyFill="1"/>
    <xf numFmtId="0" fontId="0" fillId="7" borderId="7" xfId="0" applyFill="1" applyBorder="1"/>
    <xf numFmtId="0" fontId="0" fillId="7" borderId="10" xfId="0" applyFill="1" applyBorder="1"/>
    <xf numFmtId="1" fontId="6" fillId="6" borderId="17" xfId="0" applyNumberFormat="1" applyFont="1" applyFill="1" applyBorder="1" applyAlignment="1">
      <alignment horizontal="center" vertical="center"/>
    </xf>
    <xf numFmtId="0" fontId="4" fillId="6" borderId="17" xfId="0" applyFont="1" applyFill="1" applyBorder="1"/>
    <xf numFmtId="0" fontId="4" fillId="6" borderId="21" xfId="0" applyFont="1" applyFill="1" applyBorder="1"/>
    <xf numFmtId="0" fontId="0" fillId="2" borderId="14" xfId="0" applyFill="1" applyBorder="1" applyAlignment="1">
      <alignment horizontal="center"/>
    </xf>
    <xf numFmtId="0" fontId="4" fillId="2" borderId="17" xfId="0" applyFont="1" applyFill="1" applyBorder="1" applyAlignment="1">
      <alignment horizontal="center"/>
    </xf>
    <xf numFmtId="0" fontId="4" fillId="5" borderId="17" xfId="0" applyFont="1" applyFill="1" applyBorder="1" applyAlignment="1">
      <alignment horizontal="center" vertical="center"/>
    </xf>
    <xf numFmtId="0" fontId="4" fillId="7" borderId="17" xfId="0" applyFont="1" applyFill="1" applyBorder="1" applyAlignment="1">
      <alignment horizontal="center" vertical="center"/>
    </xf>
    <xf numFmtId="0" fontId="2" fillId="7" borderId="1" xfId="0" applyFont="1" applyFill="1" applyBorder="1"/>
    <xf numFmtId="2" fontId="2" fillId="7" borderId="1" xfId="0" applyNumberFormat="1" applyFont="1" applyFill="1" applyBorder="1"/>
    <xf numFmtId="0" fontId="2" fillId="4" borderId="1" xfId="0" applyFont="1" applyFill="1" applyBorder="1"/>
    <xf numFmtId="0" fontId="0" fillId="4" borderId="13" xfId="0" applyFill="1" applyBorder="1" applyAlignment="1">
      <alignment horizontal="center" vertical="center"/>
    </xf>
    <xf numFmtId="0" fontId="2" fillId="4" borderId="9" xfId="0" applyFont="1" applyFill="1" applyBorder="1"/>
    <xf numFmtId="0" fontId="0" fillId="4" borderId="14" xfId="0" applyFont="1" applyFill="1" applyBorder="1" applyAlignment="1">
      <alignment horizontal="center" vertical="center"/>
    </xf>
    <xf numFmtId="0" fontId="0" fillId="4" borderId="10" xfId="0" applyFont="1" applyFill="1" applyBorder="1"/>
    <xf numFmtId="0" fontId="0" fillId="4" borderId="10" xfId="0" applyFont="1" applyFill="1" applyBorder="1" applyAlignment="1">
      <alignment horizontal="center"/>
    </xf>
    <xf numFmtId="0" fontId="0" fillId="7" borderId="10" xfId="0" applyFont="1" applyFill="1" applyBorder="1"/>
    <xf numFmtId="2" fontId="0" fillId="7" borderId="10" xfId="0" applyNumberFormat="1" applyFont="1" applyFill="1" applyBorder="1"/>
    <xf numFmtId="0" fontId="0" fillId="4" borderId="11" xfId="0" applyFont="1" applyFill="1" applyBorder="1"/>
    <xf numFmtId="0" fontId="0" fillId="4" borderId="11" xfId="0" applyFill="1" applyBorder="1"/>
    <xf numFmtId="1" fontId="6" fillId="4" borderId="5" xfId="0" applyNumberFormat="1" applyFont="1" applyFill="1" applyBorder="1" applyAlignment="1">
      <alignment horizontal="center" vertical="center"/>
    </xf>
    <xf numFmtId="0" fontId="0" fillId="0" borderId="0" xfId="0" applyAlignment="1">
      <alignment wrapText="1"/>
    </xf>
    <xf numFmtId="0" fontId="2" fillId="0" borderId="17"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1" xfId="0" applyFont="1" applyBorder="1" applyAlignment="1">
      <alignment horizontal="center" vertical="center" wrapText="1"/>
    </xf>
    <xf numFmtId="0" fontId="2" fillId="7" borderId="18" xfId="0" applyFont="1" applyFill="1" applyBorder="1" applyAlignment="1">
      <alignment horizontal="center" vertical="center" wrapText="1"/>
    </xf>
    <xf numFmtId="2" fontId="2" fillId="7" borderId="18" xfId="0" applyNumberFormat="1" applyFont="1" applyFill="1" applyBorder="1" applyAlignment="1">
      <alignment horizontal="center" vertical="center" wrapText="1"/>
    </xf>
    <xf numFmtId="0" fontId="4" fillId="5" borderId="17" xfId="0" applyFont="1" applyFill="1" applyBorder="1" applyAlignment="1">
      <alignment horizontal="center" vertical="center"/>
    </xf>
    <xf numFmtId="0" fontId="0" fillId="4" borderId="13" xfId="0" applyFill="1" applyBorder="1" applyAlignment="1">
      <alignment horizontal="center" vertical="center"/>
    </xf>
    <xf numFmtId="0" fontId="0" fillId="4" borderId="12" xfId="0" applyFill="1" applyBorder="1" applyAlignment="1">
      <alignment horizontal="center" vertical="center"/>
    </xf>
    <xf numFmtId="0" fontId="4" fillId="2" borderId="17" xfId="0" applyFont="1" applyFill="1" applyBorder="1" applyAlignment="1">
      <alignment horizontal="center"/>
    </xf>
    <xf numFmtId="2" fontId="0" fillId="7" borderId="17" xfId="0" applyNumberFormat="1" applyFill="1" applyBorder="1"/>
    <xf numFmtId="2" fontId="0" fillId="0" borderId="0" xfId="0" applyNumberFormat="1"/>
    <xf numFmtId="1" fontId="0" fillId="0" borderId="0" xfId="0" applyNumberFormat="1"/>
    <xf numFmtId="1" fontId="0" fillId="0" borderId="0" xfId="0" applyNumberFormat="1" applyFill="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2" fillId="0" borderId="0" xfId="0" applyFont="1" applyFill="1" applyBorder="1" applyAlignment="1">
      <alignment horizontal="left" vertical="center" wrapText="1"/>
    </xf>
    <xf numFmtId="2" fontId="2" fillId="0" borderId="0" xfId="0" applyNumberFormat="1" applyFont="1" applyFill="1" applyBorder="1" applyAlignment="1">
      <alignment horizontal="left" vertical="center" wrapText="1"/>
    </xf>
    <xf numFmtId="0" fontId="0" fillId="0" borderId="0" xfId="0" applyFill="1" applyBorder="1" applyAlignment="1">
      <alignment horizontal="left"/>
    </xf>
    <xf numFmtId="0" fontId="0" fillId="0" borderId="0" xfId="0" applyFill="1" applyBorder="1" applyAlignment="1">
      <alignment horizontal="left" vertical="center"/>
    </xf>
    <xf numFmtId="2" fontId="1" fillId="0" borderId="0" xfId="0" applyNumberFormat="1" applyFont="1" applyFill="1" applyBorder="1" applyAlignment="1">
      <alignment horizontal="left" vertical="center"/>
    </xf>
    <xf numFmtId="2" fontId="0" fillId="0" borderId="0" xfId="0" applyNumberForma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alignment horizontal="left"/>
    </xf>
    <xf numFmtId="2" fontId="0" fillId="0" borderId="0" xfId="0" applyNumberFormat="1" applyFont="1" applyFill="1" applyBorder="1" applyAlignment="1">
      <alignment horizontal="left" vertical="center"/>
    </xf>
    <xf numFmtId="4" fontId="0" fillId="0" borderId="0" xfId="0" applyNumberFormat="1"/>
    <xf numFmtId="167" fontId="0" fillId="0" borderId="0" xfId="0" applyNumberFormat="1"/>
    <xf numFmtId="167" fontId="0" fillId="0" borderId="0" xfId="0" pivotButton="1" applyNumberFormat="1"/>
    <xf numFmtId="167" fontId="0" fillId="0" borderId="0" xfId="0" applyNumberFormat="1" applyAlignment="1">
      <alignment horizontal="left"/>
    </xf>
    <xf numFmtId="14" fontId="0" fillId="0" borderId="0" xfId="0" applyNumberFormat="1"/>
    <xf numFmtId="168" fontId="0" fillId="0" borderId="0" xfId="0" applyNumberFormat="1"/>
    <xf numFmtId="10" fontId="0" fillId="0" borderId="0" xfId="0" applyNumberFormat="1"/>
    <xf numFmtId="166" fontId="8" fillId="0" borderId="0" xfId="1" applyNumberFormat="1" applyFont="1" applyAlignment="1">
      <alignment vertical="center"/>
    </xf>
    <xf numFmtId="0" fontId="4" fillId="3" borderId="4" xfId="0" applyFont="1" applyFill="1" applyBorder="1" applyAlignment="1">
      <alignment horizontal="center" vertical="center"/>
    </xf>
    <xf numFmtId="0" fontId="4" fillId="3" borderId="5" xfId="0" applyFont="1" applyFill="1" applyBorder="1" applyAlignment="1">
      <alignment horizontal="center" vertical="center"/>
    </xf>
    <xf numFmtId="0" fontId="4" fillId="5" borderId="6" xfId="0" applyFont="1" applyFill="1" applyBorder="1" applyAlignment="1">
      <alignment horizontal="center" vertical="center"/>
    </xf>
    <xf numFmtId="0" fontId="4" fillId="5" borderId="17" xfId="0" applyFont="1" applyFill="1" applyBorder="1" applyAlignment="1">
      <alignment horizontal="center" vertical="center"/>
    </xf>
    <xf numFmtId="0" fontId="0" fillId="4" borderId="13" xfId="0" applyFill="1" applyBorder="1" applyAlignment="1">
      <alignment horizontal="center" vertical="center"/>
    </xf>
    <xf numFmtId="0" fontId="0" fillId="4" borderId="14" xfId="0" applyFill="1" applyBorder="1" applyAlignment="1">
      <alignment horizontal="center" vertical="center"/>
    </xf>
    <xf numFmtId="0" fontId="0" fillId="4" borderId="12" xfId="0" applyFill="1" applyBorder="1" applyAlignment="1">
      <alignment horizontal="center" vertical="center"/>
    </xf>
    <xf numFmtId="0" fontId="0" fillId="3" borderId="12" xfId="0" applyFill="1" applyBorder="1" applyAlignment="1">
      <alignment horizontal="center" vertical="center"/>
    </xf>
    <xf numFmtId="0" fontId="0" fillId="3" borderId="13" xfId="0" applyFill="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xf>
    <xf numFmtId="0" fontId="4" fillId="2" borderId="6" xfId="0" applyFont="1" applyFill="1" applyBorder="1" applyAlignment="1">
      <alignment horizontal="center"/>
    </xf>
    <xf numFmtId="0" fontId="4" fillId="2" borderId="17" xfId="0" applyFont="1" applyFill="1" applyBorder="1" applyAlignment="1">
      <alignment horizontal="center"/>
    </xf>
    <xf numFmtId="0" fontId="4" fillId="6" borderId="6" xfId="0" applyFont="1" applyFill="1" applyBorder="1" applyAlignment="1">
      <alignment horizontal="center"/>
    </xf>
    <xf numFmtId="0" fontId="4" fillId="6" borderId="17" xfId="0" applyFont="1" applyFill="1" applyBorder="1" applyAlignment="1">
      <alignment horizontal="center"/>
    </xf>
    <xf numFmtId="0" fontId="4" fillId="4" borderId="4" xfId="0" applyFont="1" applyFill="1" applyBorder="1" applyAlignment="1">
      <alignment horizontal="center"/>
    </xf>
    <xf numFmtId="0" fontId="4" fillId="4" borderId="5" xfId="0" applyFont="1" applyFill="1" applyBorder="1" applyAlignment="1">
      <alignment horizontal="center"/>
    </xf>
    <xf numFmtId="0" fontId="0" fillId="6" borderId="12" xfId="0" applyFill="1" applyBorder="1" applyAlignment="1">
      <alignment horizontal="center" vertical="center"/>
    </xf>
    <xf numFmtId="0" fontId="0" fillId="6" borderId="13" xfId="0" applyFill="1" applyBorder="1" applyAlignment="1">
      <alignment horizontal="center" vertical="center"/>
    </xf>
    <xf numFmtId="0" fontId="0" fillId="6" borderId="14" xfId="0" applyFill="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center" vertical="center"/>
    </xf>
    <xf numFmtId="0" fontId="0" fillId="0" borderId="20" xfId="0" applyBorder="1" applyAlignment="1">
      <alignment horizontal="center"/>
    </xf>
    <xf numFmtId="0" fontId="0" fillId="0" borderId="2" xfId="0" applyBorder="1" applyAlignment="1">
      <alignment horizontal="center"/>
    </xf>
    <xf numFmtId="166" fontId="9" fillId="0" borderId="0" xfId="1" applyNumberFormat="1" applyFont="1" applyAlignment="1">
      <alignment horizontal="center" vertical="center"/>
    </xf>
    <xf numFmtId="165" fontId="9" fillId="0" borderId="0" xfId="0" applyNumberFormat="1" applyFont="1" applyAlignment="1">
      <alignment horizontal="center" vertical="center"/>
    </xf>
  </cellXfs>
  <cellStyles count="2">
    <cellStyle name="Currency" xfId="1" builtinId="4"/>
    <cellStyle name="Normal" xfId="0" builtinId="0"/>
  </cellStyles>
  <dxfs count="54">
    <dxf>
      <numFmt numFmtId="167" formatCode="_([$MAD]\ * #,##0.00_);_([$MAD]\ * \(#,##0.00\);_([$MAD]\ * &quot;-&quot;??_);_(@_)"/>
    </dxf>
    <dxf>
      <numFmt numFmtId="1" formatCode="0"/>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4" formatCode="#,##0.00"/>
    </dxf>
    <dxf>
      <numFmt numFmtId="2" formatCode="0.00"/>
    </dxf>
    <dxf>
      <numFmt numFmtId="167" formatCode="_([$MAD]\ * #,##0.00_);_([$MAD]\ * \(#,##0.00\);_([$MAD]\ * &quot;-&quot;??_);_(@_)"/>
    </dxf>
    <dxf>
      <numFmt numFmtId="14" formatCode="0.00%"/>
    </dxf>
    <dxf>
      <numFmt numFmtId="167" formatCode="_([$MAD]\ * #,##0.00_);_([$MAD]\ * \(#,##0.00\);_([$MAD]\ * &quot;-&quot;??_);_(@_)"/>
    </dxf>
    <dxf>
      <numFmt numFmtId="167" formatCode="_([$MAD]\ * #,##0.00_);_([$MAD]\ * \(#,##0.00\);_([$MAD]\ * &quot;-&quot;??_);_(@_)"/>
    </dxf>
    <dxf>
      <numFmt numFmtId="164" formatCode="_-* #,##0.00\ [$د.م.‏-1801]_-;\-* #,##0.00\ [$د.م.‏-1801]_-;_-* &quot;-&quot;??\ [$د.م.‏-1801]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167" formatCode="_([$MAD]\ * #,##0.00_);_([$MAD]\ * \(#,##0.00\);_([$MAD]\ * &quot;-&quot;??_);_(@_)"/>
    </dxf>
    <dxf>
      <numFmt numFmtId="2" formatCode="0.00"/>
    </dxf>
    <dxf>
      <numFmt numFmtId="0" formatCode="General"/>
    </dxf>
    <dxf>
      <numFmt numFmtId="167" formatCode="_([$MAD]\ * #,##0.00_);_([$MAD]\ * \(#,##0.00\);_([$MAD]\ * &quot;-&quot;??_);_(@_)"/>
    </dxf>
    <dxf>
      <fill>
        <patternFill patternType="none">
          <fgColor indexed="64"/>
          <bgColor indexed="65"/>
        </patternFill>
      </fill>
    </dxf>
    <dxf>
      <fill>
        <patternFill patternType="none">
          <fgColor indexed="64"/>
          <bgColor indexed="65"/>
        </patternFill>
      </fill>
    </dxf>
    <dxf>
      <numFmt numFmtId="0" formatCode="General"/>
      <fill>
        <patternFill patternType="none">
          <fgColor indexed="64"/>
          <bgColor indexed="65"/>
        </patternFill>
      </fill>
    </dxf>
    <dxf>
      <numFmt numFmtId="0" formatCode="General"/>
    </dxf>
    <dxf>
      <numFmt numFmtId="167" formatCode="_([$MAD]\ * #,##0.00_);_([$MAD]\ * \(#,##0.00\);_([$MAD]\ * &quot;-&quot;??_);_(@_)"/>
    </dxf>
    <dxf>
      <numFmt numFmtId="167" formatCode="_([$MAD]\ * #,##0.00_);_([$MAD]\ * \(#,##0.00\);_([$MAD]\ * &quot;-&quot;??_);_(@_)"/>
    </dxf>
    <dxf>
      <numFmt numFmtId="0" formatCode="General"/>
    </dxf>
    <dxf>
      <numFmt numFmtId="1" formatCode="0"/>
      <fill>
        <patternFill patternType="none">
          <fgColor indexed="64"/>
          <bgColor indexed="65"/>
        </patternFill>
      </fill>
    </dxf>
    <dxf>
      <numFmt numFmtId="0" formatCode="General"/>
      <fill>
        <patternFill patternType="none">
          <fgColor indexed="64"/>
          <bgColor indexed="65"/>
        </patternFill>
      </fill>
    </dxf>
    <dxf>
      <fill>
        <patternFill patternType="none">
          <fgColor indexed="64"/>
          <bgColor indexed="65"/>
        </patternFill>
      </fill>
    </dxf>
    <dxf>
      <numFmt numFmtId="168" formatCode="mmmm"/>
    </dxf>
    <dxf>
      <fill>
        <patternFill patternType="none">
          <fgColor indexed="64"/>
          <bgColor indexed="65"/>
        </patternFill>
      </fill>
      <alignment horizontal="left" textRotation="0" indent="0" justifyLastLine="0" shrinkToFit="0" readingOrder="0"/>
    </dxf>
    <dxf>
      <numFmt numFmtId="2" formatCode="0.00"/>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textRotation="0" indent="0" justifyLastLine="0" shrinkToFit="0" readingOrder="0"/>
    </dxf>
    <dxf>
      <fill>
        <patternFill patternType="none">
          <fgColor indexed="64"/>
          <bgColor indexed="65"/>
        </patternFill>
      </fill>
      <alignment horizontal="left" textRotation="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textRotation="0" indent="0" justifyLastLine="0" shrinkToFit="0" readingOrder="0"/>
    </dxf>
    <dxf>
      <fill>
        <patternFill patternType="none">
          <fgColor indexed="64"/>
          <bgColor indexed="65"/>
        </patternFill>
      </fill>
      <alignment horizontal="left" textRotation="0" indent="0"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des operation de maintenance.xlsx]Cout_monthly!PivotTable15</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3">
                <a:lumMod val="75000"/>
              </a:schemeClr>
            </a:solidFill>
            <a:round/>
          </a:ln>
          <a:effectLst/>
        </c:spPr>
        <c:marker>
          <c:symbol val="circle"/>
          <c:size val="5"/>
          <c:spPr>
            <a:solidFill>
              <a:schemeClr val="accent1"/>
            </a:solidFill>
            <a:ln w="9525">
              <a:solidFill>
                <a:schemeClr val="accent1"/>
              </a:solidFill>
            </a:ln>
            <a:effectLst/>
          </c:spPr>
        </c:marker>
      </c:pivotFmt>
    </c:pivotFmts>
    <c:plotArea>
      <c:layout/>
      <c:lineChart>
        <c:grouping val="standard"/>
        <c:varyColors val="0"/>
        <c:ser>
          <c:idx val="0"/>
          <c:order val="0"/>
          <c:tx>
            <c:strRef>
              <c:f>Cout_monthly!$B$3</c:f>
              <c:strCache>
                <c:ptCount val="1"/>
                <c:pt idx="0">
                  <c:v>Total</c:v>
                </c:pt>
              </c:strCache>
            </c:strRef>
          </c:tx>
          <c:spPr>
            <a:ln w="28575" cap="rnd">
              <a:solidFill>
                <a:schemeClr val="accent3">
                  <a:lumMod val="75000"/>
                </a:schemeClr>
              </a:solidFill>
              <a:round/>
            </a:ln>
            <a:effectLst/>
          </c:spPr>
          <c:marker>
            <c:symbol val="circle"/>
            <c:size val="5"/>
            <c:spPr>
              <a:solidFill>
                <a:schemeClr val="accent1"/>
              </a:solidFill>
              <a:ln w="9525">
                <a:solidFill>
                  <a:schemeClr val="accent1"/>
                </a:solidFill>
              </a:ln>
              <a:effectLst/>
            </c:spPr>
          </c:marker>
          <c:cat>
            <c:strRef>
              <c:f>Cout_monthly!$A$4:$A$16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Cout_monthly!$B$4:$B$16</c:f>
              <c:numCache>
                <c:formatCode>_([$MAD]\ * #\ ##0.00_);_([$MAD]\ * \(#\ ##0.00\);_([$MAD]\ * "-"??_);_(@_)</c:formatCode>
                <c:ptCount val="12"/>
                <c:pt idx="0">
                  <c:v>81955.433180243097</c:v>
                </c:pt>
                <c:pt idx="1">
                  <c:v>149280.32482674232</c:v>
                </c:pt>
                <c:pt idx="2">
                  <c:v>197888.87041165604</c:v>
                </c:pt>
                <c:pt idx="3">
                  <c:v>199488.13665583951</c:v>
                </c:pt>
                <c:pt idx="4">
                  <c:v>168685.86614130266</c:v>
                </c:pt>
                <c:pt idx="5">
                  <c:v>238491.99970727519</c:v>
                </c:pt>
                <c:pt idx="6">
                  <c:v>173578.45632109811</c:v>
                </c:pt>
                <c:pt idx="7">
                  <c:v>162960.16673953552</c:v>
                </c:pt>
                <c:pt idx="8">
                  <c:v>207814.35439256477</c:v>
                </c:pt>
                <c:pt idx="9">
                  <c:v>231360.1465908736</c:v>
                </c:pt>
                <c:pt idx="10">
                  <c:v>130910.55682303829</c:v>
                </c:pt>
                <c:pt idx="11">
                  <c:v>86008.445538746106</c:v>
                </c:pt>
              </c:numCache>
            </c:numRef>
          </c:val>
          <c:smooth val="1"/>
          <c:extLst>
            <c:ext xmlns:c16="http://schemas.microsoft.com/office/drawing/2014/chart" uri="{C3380CC4-5D6E-409C-BE32-E72D297353CC}">
              <c16:uniqueId val="{00000000-B21F-45DD-BFF4-EC1756D77F07}"/>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marker val="1"/>
        <c:smooth val="0"/>
        <c:axId val="1141375504"/>
        <c:axId val="1149005936"/>
      </c:lineChart>
      <c:catAx>
        <c:axId val="114137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9005936"/>
        <c:crosses val="autoZero"/>
        <c:auto val="1"/>
        <c:lblAlgn val="ctr"/>
        <c:lblOffset val="100"/>
        <c:noMultiLvlLbl val="0"/>
      </c:catAx>
      <c:valAx>
        <c:axId val="1149005936"/>
        <c:scaling>
          <c:orientation val="minMax"/>
          <c:min val="10000"/>
        </c:scaling>
        <c:delete val="0"/>
        <c:axPos val="l"/>
        <c:numFmt formatCode="_([$MAD]\ * #\ ##0.00_);_([$MAD]\ * \(#\ ##0.00\);_([$MAD]\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41375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50000"/>
        </a:schemeClr>
      </a:solidFill>
      <a:prstDash val="sysDash"/>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33333333333334"/>
          <c:y val="5.0925925925925923E-2"/>
          <c:w val="0.53888888888888886"/>
          <c:h val="0.89814814814814814"/>
        </c:manualLayout>
      </c:layout>
      <c:doughnutChart>
        <c:varyColors val="1"/>
        <c:ser>
          <c:idx val="0"/>
          <c:order val="0"/>
          <c:tx>
            <c:v>Tonte</c:v>
          </c:tx>
          <c:spPr>
            <a:solidFill>
              <a:schemeClr val="accent4">
                <a:lumMod val="60000"/>
                <a:lumOff val="40000"/>
              </a:schemeClr>
            </a:solidFill>
          </c:spPr>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1-BD79-4E24-A03F-07A48D2F3C13}"/>
              </c:ext>
            </c:extLst>
          </c:dPt>
          <c:dPt>
            <c:idx val="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3-BD79-4E24-A03F-07A48D2F3C13}"/>
              </c:ext>
            </c:extLst>
          </c:dPt>
          <c:dPt>
            <c:idx val="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5-BD79-4E24-A03F-07A48D2F3C13}"/>
              </c:ext>
            </c:extLst>
          </c:dPt>
          <c:dPt>
            <c:idx val="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7-BD79-4E24-A03F-07A48D2F3C13}"/>
              </c:ext>
            </c:extLst>
          </c:dPt>
          <c:dPt>
            <c:idx val="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9-BD79-4E24-A03F-07A48D2F3C13}"/>
              </c:ext>
            </c:extLst>
          </c:dPt>
          <c:dPt>
            <c:idx val="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B-BD79-4E24-A03F-07A48D2F3C13}"/>
              </c:ext>
            </c:extLst>
          </c:dPt>
          <c:dPt>
            <c:idx val="6"/>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D-BD79-4E24-A03F-07A48D2F3C13}"/>
              </c:ext>
            </c:extLst>
          </c:dPt>
          <c:dPt>
            <c:idx val="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F-BD79-4E24-A03F-07A48D2F3C13}"/>
              </c:ext>
            </c:extLst>
          </c:dPt>
          <c:dPt>
            <c:idx val="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1-BD79-4E24-A03F-07A48D2F3C13}"/>
              </c:ext>
            </c:extLst>
          </c:dPt>
          <c:dPt>
            <c:idx val="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3-BD79-4E24-A03F-07A48D2F3C13}"/>
              </c:ext>
            </c:extLst>
          </c:dPt>
          <c:dPt>
            <c:idx val="1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5-BD79-4E24-A03F-07A48D2F3C13}"/>
              </c:ext>
            </c:extLst>
          </c:dPt>
          <c:dPt>
            <c:idx val="11"/>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7-BD79-4E24-A03F-07A48D2F3C13}"/>
              </c:ext>
            </c:extLst>
          </c:dPt>
          <c:dPt>
            <c:idx val="12"/>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9-BD79-4E24-A03F-07A48D2F3C13}"/>
              </c:ext>
            </c:extLst>
          </c:dPt>
          <c:dPt>
            <c:idx val="13"/>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B-BD79-4E24-A03F-07A48D2F3C13}"/>
              </c:ext>
            </c:extLst>
          </c:dPt>
          <c:dPt>
            <c:idx val="14"/>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D-BD79-4E24-A03F-07A48D2F3C13}"/>
              </c:ext>
            </c:extLst>
          </c:dPt>
          <c:dPt>
            <c:idx val="15"/>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1F-BD79-4E24-A03F-07A48D2F3C13}"/>
              </c:ext>
            </c:extLst>
          </c:dPt>
          <c:dPt>
            <c:idx val="16"/>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1-BD79-4E24-A03F-07A48D2F3C13}"/>
              </c:ext>
            </c:extLst>
          </c:dPt>
          <c:dPt>
            <c:idx val="17"/>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3-BD79-4E24-A03F-07A48D2F3C13}"/>
              </c:ext>
            </c:extLst>
          </c:dPt>
          <c:dPt>
            <c:idx val="18"/>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5-BD79-4E24-A03F-07A48D2F3C13}"/>
              </c:ext>
            </c:extLst>
          </c:dPt>
          <c:dPt>
            <c:idx val="19"/>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27-BD79-4E24-A03F-07A48D2F3C1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BD79-4E24-A03F-07A48D2F3C13}"/>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Tonte</c:v>
          </c:tx>
          <c:dPt>
            <c:idx val="0"/>
            <c:bubble3D val="0"/>
            <c:spPr>
              <a:noFill/>
              <a:ln w="19050">
                <a:solidFill>
                  <a:schemeClr val="lt1"/>
                </a:solidFill>
              </a:ln>
              <a:effectLst/>
            </c:spPr>
            <c:extLst>
              <c:ext xmlns:c16="http://schemas.microsoft.com/office/drawing/2014/chart" uri="{C3380CC4-5D6E-409C-BE32-E72D297353CC}">
                <c16:uniqueId val="{0000002A-BD79-4E24-A03F-07A48D2F3C13}"/>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BD79-4E24-A03F-07A48D2F3C13}"/>
              </c:ext>
            </c:extLst>
          </c:dPt>
          <c:val>
            <c:numRef>
              <c:f>'Pivot Tables'!$B$138:$C$138</c:f>
              <c:numCache>
                <c:formatCode>0.00%</c:formatCode>
                <c:ptCount val="2"/>
                <c:pt idx="0">
                  <c:v>0.76003097096183303</c:v>
                </c:pt>
                <c:pt idx="1">
                  <c:v>0.23996902903816697</c:v>
                </c:pt>
              </c:numCache>
            </c:numRef>
          </c:val>
          <c:extLst>
            <c:ext xmlns:c16="http://schemas.microsoft.com/office/drawing/2014/chart" uri="{C3380CC4-5D6E-409C-BE32-E72D297353CC}">
              <c16:uniqueId val="{0000002D-BD79-4E24-A03F-07A48D2F3C13}"/>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50000"/>
        </a:schemeClr>
      </a:solidFill>
      <a:prstDash val="sysDash"/>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333333333333334"/>
          <c:y val="5.0925925925925923E-2"/>
          <c:w val="0.53888888888888886"/>
          <c:h val="0.89814814814814814"/>
        </c:manualLayout>
      </c:layout>
      <c:doughnutChart>
        <c:varyColors val="1"/>
        <c:ser>
          <c:idx val="0"/>
          <c:order val="0"/>
          <c:tx>
            <c:v>Fertilisation</c:v>
          </c:tx>
          <c:spPr>
            <a:solidFill>
              <a:schemeClr val="accent5">
                <a:lumMod val="75000"/>
              </a:schemeClr>
            </a:solidFill>
          </c:spPr>
          <c:dPt>
            <c:idx val="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1-2CF0-494E-8980-20D3E756B3F0}"/>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2CF0-494E-8980-20D3E756B3F0}"/>
              </c:ext>
            </c:extLst>
          </c:dPt>
          <c:dPt>
            <c:idx val="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5-2CF0-494E-8980-20D3E756B3F0}"/>
              </c:ext>
            </c:extLst>
          </c:dPt>
          <c:dPt>
            <c:idx val="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7-2CF0-494E-8980-20D3E756B3F0}"/>
              </c:ext>
            </c:extLst>
          </c:dPt>
          <c:dPt>
            <c:idx val="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9-2CF0-494E-8980-20D3E756B3F0}"/>
              </c:ext>
            </c:extLst>
          </c:dPt>
          <c:dPt>
            <c:idx val="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B-2CF0-494E-8980-20D3E756B3F0}"/>
              </c:ext>
            </c:extLst>
          </c:dPt>
          <c:dPt>
            <c:idx val="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D-2CF0-494E-8980-20D3E756B3F0}"/>
              </c:ext>
            </c:extLst>
          </c:dPt>
          <c:dPt>
            <c:idx val="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F-2CF0-494E-8980-20D3E756B3F0}"/>
              </c:ext>
            </c:extLst>
          </c:dPt>
          <c:dPt>
            <c:idx val="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1-2CF0-494E-8980-20D3E756B3F0}"/>
              </c:ext>
            </c:extLst>
          </c:dPt>
          <c:dPt>
            <c:idx val="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3-2CF0-494E-8980-20D3E756B3F0}"/>
              </c:ext>
            </c:extLst>
          </c:dPt>
          <c:dPt>
            <c:idx val="10"/>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5-2CF0-494E-8980-20D3E756B3F0}"/>
              </c:ext>
            </c:extLst>
          </c:dPt>
          <c:dPt>
            <c:idx val="1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7-2CF0-494E-8980-20D3E756B3F0}"/>
              </c:ext>
            </c:extLst>
          </c:dPt>
          <c:dPt>
            <c:idx val="12"/>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9-2CF0-494E-8980-20D3E756B3F0}"/>
              </c:ext>
            </c:extLst>
          </c:dPt>
          <c:dPt>
            <c:idx val="13"/>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B-2CF0-494E-8980-20D3E756B3F0}"/>
              </c:ext>
            </c:extLst>
          </c:dPt>
          <c:dPt>
            <c:idx val="14"/>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D-2CF0-494E-8980-20D3E756B3F0}"/>
              </c:ext>
            </c:extLst>
          </c:dPt>
          <c:dPt>
            <c:idx val="15"/>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1F-2CF0-494E-8980-20D3E756B3F0}"/>
              </c:ext>
            </c:extLst>
          </c:dPt>
          <c:dPt>
            <c:idx val="16"/>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1-2CF0-494E-8980-20D3E756B3F0}"/>
              </c:ext>
            </c:extLst>
          </c:dPt>
          <c:dPt>
            <c:idx val="17"/>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3-2CF0-494E-8980-20D3E756B3F0}"/>
              </c:ext>
            </c:extLst>
          </c:dPt>
          <c:dPt>
            <c:idx val="18"/>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5-2CF0-494E-8980-20D3E756B3F0}"/>
              </c:ext>
            </c:extLst>
          </c:dPt>
          <c:dPt>
            <c:idx val="19"/>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27-2CF0-494E-8980-20D3E756B3F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2CF0-494E-8980-20D3E756B3F0}"/>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Fertilisation</c:v>
          </c:tx>
          <c:dPt>
            <c:idx val="0"/>
            <c:bubble3D val="0"/>
            <c:spPr>
              <a:noFill/>
              <a:ln w="19050">
                <a:solidFill>
                  <a:schemeClr val="lt1"/>
                </a:solidFill>
              </a:ln>
              <a:effectLst/>
            </c:spPr>
            <c:extLst>
              <c:ext xmlns:c16="http://schemas.microsoft.com/office/drawing/2014/chart" uri="{C3380CC4-5D6E-409C-BE32-E72D297353CC}">
                <c16:uniqueId val="{0000002A-2CF0-494E-8980-20D3E756B3F0}"/>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2CF0-494E-8980-20D3E756B3F0}"/>
              </c:ext>
            </c:extLst>
          </c:dPt>
          <c:val>
            <c:numRef>
              <c:f>'Pivot Tables'!$B$139:$C$139</c:f>
              <c:numCache>
                <c:formatCode>0.00%</c:formatCode>
                <c:ptCount val="2"/>
                <c:pt idx="0">
                  <c:v>0.10801298390037692</c:v>
                </c:pt>
                <c:pt idx="1">
                  <c:v>0.89198701609962305</c:v>
                </c:pt>
              </c:numCache>
            </c:numRef>
          </c:val>
          <c:extLst>
            <c:ext xmlns:c16="http://schemas.microsoft.com/office/drawing/2014/chart" uri="{C3380CC4-5D6E-409C-BE32-E72D297353CC}">
              <c16:uniqueId val="{0000002D-2CF0-494E-8980-20D3E756B3F0}"/>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50000"/>
        </a:schemeClr>
      </a:solidFill>
      <a:prstDash val="sysDash"/>
      <a:round/>
    </a:ln>
    <a:effectLst/>
  </c:spPr>
  <c:txPr>
    <a:bodyPr/>
    <a:lstStyle/>
    <a:p>
      <a:pPr>
        <a:defRPr/>
      </a:pPr>
      <a:endParaRPr lang="fr-FR"/>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394728532030904"/>
          <c:y val="5.0926059981681496E-2"/>
          <c:w val="0.53888888888888886"/>
          <c:h val="0.89814814814814814"/>
        </c:manualLayout>
      </c:layout>
      <c:doughnutChart>
        <c:varyColors val="1"/>
        <c:ser>
          <c:idx val="0"/>
          <c:order val="0"/>
          <c:tx>
            <c:v>Salage</c:v>
          </c:tx>
          <c:spPr>
            <a:solidFill>
              <a:schemeClr val="accent3">
                <a:lumMod val="75000"/>
              </a:schemeClr>
            </a:solidFill>
          </c:spPr>
          <c:dPt>
            <c:idx val="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1-7113-46D1-80A9-915AD7FE3FC9}"/>
              </c:ext>
            </c:extLst>
          </c:dPt>
          <c:dPt>
            <c:idx val="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3-7113-46D1-80A9-915AD7FE3FC9}"/>
              </c:ext>
            </c:extLst>
          </c:dPt>
          <c:dPt>
            <c:idx val="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5-7113-46D1-80A9-915AD7FE3FC9}"/>
              </c:ext>
            </c:extLst>
          </c:dPt>
          <c:dPt>
            <c:idx val="3"/>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7-7113-46D1-80A9-915AD7FE3FC9}"/>
              </c:ext>
            </c:extLst>
          </c:dPt>
          <c:dPt>
            <c:idx val="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9-7113-46D1-80A9-915AD7FE3FC9}"/>
              </c:ext>
            </c:extLst>
          </c:dPt>
          <c:dPt>
            <c:idx val="5"/>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B-7113-46D1-80A9-915AD7FE3FC9}"/>
              </c:ext>
            </c:extLst>
          </c:dPt>
          <c:dPt>
            <c:idx val="6"/>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D-7113-46D1-80A9-915AD7FE3FC9}"/>
              </c:ext>
            </c:extLst>
          </c:dPt>
          <c:dPt>
            <c:idx val="7"/>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0F-7113-46D1-80A9-915AD7FE3FC9}"/>
              </c:ext>
            </c:extLst>
          </c:dPt>
          <c:dPt>
            <c:idx val="8"/>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1-7113-46D1-80A9-915AD7FE3FC9}"/>
              </c:ext>
            </c:extLst>
          </c:dPt>
          <c:dPt>
            <c:idx val="9"/>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3-7113-46D1-80A9-915AD7FE3FC9}"/>
              </c:ext>
            </c:extLst>
          </c:dPt>
          <c:dPt>
            <c:idx val="10"/>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5-7113-46D1-80A9-915AD7FE3FC9}"/>
              </c:ext>
            </c:extLst>
          </c:dPt>
          <c:dPt>
            <c:idx val="11"/>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7-7113-46D1-80A9-915AD7FE3FC9}"/>
              </c:ext>
            </c:extLst>
          </c:dPt>
          <c:dPt>
            <c:idx val="12"/>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9-7113-46D1-80A9-915AD7FE3FC9}"/>
              </c:ext>
            </c:extLst>
          </c:dPt>
          <c:dPt>
            <c:idx val="13"/>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B-7113-46D1-80A9-915AD7FE3FC9}"/>
              </c:ext>
            </c:extLst>
          </c:dPt>
          <c:dPt>
            <c:idx val="14"/>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D-7113-46D1-80A9-915AD7FE3FC9}"/>
              </c:ext>
            </c:extLst>
          </c:dPt>
          <c:dPt>
            <c:idx val="15"/>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1F-7113-46D1-80A9-915AD7FE3FC9}"/>
              </c:ext>
            </c:extLst>
          </c:dPt>
          <c:dPt>
            <c:idx val="16"/>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21-7113-46D1-80A9-915AD7FE3FC9}"/>
              </c:ext>
            </c:extLst>
          </c:dPt>
          <c:dPt>
            <c:idx val="17"/>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23-7113-46D1-80A9-915AD7FE3FC9}"/>
              </c:ext>
            </c:extLst>
          </c:dPt>
          <c:dPt>
            <c:idx val="18"/>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25-7113-46D1-80A9-915AD7FE3FC9}"/>
              </c:ext>
            </c:extLst>
          </c:dPt>
          <c:dPt>
            <c:idx val="19"/>
            <c:bubble3D val="0"/>
            <c:spPr>
              <a:solidFill>
                <a:schemeClr val="accent3">
                  <a:lumMod val="75000"/>
                </a:schemeClr>
              </a:solidFill>
              <a:ln w="19050">
                <a:solidFill>
                  <a:schemeClr val="lt1"/>
                </a:solidFill>
              </a:ln>
              <a:effectLst/>
            </c:spPr>
            <c:extLst>
              <c:ext xmlns:c16="http://schemas.microsoft.com/office/drawing/2014/chart" uri="{C3380CC4-5D6E-409C-BE32-E72D297353CC}">
                <c16:uniqueId val="{00000027-7113-46D1-80A9-915AD7FE3FC9}"/>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113-46D1-80A9-915AD7FE3FC9}"/>
            </c:ext>
          </c:extLst>
        </c:ser>
        <c:dLbls>
          <c:showLegendKey val="0"/>
          <c:showVal val="0"/>
          <c:showCatName val="0"/>
          <c:showSerName val="0"/>
          <c:showPercent val="0"/>
          <c:showBubbleSize val="0"/>
          <c:showLeaderLines val="1"/>
        </c:dLbls>
        <c:firstSliceAng val="0"/>
        <c:holeSize val="50"/>
      </c:doughnutChart>
      <c:doughnutChart>
        <c:varyColors val="1"/>
        <c:ser>
          <c:idx val="1"/>
          <c:order val="1"/>
          <c:tx>
            <c:v>Sablage</c:v>
          </c:tx>
          <c:dPt>
            <c:idx val="0"/>
            <c:bubble3D val="0"/>
            <c:spPr>
              <a:noFill/>
              <a:ln w="19050">
                <a:solidFill>
                  <a:schemeClr val="lt1"/>
                </a:solidFill>
              </a:ln>
              <a:effectLst/>
            </c:spPr>
            <c:extLst>
              <c:ext xmlns:c16="http://schemas.microsoft.com/office/drawing/2014/chart" uri="{C3380CC4-5D6E-409C-BE32-E72D297353CC}">
                <c16:uniqueId val="{0000002A-7113-46D1-80A9-915AD7FE3FC9}"/>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7113-46D1-80A9-915AD7FE3FC9}"/>
              </c:ext>
            </c:extLst>
          </c:dPt>
          <c:val>
            <c:numRef>
              <c:f>'Pivot Tables'!$B$140:$C$140</c:f>
              <c:numCache>
                <c:formatCode>0.00%</c:formatCode>
                <c:ptCount val="2"/>
                <c:pt idx="0">
                  <c:v>5.8218937469668525E-2</c:v>
                </c:pt>
                <c:pt idx="1">
                  <c:v>0.94178106253033145</c:v>
                </c:pt>
              </c:numCache>
            </c:numRef>
          </c:val>
          <c:extLst>
            <c:ext xmlns:c16="http://schemas.microsoft.com/office/drawing/2014/chart" uri="{C3380CC4-5D6E-409C-BE32-E72D297353CC}">
              <c16:uniqueId val="{0000002D-7113-46D1-80A9-915AD7FE3FC9}"/>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50000"/>
        </a:schemeClr>
      </a:solidFill>
      <a:prstDash val="sysDash"/>
      <a:round/>
    </a:ln>
    <a:effectLst/>
  </c:spPr>
  <c:txPr>
    <a:bodyPr/>
    <a:lstStyle/>
    <a:p>
      <a:pPr>
        <a:defRPr/>
      </a:pPr>
      <a:endParaRPr lang="fr-FR"/>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des operation de maintenance.xlsx]Cout_monthly!SUP</c:name>
    <c:fmtId val="3"/>
  </c:pivotSource>
  <c:chart>
    <c:autoTitleDeleted val="1"/>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Cout_monthly!$B$19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FD14-4C70-B2BE-589C0132F2D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FD14-4C70-B2BE-589C0132F2D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FD14-4C70-B2BE-589C0132F2D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FD14-4C70-B2BE-589C0132F2D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FD14-4C70-B2BE-589C0132F2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Cout_monthly!$A$20:$A$25</c:f>
              <c:strCache>
                <c:ptCount val="5"/>
                <c:pt idx="0">
                  <c:v>Bunker</c:v>
                </c:pt>
                <c:pt idx="1">
                  <c:v>Depart</c:v>
                </c:pt>
                <c:pt idx="2">
                  <c:v>Fairway</c:v>
                </c:pt>
                <c:pt idx="3">
                  <c:v>Green</c:v>
                </c:pt>
                <c:pt idx="4">
                  <c:v>Rough</c:v>
                </c:pt>
              </c:strCache>
            </c:strRef>
          </c:cat>
          <c:val>
            <c:numRef>
              <c:f>Cout_monthly!$B$20:$B$25</c:f>
              <c:numCache>
                <c:formatCode>0</c:formatCode>
                <c:ptCount val="5"/>
                <c:pt idx="0">
                  <c:v>11029</c:v>
                </c:pt>
                <c:pt idx="1">
                  <c:v>4613.3028000000004</c:v>
                </c:pt>
                <c:pt idx="2">
                  <c:v>27700.314600000002</c:v>
                </c:pt>
                <c:pt idx="3">
                  <c:v>12554.81</c:v>
                </c:pt>
                <c:pt idx="4">
                  <c:v>11560</c:v>
                </c:pt>
              </c:numCache>
            </c:numRef>
          </c:val>
          <c:extLst>
            <c:ext xmlns:c16="http://schemas.microsoft.com/office/drawing/2014/chart" uri="{C3380CC4-5D6E-409C-BE32-E72D297353CC}">
              <c16:uniqueId val="{0000000A-FD14-4C70-B2BE-589C0132F2D6}"/>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50000"/>
        </a:schemeClr>
      </a:solidFill>
      <a:prstDash val="sysDash"/>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Analysis des operation de maintenance.xlsx]Cout_monthly!Cout.zon</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75000"/>
            </a:schemeClr>
          </a:solidFill>
          <a:ln>
            <a:noFill/>
          </a:ln>
          <a:effectLst/>
        </c:spPr>
      </c:pivotFmt>
      <c:pivotFmt>
        <c:idx val="4"/>
        <c:spPr>
          <a:solidFill>
            <a:schemeClr val="accent3">
              <a:lumMod val="75000"/>
            </a:schemeClr>
          </a:solidFill>
          <a:ln>
            <a:noFill/>
          </a:ln>
          <a:effectLst/>
        </c:spPr>
      </c:pivotFmt>
      <c:pivotFmt>
        <c:idx val="5"/>
        <c:spPr>
          <a:solidFill>
            <a:schemeClr val="accent3">
              <a:lumMod val="75000"/>
            </a:schemeClr>
          </a:solidFill>
          <a:ln>
            <a:noFill/>
          </a:ln>
          <a:effectLst/>
        </c:spPr>
      </c:pivotFmt>
      <c:pivotFmt>
        <c:idx val="6"/>
        <c:spPr>
          <a:solidFill>
            <a:schemeClr val="accent3">
              <a:lumMod val="75000"/>
            </a:schemeClr>
          </a:solidFill>
          <a:ln>
            <a:noFill/>
          </a:ln>
          <a:effectLst/>
        </c:spPr>
      </c:pivotFmt>
      <c:pivotFmt>
        <c:idx val="7"/>
        <c:spPr>
          <a:solidFill>
            <a:schemeClr val="accent3">
              <a:lumMod val="75000"/>
            </a:schemeClr>
          </a:solidFill>
          <a:ln>
            <a:noFill/>
          </a:ln>
          <a:effectLst/>
        </c:spPr>
      </c:pivotFmt>
    </c:pivotFmts>
    <c:plotArea>
      <c:layout>
        <c:manualLayout>
          <c:layoutTarget val="inner"/>
          <c:xMode val="edge"/>
          <c:yMode val="edge"/>
          <c:x val="0.12921947122318042"/>
          <c:y val="6.8571451010189508E-2"/>
          <c:w val="0.82007030377280321"/>
          <c:h val="0.86285709797962096"/>
        </c:manualLayout>
      </c:layout>
      <c:barChart>
        <c:barDir val="bar"/>
        <c:grouping val="clustered"/>
        <c:varyColors val="0"/>
        <c:ser>
          <c:idx val="0"/>
          <c:order val="0"/>
          <c:tx>
            <c:strRef>
              <c:f>Cout_monthly!$B$27</c:f>
              <c:strCache>
                <c:ptCount val="1"/>
                <c:pt idx="0">
                  <c:v>Total</c:v>
                </c:pt>
              </c:strCache>
            </c:strRef>
          </c:tx>
          <c:spPr>
            <a:solidFill>
              <a:schemeClr val="accent3">
                <a:lumMod val="75000"/>
              </a:schemeClr>
            </a:solidFill>
            <a:ln>
              <a:noFill/>
            </a:ln>
            <a:effectLst/>
          </c:spPr>
          <c:invertIfNegative val="0"/>
          <c:dPt>
            <c:idx val="0"/>
            <c:invertIfNegative val="0"/>
            <c:bubble3D val="0"/>
            <c:spPr>
              <a:solidFill>
                <a:schemeClr val="accent3">
                  <a:lumMod val="75000"/>
                </a:schemeClr>
              </a:solidFill>
              <a:ln>
                <a:noFill/>
              </a:ln>
              <a:effectLst/>
            </c:spPr>
            <c:extLst>
              <c:ext xmlns:c16="http://schemas.microsoft.com/office/drawing/2014/chart" uri="{C3380CC4-5D6E-409C-BE32-E72D297353CC}">
                <c16:uniqueId val="{00000005-3428-4100-9B6A-B33BE8D53071}"/>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4-3428-4100-9B6A-B33BE8D53071}"/>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3-3428-4100-9B6A-B33BE8D53071}"/>
              </c:ext>
            </c:extLst>
          </c:dPt>
          <c:dPt>
            <c:idx val="3"/>
            <c:invertIfNegative val="0"/>
            <c:bubble3D val="0"/>
            <c:spPr>
              <a:solidFill>
                <a:schemeClr val="accent3">
                  <a:lumMod val="75000"/>
                </a:schemeClr>
              </a:solidFill>
              <a:ln>
                <a:noFill/>
              </a:ln>
              <a:effectLst/>
            </c:spPr>
            <c:extLst>
              <c:ext xmlns:c16="http://schemas.microsoft.com/office/drawing/2014/chart" uri="{C3380CC4-5D6E-409C-BE32-E72D297353CC}">
                <c16:uniqueId val="{00000002-3428-4100-9B6A-B33BE8D53071}"/>
              </c:ext>
            </c:extLst>
          </c:dPt>
          <c:dPt>
            <c:idx val="4"/>
            <c:invertIfNegative val="0"/>
            <c:bubble3D val="0"/>
            <c:spPr>
              <a:solidFill>
                <a:schemeClr val="accent3">
                  <a:lumMod val="75000"/>
                </a:schemeClr>
              </a:solidFill>
              <a:ln>
                <a:noFill/>
              </a:ln>
              <a:effectLst/>
            </c:spPr>
            <c:extLst>
              <c:ext xmlns:c16="http://schemas.microsoft.com/office/drawing/2014/chart" uri="{C3380CC4-5D6E-409C-BE32-E72D297353CC}">
                <c16:uniqueId val="{00000001-3428-4100-9B6A-B33BE8D5307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Cout_monthly!$A$28:$A$33</c:f>
              <c:strCache>
                <c:ptCount val="5"/>
                <c:pt idx="0">
                  <c:v>Bunker</c:v>
                </c:pt>
                <c:pt idx="1">
                  <c:v>Rough</c:v>
                </c:pt>
                <c:pt idx="2">
                  <c:v>Depart</c:v>
                </c:pt>
                <c:pt idx="3">
                  <c:v>Fairway</c:v>
                </c:pt>
                <c:pt idx="4">
                  <c:v>Green</c:v>
                </c:pt>
              </c:strCache>
            </c:strRef>
          </c:cat>
          <c:val>
            <c:numRef>
              <c:f>Cout_monthly!$B$28:$B$33</c:f>
              <c:numCache>
                <c:formatCode>_([$MAD]\ * #\ ##0.00_);_([$MAD]\ * \(#\ ##0.00\);_([$MAD]\ * "-"??_);_(@_)</c:formatCode>
                <c:ptCount val="5"/>
                <c:pt idx="0">
                  <c:v>13576</c:v>
                </c:pt>
                <c:pt idx="1">
                  <c:v>29502.076923076929</c:v>
                </c:pt>
                <c:pt idx="2">
                  <c:v>197995.31227783035</c:v>
                </c:pt>
                <c:pt idx="3">
                  <c:v>330521.5004383683</c:v>
                </c:pt>
                <c:pt idx="4">
                  <c:v>1456827.8676896396</c:v>
                </c:pt>
              </c:numCache>
            </c:numRef>
          </c:val>
          <c:extLst>
            <c:ext xmlns:c16="http://schemas.microsoft.com/office/drawing/2014/chart" uri="{C3380CC4-5D6E-409C-BE32-E72D297353CC}">
              <c16:uniqueId val="{00000000-3428-4100-9B6A-B33BE8D53071}"/>
            </c:ext>
          </c:extLst>
        </c:ser>
        <c:dLbls>
          <c:dLblPos val="inEnd"/>
          <c:showLegendKey val="0"/>
          <c:showVal val="1"/>
          <c:showCatName val="0"/>
          <c:showSerName val="0"/>
          <c:showPercent val="0"/>
          <c:showBubbleSize val="0"/>
        </c:dLbls>
        <c:gapWidth val="50"/>
        <c:axId val="1016715680"/>
        <c:axId val="1075447712"/>
      </c:barChart>
      <c:catAx>
        <c:axId val="1016715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fr-FR"/>
          </a:p>
        </c:txPr>
        <c:crossAx val="1075447712"/>
        <c:crosses val="autoZero"/>
        <c:auto val="1"/>
        <c:lblAlgn val="ctr"/>
        <c:lblOffset val="100"/>
        <c:noMultiLvlLbl val="0"/>
      </c:catAx>
      <c:valAx>
        <c:axId val="1075447712"/>
        <c:scaling>
          <c:orientation val="minMax"/>
        </c:scaling>
        <c:delete val="1"/>
        <c:axPos val="b"/>
        <c:numFmt formatCode="_([$MAD]\ * #\ ##0.00_);_([$MAD]\ * \(#\ ##0.00\);_([$MAD]\ * &quot;-&quot;??_);_(@_)" sourceLinked="1"/>
        <c:majorTickMark val="none"/>
        <c:minorTickMark val="none"/>
        <c:tickLblPos val="nextTo"/>
        <c:crossAx val="1016715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3">
          <a:lumMod val="50000"/>
        </a:schemeClr>
      </a:solidFill>
      <a:prstDash val="sysDash"/>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16</xdr:col>
      <xdr:colOff>497418</xdr:colOff>
      <xdr:row>3</xdr:row>
      <xdr:rowOff>173567</xdr:rowOff>
    </xdr:to>
    <xdr:sp macro="" textlink="">
      <xdr:nvSpPr>
        <xdr:cNvPr id="2" name="Rectangle: Rounded Corners 1">
          <a:extLst>
            <a:ext uri="{FF2B5EF4-FFF2-40B4-BE49-F238E27FC236}">
              <a16:creationId xmlns:a16="http://schemas.microsoft.com/office/drawing/2014/main" id="{5063975C-F7EA-4417-99A9-E50CE39B39B4}"/>
            </a:ext>
          </a:extLst>
        </xdr:cNvPr>
        <xdr:cNvSpPr/>
      </xdr:nvSpPr>
      <xdr:spPr>
        <a:xfrm>
          <a:off x="1" y="0"/>
          <a:ext cx="11652250" cy="713317"/>
        </a:xfrm>
        <a:prstGeom prst="roundRect">
          <a:avLst/>
        </a:prstGeom>
        <a:solidFill>
          <a:schemeClr val="accent3">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fr-FR" sz="3200">
              <a:latin typeface="Times New Roman" panose="02020603050405020304" pitchFamily="18" charset="0"/>
              <a:cs typeface="Times New Roman" panose="02020603050405020304" pitchFamily="18" charset="0"/>
            </a:rPr>
            <a:t>Tableau</a:t>
          </a:r>
          <a:r>
            <a:rPr lang="fr-FR" sz="3200" baseline="0">
              <a:latin typeface="Times New Roman" panose="02020603050405020304" pitchFamily="18" charset="0"/>
              <a:cs typeface="Times New Roman" panose="02020603050405020304" pitchFamily="18" charset="0"/>
            </a:rPr>
            <a:t> de bord</a:t>
          </a:r>
          <a:endParaRPr lang="fr-FR" sz="3200">
            <a:latin typeface="Times New Roman" panose="02020603050405020304" pitchFamily="18" charset="0"/>
            <a:cs typeface="Times New Roman" panose="02020603050405020304" pitchFamily="18" charset="0"/>
          </a:endParaRPr>
        </a:p>
      </xdr:txBody>
    </xdr:sp>
    <xdr:clientData/>
  </xdr:twoCellAnchor>
  <xdr:twoCellAnchor>
    <xdr:from>
      <xdr:col>0</xdr:col>
      <xdr:colOff>35983</xdr:colOff>
      <xdr:row>5</xdr:row>
      <xdr:rowOff>159809</xdr:rowOff>
    </xdr:from>
    <xdr:to>
      <xdr:col>4</xdr:col>
      <xdr:colOff>143933</xdr:colOff>
      <xdr:row>10</xdr:row>
      <xdr:rowOff>153459</xdr:rowOff>
    </xdr:to>
    <xdr:sp macro="" textlink="">
      <xdr:nvSpPr>
        <xdr:cNvPr id="3" name="Rectangle: Rounded Corners 2">
          <a:extLst>
            <a:ext uri="{FF2B5EF4-FFF2-40B4-BE49-F238E27FC236}">
              <a16:creationId xmlns:a16="http://schemas.microsoft.com/office/drawing/2014/main" id="{5CE4A9A1-26F6-40DC-90DA-BC3490E2D70B}"/>
            </a:ext>
          </a:extLst>
        </xdr:cNvPr>
        <xdr:cNvSpPr/>
      </xdr:nvSpPr>
      <xdr:spPr>
        <a:xfrm>
          <a:off x="35983" y="1059392"/>
          <a:ext cx="3378200" cy="893234"/>
        </a:xfrm>
        <a:prstGeom prst="roundRect">
          <a:avLst/>
        </a:prstGeom>
        <a:noFill/>
        <a:ln>
          <a:solidFill>
            <a:schemeClr val="accent3">
              <a:lumMod val="50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4</xdr:row>
      <xdr:rowOff>51859</xdr:rowOff>
    </xdr:from>
    <xdr:to>
      <xdr:col>3</xdr:col>
      <xdr:colOff>342900</xdr:colOff>
      <xdr:row>6</xdr:row>
      <xdr:rowOff>1059</xdr:rowOff>
    </xdr:to>
    <xdr:sp macro="" textlink="">
      <xdr:nvSpPr>
        <xdr:cNvPr id="4" name="Rectangle: Rounded Corners 3">
          <a:extLst>
            <a:ext uri="{FF2B5EF4-FFF2-40B4-BE49-F238E27FC236}">
              <a16:creationId xmlns:a16="http://schemas.microsoft.com/office/drawing/2014/main" id="{DD979EE9-2F12-4C52-941F-7B4968417B6E}"/>
            </a:ext>
          </a:extLst>
        </xdr:cNvPr>
        <xdr:cNvSpPr/>
      </xdr:nvSpPr>
      <xdr:spPr>
        <a:xfrm>
          <a:off x="609600" y="813859"/>
          <a:ext cx="1905000" cy="330200"/>
        </a:xfrm>
        <a:prstGeom prst="roundRect">
          <a:avLst/>
        </a:prstGeom>
        <a:solidFill>
          <a:schemeClr val="accent3">
            <a:lumMod val="40000"/>
            <a:lumOff val="60000"/>
          </a:schemeClr>
        </a:solidFill>
        <a:ln>
          <a:solidFill>
            <a:schemeClr val="accent3">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b="1">
              <a:latin typeface="Times New Roman" panose="02020603050405020304" pitchFamily="18" charset="0"/>
              <a:cs typeface="Times New Roman" panose="02020603050405020304" pitchFamily="18" charset="0"/>
            </a:rPr>
            <a:t>Superficie Totale</a:t>
          </a:r>
        </a:p>
      </xdr:txBody>
    </xdr:sp>
    <xdr:clientData/>
  </xdr:twoCellAnchor>
  <xdr:twoCellAnchor>
    <xdr:from>
      <xdr:col>4</xdr:col>
      <xdr:colOff>1039283</xdr:colOff>
      <xdr:row>5</xdr:row>
      <xdr:rowOff>159809</xdr:rowOff>
    </xdr:from>
    <xdr:to>
      <xdr:col>10</xdr:col>
      <xdr:colOff>95250</xdr:colOff>
      <xdr:row>10</xdr:row>
      <xdr:rowOff>153459</xdr:rowOff>
    </xdr:to>
    <xdr:sp macro="" textlink="">
      <xdr:nvSpPr>
        <xdr:cNvPr id="7" name="Rectangle: Rounded Corners 6">
          <a:extLst>
            <a:ext uri="{FF2B5EF4-FFF2-40B4-BE49-F238E27FC236}">
              <a16:creationId xmlns:a16="http://schemas.microsoft.com/office/drawing/2014/main" id="{0905EA12-4D7E-41EA-A926-5218A3A36E82}"/>
            </a:ext>
          </a:extLst>
        </xdr:cNvPr>
        <xdr:cNvSpPr/>
      </xdr:nvSpPr>
      <xdr:spPr>
        <a:xfrm>
          <a:off x="4309533" y="1059392"/>
          <a:ext cx="3257550" cy="893234"/>
        </a:xfrm>
        <a:prstGeom prst="roundRect">
          <a:avLst/>
        </a:prstGeom>
        <a:noFill/>
        <a:ln>
          <a:solidFill>
            <a:schemeClr val="accent3">
              <a:lumMod val="50000"/>
            </a:schemeClr>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fr-FR" sz="1100"/>
        </a:p>
      </xdr:txBody>
    </xdr:sp>
    <xdr:clientData/>
  </xdr:twoCellAnchor>
  <xdr:twoCellAnchor>
    <xdr:from>
      <xdr:col>5</xdr:col>
      <xdr:colOff>285750</xdr:colOff>
      <xdr:row>4</xdr:row>
      <xdr:rowOff>83609</xdr:rowOff>
    </xdr:from>
    <xdr:to>
      <xdr:col>9</xdr:col>
      <xdr:colOff>412750</xdr:colOff>
      <xdr:row>6</xdr:row>
      <xdr:rowOff>32809</xdr:rowOff>
    </xdr:to>
    <xdr:sp macro="" textlink="">
      <xdr:nvSpPr>
        <xdr:cNvPr id="8" name="Rectangle: Rounded Corners 7">
          <a:extLst>
            <a:ext uri="{FF2B5EF4-FFF2-40B4-BE49-F238E27FC236}">
              <a16:creationId xmlns:a16="http://schemas.microsoft.com/office/drawing/2014/main" id="{193147BD-EED1-456C-BD94-9E59A9C5B4DD}"/>
            </a:ext>
          </a:extLst>
        </xdr:cNvPr>
        <xdr:cNvSpPr/>
      </xdr:nvSpPr>
      <xdr:spPr>
        <a:xfrm>
          <a:off x="4688417" y="803276"/>
          <a:ext cx="2582333" cy="309033"/>
        </a:xfrm>
        <a:prstGeom prst="roundRect">
          <a:avLst/>
        </a:prstGeom>
        <a:solidFill>
          <a:schemeClr val="accent3">
            <a:lumMod val="40000"/>
            <a:lumOff val="60000"/>
          </a:schemeClr>
        </a:solidFill>
        <a:ln>
          <a:solidFill>
            <a:schemeClr val="accent3">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b="1">
              <a:latin typeface="Times New Roman" panose="02020603050405020304" pitchFamily="18" charset="0"/>
              <a:cs typeface="Times New Roman" panose="02020603050405020304" pitchFamily="18" charset="0"/>
            </a:rPr>
            <a:t>Coût Total</a:t>
          </a:r>
        </a:p>
      </xdr:txBody>
    </xdr:sp>
    <xdr:clientData/>
  </xdr:twoCellAnchor>
  <xdr:twoCellAnchor editAs="oneCell">
    <xdr:from>
      <xdr:col>8</xdr:col>
      <xdr:colOff>501650</xdr:colOff>
      <xdr:row>6</xdr:row>
      <xdr:rowOff>163380</xdr:rowOff>
    </xdr:from>
    <xdr:to>
      <xdr:col>9</xdr:col>
      <xdr:colOff>298450</xdr:colOff>
      <xdr:row>9</xdr:row>
      <xdr:rowOff>10980</xdr:rowOff>
    </xdr:to>
    <xdr:pic>
      <xdr:nvPicPr>
        <xdr:cNvPr id="12" name="Picture 11">
          <a:extLst>
            <a:ext uri="{FF2B5EF4-FFF2-40B4-BE49-F238E27FC236}">
              <a16:creationId xmlns:a16="http://schemas.microsoft.com/office/drawing/2014/main" id="{B9E89D6D-83BD-493E-9E71-82987193C5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15150" y="1306380"/>
          <a:ext cx="406400" cy="419100"/>
        </a:xfrm>
        <a:prstGeom prst="rect">
          <a:avLst/>
        </a:prstGeom>
      </xdr:spPr>
    </xdr:pic>
    <xdr:clientData/>
  </xdr:twoCellAnchor>
  <xdr:twoCellAnchor editAs="oneCell">
    <xdr:from>
      <xdr:col>3</xdr:col>
      <xdr:colOff>762000</xdr:colOff>
      <xdr:row>7</xdr:row>
      <xdr:rowOff>19560</xdr:rowOff>
    </xdr:from>
    <xdr:to>
      <xdr:col>4</xdr:col>
      <xdr:colOff>42220</xdr:colOff>
      <xdr:row>9</xdr:row>
      <xdr:rowOff>23680</xdr:rowOff>
    </xdr:to>
    <xdr:pic>
      <xdr:nvPicPr>
        <xdr:cNvPr id="14" name="Picture 13">
          <a:extLst>
            <a:ext uri="{FF2B5EF4-FFF2-40B4-BE49-F238E27FC236}">
              <a16:creationId xmlns:a16="http://schemas.microsoft.com/office/drawing/2014/main" id="{5BD97A14-BBF2-4CE5-9141-62B9B1DD67C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33700" y="1353060"/>
          <a:ext cx="372420" cy="385120"/>
        </a:xfrm>
        <a:prstGeom prst="rect">
          <a:avLst/>
        </a:prstGeom>
      </xdr:spPr>
    </xdr:pic>
    <xdr:clientData/>
  </xdr:twoCellAnchor>
  <xdr:twoCellAnchor>
    <xdr:from>
      <xdr:col>3</xdr:col>
      <xdr:colOff>207438</xdr:colOff>
      <xdr:row>21</xdr:row>
      <xdr:rowOff>21167</xdr:rowOff>
    </xdr:from>
    <xdr:to>
      <xdr:col>9</xdr:col>
      <xdr:colOff>222250</xdr:colOff>
      <xdr:row>32</xdr:row>
      <xdr:rowOff>19049</xdr:rowOff>
    </xdr:to>
    <xdr:graphicFrame macro="">
      <xdr:nvGraphicFramePr>
        <xdr:cNvPr id="19" name="Chart 18">
          <a:extLst>
            <a:ext uri="{FF2B5EF4-FFF2-40B4-BE49-F238E27FC236}">
              <a16:creationId xmlns:a16="http://schemas.microsoft.com/office/drawing/2014/main" id="{A0B5AF13-3CC4-4BA5-B1F2-E702D1FCBF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287867</xdr:colOff>
      <xdr:row>11</xdr:row>
      <xdr:rowOff>105835</xdr:rowOff>
    </xdr:from>
    <xdr:to>
      <xdr:col>12</xdr:col>
      <xdr:colOff>560916</xdr:colOff>
      <xdr:row>19</xdr:row>
      <xdr:rowOff>84667</xdr:rowOff>
    </xdr:to>
    <xdr:graphicFrame macro="">
      <xdr:nvGraphicFramePr>
        <xdr:cNvPr id="22" name="Chart 21">
          <a:extLst>
            <a:ext uri="{FF2B5EF4-FFF2-40B4-BE49-F238E27FC236}">
              <a16:creationId xmlns:a16="http://schemas.microsoft.com/office/drawing/2014/main" id="{78300F4B-1541-4040-B93A-D6AF8C34B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67734</xdr:colOff>
      <xdr:row>11</xdr:row>
      <xdr:rowOff>116417</xdr:rowOff>
    </xdr:from>
    <xdr:to>
      <xdr:col>16</xdr:col>
      <xdr:colOff>476250</xdr:colOff>
      <xdr:row>19</xdr:row>
      <xdr:rowOff>84666</xdr:rowOff>
    </xdr:to>
    <xdr:graphicFrame macro="">
      <xdr:nvGraphicFramePr>
        <xdr:cNvPr id="23" name="Chart 22">
          <a:extLst>
            <a:ext uri="{FF2B5EF4-FFF2-40B4-BE49-F238E27FC236}">
              <a16:creationId xmlns:a16="http://schemas.microsoft.com/office/drawing/2014/main" id="{70DBE75C-AEDB-4B5F-8149-E0AB7AF99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334283</xdr:colOff>
      <xdr:row>11</xdr:row>
      <xdr:rowOff>95249</xdr:rowOff>
    </xdr:from>
    <xdr:to>
      <xdr:col>9</xdr:col>
      <xdr:colOff>148167</xdr:colOff>
      <xdr:row>19</xdr:row>
      <xdr:rowOff>84666</xdr:rowOff>
    </xdr:to>
    <xdr:graphicFrame macro="">
      <xdr:nvGraphicFramePr>
        <xdr:cNvPr id="24" name="Chart 23">
          <a:extLst>
            <a:ext uri="{FF2B5EF4-FFF2-40B4-BE49-F238E27FC236}">
              <a16:creationId xmlns:a16="http://schemas.microsoft.com/office/drawing/2014/main" id="{8E672F30-54C9-4C3E-846A-05411770C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35983</xdr:colOff>
      <xdr:row>21</xdr:row>
      <xdr:rowOff>26609</xdr:rowOff>
    </xdr:from>
    <xdr:to>
      <xdr:col>3</xdr:col>
      <xdr:colOff>157691</xdr:colOff>
      <xdr:row>32</xdr:row>
      <xdr:rowOff>19049</xdr:rowOff>
    </xdr:to>
    <xdr:graphicFrame macro="">
      <xdr:nvGraphicFramePr>
        <xdr:cNvPr id="30" name="Chart 29">
          <a:extLst>
            <a:ext uri="{FF2B5EF4-FFF2-40B4-BE49-F238E27FC236}">
              <a16:creationId xmlns:a16="http://schemas.microsoft.com/office/drawing/2014/main" id="{A6367AA8-7EEC-4295-9997-BE0C5A229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10</xdr:col>
      <xdr:colOff>457653</xdr:colOff>
      <xdr:row>14</xdr:row>
      <xdr:rowOff>98576</xdr:rowOff>
    </xdr:from>
    <xdr:ext cx="1093863" cy="264560"/>
    <xdr:sp macro="" textlink="'Pivot Tables'!B138">
      <xdr:nvSpPr>
        <xdr:cNvPr id="25" name="TextBox 24">
          <a:extLst>
            <a:ext uri="{FF2B5EF4-FFF2-40B4-BE49-F238E27FC236}">
              <a16:creationId xmlns:a16="http://schemas.microsoft.com/office/drawing/2014/main" id="{49ED3927-A397-4A1F-8DB1-37F2290FD2CA}"/>
            </a:ext>
          </a:extLst>
        </xdr:cNvPr>
        <xdr:cNvSpPr txBox="1"/>
      </xdr:nvSpPr>
      <xdr:spPr>
        <a:xfrm>
          <a:off x="7929486" y="2617409"/>
          <a:ext cx="10938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B1E67709-1A6E-45FA-87CE-D1CB84520FE7}" type="TxLink">
            <a:rPr lang="en-US" sz="1100" b="0" i="0" u="none" strike="noStrike">
              <a:solidFill>
                <a:schemeClr val="accent4">
                  <a:lumMod val="75000"/>
                </a:schemeClr>
              </a:solidFill>
              <a:latin typeface="Times New Roman" panose="02020603050405020304" pitchFamily="18" charset="0"/>
              <a:cs typeface="Times New Roman" panose="02020603050405020304" pitchFamily="18" charset="0"/>
            </a:rPr>
            <a:pPr/>
            <a:t>76.00%</a:t>
          </a:fld>
          <a:endParaRPr lang="fr-FR" sz="1100">
            <a:solidFill>
              <a:schemeClr val="accent4">
                <a:lumMod val="75000"/>
              </a:schemeClr>
            </a:solidFill>
            <a:latin typeface="Times New Roman" panose="02020603050405020304" pitchFamily="18" charset="0"/>
            <a:cs typeface="Times New Roman" panose="02020603050405020304" pitchFamily="18" charset="0"/>
          </a:endParaRPr>
        </a:p>
      </xdr:txBody>
    </xdr:sp>
    <xdr:clientData/>
  </xdr:oneCellAnchor>
  <xdr:oneCellAnchor>
    <xdr:from>
      <xdr:col>9</xdr:col>
      <xdr:colOff>442686</xdr:colOff>
      <xdr:row>11</xdr:row>
      <xdr:rowOff>103112</xdr:rowOff>
    </xdr:from>
    <xdr:ext cx="1093863" cy="264560"/>
    <xdr:sp macro="" textlink="'Pivot Tables'!A138">
      <xdr:nvSpPr>
        <xdr:cNvPr id="26" name="TextBox 25">
          <a:extLst>
            <a:ext uri="{FF2B5EF4-FFF2-40B4-BE49-F238E27FC236}">
              <a16:creationId xmlns:a16="http://schemas.microsoft.com/office/drawing/2014/main" id="{FFB054FF-FDB9-4CBA-B33E-8E047CE87F90}"/>
            </a:ext>
          </a:extLst>
        </xdr:cNvPr>
        <xdr:cNvSpPr txBox="1"/>
      </xdr:nvSpPr>
      <xdr:spPr>
        <a:xfrm>
          <a:off x="7300686" y="2082195"/>
          <a:ext cx="109386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88B76AFE-960B-48FD-9FBC-50DEC486ED39}" type="TxLink">
            <a:rPr lang="en-US" sz="1100" b="1" i="0" u="none" strike="noStrike">
              <a:solidFill>
                <a:schemeClr val="accent4">
                  <a:lumMod val="50000"/>
                </a:schemeClr>
              </a:solidFill>
              <a:latin typeface="Times New Roman" panose="02020603050405020304" pitchFamily="18" charset="0"/>
              <a:cs typeface="Times New Roman" panose="02020603050405020304" pitchFamily="18" charset="0"/>
            </a:rPr>
            <a:pPr/>
            <a:t>Tonte  </a:t>
          </a:fld>
          <a:endParaRPr lang="fr-FR" sz="1100" b="1">
            <a:solidFill>
              <a:schemeClr val="accent4">
                <a:lumMod val="50000"/>
              </a:schemeClr>
            </a:solidFill>
            <a:latin typeface="Times New Roman" panose="02020603050405020304" pitchFamily="18" charset="0"/>
            <a:cs typeface="Times New Roman" panose="02020603050405020304" pitchFamily="18" charset="0"/>
          </a:endParaRPr>
        </a:p>
      </xdr:txBody>
    </xdr:sp>
    <xdr:clientData/>
  </xdr:oneCellAnchor>
  <xdr:twoCellAnchor editAs="oneCell">
    <xdr:from>
      <xdr:col>0</xdr:col>
      <xdr:colOff>35983</xdr:colOff>
      <xdr:row>11</xdr:row>
      <xdr:rowOff>61386</xdr:rowOff>
    </xdr:from>
    <xdr:to>
      <xdr:col>5</xdr:col>
      <xdr:colOff>295577</xdr:colOff>
      <xdr:row>19</xdr:row>
      <xdr:rowOff>84666</xdr:rowOff>
    </xdr:to>
    <mc:AlternateContent xmlns:mc="http://schemas.openxmlformats.org/markup-compatibility/2006" xmlns:tsle="http://schemas.microsoft.com/office/drawing/2012/timeslicer">
      <mc:Choice Requires="tsle">
        <xdr:graphicFrame macro="">
          <xdr:nvGraphicFramePr>
            <xdr:cNvPr id="27" name="Date">
              <a:extLst>
                <a:ext uri="{FF2B5EF4-FFF2-40B4-BE49-F238E27FC236}">
                  <a16:creationId xmlns:a16="http://schemas.microsoft.com/office/drawing/2014/main" id="{B5C09CF0-6C38-4D1D-9AAE-86DD0176B0D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5983" y="2069574"/>
              <a:ext cx="4656969" cy="1483780"/>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twoCellAnchor>
    <xdr:from>
      <xdr:col>9</xdr:col>
      <xdr:colOff>334436</xdr:colOff>
      <xdr:row>21</xdr:row>
      <xdr:rowOff>10583</xdr:rowOff>
    </xdr:from>
    <xdr:to>
      <xdr:col>16</xdr:col>
      <xdr:colOff>497418</xdr:colOff>
      <xdr:row>32</xdr:row>
      <xdr:rowOff>10582</xdr:rowOff>
    </xdr:to>
    <xdr:graphicFrame macro="">
      <xdr:nvGraphicFramePr>
        <xdr:cNvPr id="31" name="Chart 30">
          <a:extLst>
            <a:ext uri="{FF2B5EF4-FFF2-40B4-BE49-F238E27FC236}">
              <a16:creationId xmlns:a16="http://schemas.microsoft.com/office/drawing/2014/main" id="{187C29BC-173E-465D-84D9-5F885013D7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11</xdr:col>
      <xdr:colOff>177272</xdr:colOff>
      <xdr:row>5</xdr:row>
      <xdr:rowOff>84137</xdr:rowOff>
    </xdr:from>
    <xdr:to>
      <xdr:col>16</xdr:col>
      <xdr:colOff>441856</xdr:colOff>
      <xdr:row>10</xdr:row>
      <xdr:rowOff>166689</xdr:rowOff>
    </xdr:to>
    <mc:AlternateContent xmlns:mc="http://schemas.openxmlformats.org/markup-compatibility/2006" xmlns:a14="http://schemas.microsoft.com/office/drawing/2010/main">
      <mc:Choice Requires="a14">
        <xdr:graphicFrame macro="">
          <xdr:nvGraphicFramePr>
            <xdr:cNvPr id="32" name="Zone">
              <a:extLst>
                <a:ext uri="{FF2B5EF4-FFF2-40B4-BE49-F238E27FC236}">
                  <a16:creationId xmlns:a16="http://schemas.microsoft.com/office/drawing/2014/main" id="{5E2BBF9D-71EF-47C7-B999-971E31068A1A}"/>
                </a:ext>
              </a:extLst>
            </xdr:cNvPr>
            <xdr:cNvGraphicFramePr/>
          </xdr:nvGraphicFramePr>
          <xdr:xfrm>
            <a:off x="0" y="0"/>
            <a:ext cx="0" cy="0"/>
          </xdr:xfrm>
          <a:graphic>
            <a:graphicData uri="http://schemas.microsoft.com/office/drawing/2010/slicer">
              <sle:slicer xmlns:sle="http://schemas.microsoft.com/office/drawing/2010/slicer" name="Zone"/>
            </a:graphicData>
          </a:graphic>
        </xdr:graphicFrame>
      </mc:Choice>
      <mc:Fallback xmlns="">
        <xdr:sp macro="" textlink="">
          <xdr:nvSpPr>
            <xdr:cNvPr id="0" name=""/>
            <xdr:cNvSpPr>
              <a:spLocks noTextEdit="1"/>
            </xdr:cNvSpPr>
          </xdr:nvSpPr>
          <xdr:spPr>
            <a:xfrm>
              <a:off x="8241772" y="996950"/>
              <a:ext cx="3320522" cy="99536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221191</xdr:colOff>
      <xdr:row>19</xdr:row>
      <xdr:rowOff>135462</xdr:rowOff>
    </xdr:from>
    <xdr:to>
      <xdr:col>2</xdr:col>
      <xdr:colOff>563032</xdr:colOff>
      <xdr:row>21</xdr:row>
      <xdr:rowOff>91012</xdr:rowOff>
    </xdr:to>
    <xdr:sp macro="" textlink="">
      <xdr:nvSpPr>
        <xdr:cNvPr id="33" name="Rectangle: Rounded Corners 32">
          <a:extLst>
            <a:ext uri="{FF2B5EF4-FFF2-40B4-BE49-F238E27FC236}">
              <a16:creationId xmlns:a16="http://schemas.microsoft.com/office/drawing/2014/main" id="{DD411945-AC7E-4CAF-B963-DEB3554400D0}"/>
            </a:ext>
          </a:extLst>
        </xdr:cNvPr>
        <xdr:cNvSpPr/>
      </xdr:nvSpPr>
      <xdr:spPr>
        <a:xfrm>
          <a:off x="221191" y="3553879"/>
          <a:ext cx="1908174" cy="315383"/>
        </a:xfrm>
        <a:prstGeom prst="roundRect">
          <a:avLst/>
        </a:prstGeom>
        <a:solidFill>
          <a:schemeClr val="accent3">
            <a:lumMod val="40000"/>
            <a:lumOff val="60000"/>
          </a:schemeClr>
        </a:solidFill>
        <a:ln>
          <a:solidFill>
            <a:schemeClr val="accent3">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b="1">
              <a:latin typeface="Times New Roman" panose="02020603050405020304" pitchFamily="18" charset="0"/>
              <a:cs typeface="Times New Roman" panose="02020603050405020304" pitchFamily="18" charset="0"/>
            </a:rPr>
            <a:t>Superficie Chaque</a:t>
          </a:r>
          <a:r>
            <a:rPr lang="fr-FR" sz="1200" b="1" baseline="0">
              <a:latin typeface="Times New Roman" panose="02020603050405020304" pitchFamily="18" charset="0"/>
              <a:cs typeface="Times New Roman" panose="02020603050405020304" pitchFamily="18" charset="0"/>
            </a:rPr>
            <a:t> zone</a:t>
          </a:r>
          <a:endParaRPr lang="fr-FR" sz="1200" b="1">
            <a:latin typeface="Times New Roman" panose="02020603050405020304" pitchFamily="18" charset="0"/>
            <a:cs typeface="Times New Roman" panose="02020603050405020304" pitchFamily="18" charset="0"/>
          </a:endParaRPr>
        </a:p>
      </xdr:txBody>
    </xdr:sp>
    <xdr:clientData/>
  </xdr:twoCellAnchor>
  <xdr:twoCellAnchor>
    <xdr:from>
      <xdr:col>4</xdr:col>
      <xdr:colOff>666755</xdr:colOff>
      <xdr:row>19</xdr:row>
      <xdr:rowOff>135462</xdr:rowOff>
    </xdr:from>
    <xdr:to>
      <xdr:col>7</xdr:col>
      <xdr:colOff>148386</xdr:colOff>
      <xdr:row>21</xdr:row>
      <xdr:rowOff>91012</xdr:rowOff>
    </xdr:to>
    <xdr:sp macro="" textlink="">
      <xdr:nvSpPr>
        <xdr:cNvPr id="34" name="Rectangle: Rounded Corners 33">
          <a:extLst>
            <a:ext uri="{FF2B5EF4-FFF2-40B4-BE49-F238E27FC236}">
              <a16:creationId xmlns:a16="http://schemas.microsoft.com/office/drawing/2014/main" id="{9EC388E9-73A0-4A58-A840-1425FD4CC9E1}"/>
            </a:ext>
          </a:extLst>
        </xdr:cNvPr>
        <xdr:cNvSpPr/>
      </xdr:nvSpPr>
      <xdr:spPr>
        <a:xfrm>
          <a:off x="3937005" y="3553879"/>
          <a:ext cx="1841714" cy="315383"/>
        </a:xfrm>
        <a:prstGeom prst="roundRect">
          <a:avLst/>
        </a:prstGeom>
        <a:solidFill>
          <a:schemeClr val="accent3">
            <a:lumMod val="40000"/>
            <a:lumOff val="60000"/>
          </a:schemeClr>
        </a:solidFill>
        <a:ln>
          <a:solidFill>
            <a:schemeClr val="accent3">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b="1">
              <a:latin typeface="Times New Roman" panose="02020603050405020304" pitchFamily="18" charset="0"/>
              <a:cs typeface="Times New Roman" panose="02020603050405020304" pitchFamily="18" charset="0"/>
            </a:rPr>
            <a:t>Coût</a:t>
          </a:r>
          <a:r>
            <a:rPr lang="fr-FR" sz="1200" b="1" baseline="0">
              <a:latin typeface="Times New Roman" panose="02020603050405020304" pitchFamily="18" charset="0"/>
              <a:cs typeface="Times New Roman" panose="02020603050405020304" pitchFamily="18" charset="0"/>
            </a:rPr>
            <a:t>  total par mois</a:t>
          </a:r>
          <a:endParaRPr lang="fr-FR" sz="1200" b="1">
            <a:latin typeface="Times New Roman" panose="02020603050405020304" pitchFamily="18" charset="0"/>
            <a:cs typeface="Times New Roman" panose="02020603050405020304" pitchFamily="18" charset="0"/>
          </a:endParaRPr>
        </a:p>
      </xdr:txBody>
    </xdr:sp>
    <xdr:clientData/>
  </xdr:twoCellAnchor>
  <xdr:twoCellAnchor>
    <xdr:from>
      <xdr:col>11</xdr:col>
      <xdr:colOff>364066</xdr:colOff>
      <xdr:row>19</xdr:row>
      <xdr:rowOff>135462</xdr:rowOff>
    </xdr:from>
    <xdr:to>
      <xdr:col>14</xdr:col>
      <xdr:colOff>430740</xdr:colOff>
      <xdr:row>21</xdr:row>
      <xdr:rowOff>91012</xdr:rowOff>
    </xdr:to>
    <xdr:sp macro="" textlink="">
      <xdr:nvSpPr>
        <xdr:cNvPr id="35" name="Rectangle: Rounded Corners 34">
          <a:extLst>
            <a:ext uri="{FF2B5EF4-FFF2-40B4-BE49-F238E27FC236}">
              <a16:creationId xmlns:a16="http://schemas.microsoft.com/office/drawing/2014/main" id="{84FA7AB8-619A-4A0A-B63B-056303C93661}"/>
            </a:ext>
          </a:extLst>
        </xdr:cNvPr>
        <xdr:cNvSpPr/>
      </xdr:nvSpPr>
      <xdr:spPr>
        <a:xfrm>
          <a:off x="8449733" y="3553879"/>
          <a:ext cx="1908174" cy="315383"/>
        </a:xfrm>
        <a:prstGeom prst="roundRect">
          <a:avLst/>
        </a:prstGeom>
        <a:solidFill>
          <a:schemeClr val="accent3">
            <a:lumMod val="40000"/>
            <a:lumOff val="60000"/>
          </a:schemeClr>
        </a:solidFill>
        <a:ln>
          <a:solidFill>
            <a:schemeClr val="accent3">
              <a:lumMod val="50000"/>
            </a:schemeClr>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fr-FR" sz="1200" b="1">
              <a:latin typeface="Times New Roman" panose="02020603050405020304" pitchFamily="18" charset="0"/>
              <a:cs typeface="Times New Roman" panose="02020603050405020304" pitchFamily="18" charset="0"/>
            </a:rPr>
            <a:t>Coût</a:t>
          </a:r>
          <a:r>
            <a:rPr lang="fr-FR" sz="1200" b="1" baseline="0">
              <a:latin typeface="Times New Roman" panose="02020603050405020304" pitchFamily="18" charset="0"/>
              <a:cs typeface="Times New Roman" panose="02020603050405020304" pitchFamily="18" charset="0"/>
            </a:rPr>
            <a:t>  total par zone</a:t>
          </a:r>
          <a:endParaRPr lang="fr-FR" sz="1200" b="1">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0.39312</cdr:x>
      <cdr:y>0.44096</cdr:y>
    </cdr:from>
    <cdr:to>
      <cdr:x>0.77243</cdr:x>
      <cdr:y>0.62176</cdr:y>
    </cdr:to>
    <cdr:sp macro="" textlink="'Pivot Tables'!$B$139">
      <cdr:nvSpPr>
        <cdr:cNvPr id="2" name="TextBox 24">
          <a:extLst xmlns:a="http://schemas.openxmlformats.org/drawingml/2006/main">
            <a:ext uri="{FF2B5EF4-FFF2-40B4-BE49-F238E27FC236}">
              <a16:creationId xmlns:a16="http://schemas.microsoft.com/office/drawing/2014/main" id="{49ED3927-A397-4A1F-8DB1-37F2290FD2CA}"/>
            </a:ext>
          </a:extLst>
        </cdr:cNvPr>
        <cdr:cNvSpPr txBox="1"/>
      </cdr:nvSpPr>
      <cdr:spPr>
        <a:xfrm xmlns:a="http://schemas.openxmlformats.org/drawingml/2006/main">
          <a:off x="892849" y="620692"/>
          <a:ext cx="861484" cy="25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30FC72D6-79E1-4D8A-A825-3C787CFC19F8}" type="TxLink">
            <a:rPr lang="en-US" sz="1100" b="0" i="0" u="none" strike="noStrike">
              <a:solidFill>
                <a:schemeClr val="accent5">
                  <a:lumMod val="75000"/>
                </a:schemeClr>
              </a:solidFill>
              <a:latin typeface="Times New Roman" panose="02020603050405020304" pitchFamily="18" charset="0"/>
              <a:cs typeface="Times New Roman" panose="02020603050405020304" pitchFamily="18" charset="0"/>
            </a:rPr>
            <a:pPr/>
            <a:t>10.80%</a:t>
          </a:fld>
          <a:endParaRPr lang="fr-FR" sz="1100">
            <a:solidFill>
              <a:schemeClr val="accent5">
                <a:lumMod val="75000"/>
              </a:schemeClr>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0.01418</cdr:x>
      <cdr:y>0.02825</cdr:y>
    </cdr:from>
    <cdr:to>
      <cdr:x>0.44682</cdr:x>
      <cdr:y>0.20637</cdr:y>
    </cdr:to>
    <cdr:sp macro="" textlink="'Pivot Tables'!$A$139">
      <cdr:nvSpPr>
        <cdr:cNvPr id="3" name="TextBox 24">
          <a:extLst xmlns:a="http://schemas.openxmlformats.org/drawingml/2006/main">
            <a:ext uri="{FF2B5EF4-FFF2-40B4-BE49-F238E27FC236}">
              <a16:creationId xmlns:a16="http://schemas.microsoft.com/office/drawing/2014/main" id="{7158ACC8-2476-479C-9D00-BA8AE2D2EA63}"/>
            </a:ext>
          </a:extLst>
        </cdr:cNvPr>
        <cdr:cNvSpPr txBox="1"/>
      </cdr:nvSpPr>
      <cdr:spPr>
        <a:xfrm xmlns:a="http://schemas.openxmlformats.org/drawingml/2006/main">
          <a:off x="33368" y="40362"/>
          <a:ext cx="1018086" cy="25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6A54B0E6-A842-490C-BB43-38A1B98FC1C4}" type="TxLink">
            <a:rPr lang="en-US" sz="1100" b="1" i="0" u="none" strike="noStrike">
              <a:solidFill>
                <a:schemeClr val="accent5">
                  <a:lumMod val="75000"/>
                </a:schemeClr>
              </a:solidFill>
              <a:latin typeface="Times New Roman" panose="02020603050405020304" pitchFamily="18" charset="0"/>
              <a:cs typeface="Times New Roman" panose="02020603050405020304" pitchFamily="18" charset="0"/>
            </a:rPr>
            <a:pPr/>
            <a:t>Fertilisation </a:t>
          </a:fld>
          <a:endParaRPr lang="fr-FR" sz="1100" b="1">
            <a:solidFill>
              <a:schemeClr val="accent5">
                <a:lumMod val="75000"/>
              </a:schemeClr>
            </a:solidFill>
            <a:latin typeface="Times New Roman" panose="02020603050405020304" pitchFamily="18" charset="0"/>
            <a:cs typeface="Times New Roman" panose="02020603050405020304"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0.39373</cdr:x>
      <cdr:y>0.4281</cdr:y>
    </cdr:from>
    <cdr:to>
      <cdr:x>0.77304</cdr:x>
      <cdr:y>0.60622</cdr:y>
    </cdr:to>
    <cdr:sp macro="" textlink="'Pivot Tables'!$B$140">
      <cdr:nvSpPr>
        <cdr:cNvPr id="2" name="TextBox 24">
          <a:extLst xmlns:a="http://schemas.openxmlformats.org/drawingml/2006/main">
            <a:ext uri="{FF2B5EF4-FFF2-40B4-BE49-F238E27FC236}">
              <a16:creationId xmlns:a16="http://schemas.microsoft.com/office/drawing/2014/main" id="{49ED3927-A397-4A1F-8DB1-37F2290FD2CA}"/>
            </a:ext>
          </a:extLst>
        </cdr:cNvPr>
        <cdr:cNvSpPr txBox="1"/>
      </cdr:nvSpPr>
      <cdr:spPr>
        <a:xfrm xmlns:a="http://schemas.openxmlformats.org/drawingml/2006/main">
          <a:off x="893460" y="611647"/>
          <a:ext cx="860738" cy="25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E3B57B6E-0EDD-4352-9153-4D6F2A65566A}" type="TxLink">
            <a:rPr lang="en-US" sz="1100" b="0" i="0" u="none" strike="noStrike">
              <a:solidFill>
                <a:schemeClr val="accent3">
                  <a:lumMod val="75000"/>
                </a:schemeClr>
              </a:solidFill>
              <a:latin typeface="Times New Roman" panose="02020603050405020304" pitchFamily="18" charset="0"/>
              <a:cs typeface="Times New Roman" panose="02020603050405020304" pitchFamily="18" charset="0"/>
            </a:rPr>
            <a:pPr/>
            <a:t>5.82%</a:t>
          </a:fld>
          <a:endParaRPr lang="fr-FR" sz="1100">
            <a:solidFill>
              <a:schemeClr val="accent3">
                <a:lumMod val="75000"/>
              </a:schemeClr>
            </a:solidFill>
            <a:latin typeface="Times New Roman" panose="02020603050405020304" pitchFamily="18" charset="0"/>
            <a:cs typeface="Times New Roman" panose="02020603050405020304" pitchFamily="18" charset="0"/>
          </a:endParaRPr>
        </a:p>
      </cdr:txBody>
    </cdr:sp>
  </cdr:relSizeAnchor>
  <cdr:relSizeAnchor xmlns:cdr="http://schemas.openxmlformats.org/drawingml/2006/chartDrawing">
    <cdr:from>
      <cdr:x>0.02453</cdr:x>
      <cdr:y>0.03081</cdr:y>
    </cdr:from>
    <cdr:to>
      <cdr:x>0.40384</cdr:x>
      <cdr:y>0.20893</cdr:y>
    </cdr:to>
    <cdr:sp macro="" textlink="'Pivot Tables'!$A$140">
      <cdr:nvSpPr>
        <cdr:cNvPr id="3" name="TextBox 24">
          <a:extLst xmlns:a="http://schemas.openxmlformats.org/drawingml/2006/main">
            <a:ext uri="{FF2B5EF4-FFF2-40B4-BE49-F238E27FC236}">
              <a16:creationId xmlns:a16="http://schemas.microsoft.com/office/drawing/2014/main" id="{1E437186-7261-49B3-ADDB-C452C0B43A39}"/>
            </a:ext>
          </a:extLst>
        </cdr:cNvPr>
        <cdr:cNvSpPr txBox="1"/>
      </cdr:nvSpPr>
      <cdr:spPr>
        <a:xfrm xmlns:a="http://schemas.openxmlformats.org/drawingml/2006/main">
          <a:off x="55655" y="44013"/>
          <a:ext cx="860738" cy="254493"/>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fld id="{9BF03A79-20DE-410D-A84A-A5E923AA2A1F}" type="TxLink">
            <a:rPr lang="en-US" sz="1100" b="1" i="0" u="none" strike="noStrike">
              <a:solidFill>
                <a:schemeClr val="accent3">
                  <a:lumMod val="50000"/>
                </a:schemeClr>
              </a:solidFill>
              <a:latin typeface="Times New Roman" panose="02020603050405020304" pitchFamily="18" charset="0"/>
              <a:cs typeface="Times New Roman" panose="02020603050405020304" pitchFamily="18" charset="0"/>
            </a:rPr>
            <a:pPr/>
            <a:t>Sablage </a:t>
          </a:fld>
          <a:endParaRPr lang="fr-FR" sz="1100" b="1">
            <a:solidFill>
              <a:schemeClr val="accent3">
                <a:lumMod val="50000"/>
              </a:schemeClr>
            </a:solidFill>
            <a:latin typeface="Times New Roman" panose="02020603050405020304" pitchFamily="18" charset="0"/>
            <a:cs typeface="Times New Roman" panose="02020603050405020304" pitchFamily="18" charset="0"/>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17.614656365738" createdVersion="6" refreshedVersion="6" minRefreshableVersion="3" recordCount="42" xr:uid="{514DB33A-01A2-4273-8E02-8CCE9AAE78BF}">
  <cacheSource type="worksheet">
    <worksheetSource name="Table1"/>
  </cacheSource>
  <cacheFields count="6">
    <cacheField name="ID_Zone" numFmtId="0">
      <sharedItems/>
    </cacheField>
    <cacheField name="Secteur" numFmtId="0">
      <sharedItems/>
    </cacheField>
    <cacheField name="Zone_precise" numFmtId="0">
      <sharedItems/>
    </cacheField>
    <cacheField name="Zone" numFmtId="0">
      <sharedItems count="5">
        <s v="Depart"/>
        <s v="Fairway"/>
        <s v="Rough"/>
        <s v="Green"/>
        <s v="Bunker"/>
      </sharedItems>
    </cacheField>
    <cacheField name="Surface" numFmtId="2">
      <sharedItems containsSemiMixedTypes="0" containsString="0" containsNumber="1" minValue="47.66" maxValue="11879"/>
    </cacheField>
    <cacheField name="type-gazon" numFmtId="0">
      <sharedItems/>
    </cacheField>
  </cacheFields>
  <extLst>
    <ext xmlns:x14="http://schemas.microsoft.com/office/spreadsheetml/2009/9/main" uri="{725AE2AE-9491-48be-B2B4-4EB974FC3084}">
      <x14:pivotCacheDefinition pivotCacheId="47670400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17.618362499998" createdVersion="6" refreshedVersion="6" minRefreshableVersion="3" recordCount="30" xr:uid="{E9E35C23-C57F-4234-8D52-F97060D3F47A}">
  <cacheSource type="worksheet">
    <worksheetSource name="Table2"/>
  </cacheSource>
  <cacheFields count="4">
    <cacheField name="ID_OP" numFmtId="0">
      <sharedItems/>
    </cacheField>
    <cacheField name="Zone" numFmtId="0">
      <sharedItems count="5">
        <s v="Depart"/>
        <s v="Fairway"/>
        <s v="Rough"/>
        <s v="Green"/>
        <s v="Bunker"/>
      </sharedItems>
    </cacheField>
    <cacheField name="Couts" numFmtId="164">
      <sharedItems containsSemiMixedTypes="0" containsString="0" containsNumber="1" minValue="0" maxValue="48643.624751921947"/>
    </cacheField>
    <cacheField name="Type d’opération" numFmtId="0">
      <sharedItems count="11">
        <s v="Aération par louchet creux "/>
        <s v="Aération par louchet plein  "/>
        <s v="sablage "/>
        <s v="scarification "/>
        <s v="verticutte"/>
        <s v="tonte  "/>
        <s v="fertilisation "/>
        <s v="traitement phytosanitaire "/>
        <s v="sursemis "/>
        <s v="ratissage "/>
        <s v="desherbage "/>
      </sharedItems>
    </cacheField>
  </cacheFields>
  <extLst>
    <ext xmlns:x14="http://schemas.microsoft.com/office/spreadsheetml/2009/9/main" uri="{725AE2AE-9491-48be-B2B4-4EB974FC3084}">
      <x14:pivotCacheDefinition pivotCacheId="143729396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17.856191782404" createdVersion="6" refreshedVersion="6" minRefreshableVersion="3" recordCount="103" xr:uid="{79578B3E-7DD7-4D8C-9894-8D6492034CC8}">
  <cacheSource type="worksheet">
    <worksheetSource name="Table3"/>
  </cacheSource>
  <cacheFields count="11">
    <cacheField name="ID" numFmtId="0">
      <sharedItems/>
    </cacheField>
    <cacheField name="Date" numFmtId="168">
      <sharedItems containsSemiMixedTypes="0" containsNonDate="0" containsDate="1" containsString="0" minDate="2024-01-01T00:00:00" maxDate="2024-12-08T00:00:00" count="103">
        <d v="2024-01-01T00:00:00"/>
        <d v="2024-01-02T00:00:00"/>
        <d v="2024-01-03T00:00:00"/>
        <d v="2024-01-04T00:00:00"/>
        <d v="2024-01-05T00:00:00"/>
        <d v="2024-01-06T00:00:00"/>
        <d v="2024-02-01T00:00:00"/>
        <d v="2024-02-02T00:00:00"/>
        <d v="2024-02-03T00:00:00"/>
        <d v="2024-02-04T00:00:00"/>
        <d v="2024-02-05T00:00:00"/>
        <d v="2024-02-06T00:00:00"/>
        <d v="2024-02-07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4-01T00:00:00"/>
        <d v="2024-04-02T00:00:00"/>
        <d v="2024-04-03T00:00:00"/>
        <d v="2024-04-04T00:00:00"/>
        <d v="2024-04-05T00:00:00"/>
        <d v="2024-04-06T00:00:00"/>
        <d v="2024-04-07T00:00:00"/>
        <d v="2024-05-01T00:00:00"/>
        <d v="2024-05-02T00:00:00"/>
        <d v="2024-05-03T00:00:00"/>
        <d v="2024-05-04T00:00:00"/>
        <d v="2024-05-05T00:00:00"/>
        <d v="2024-05-06T00:00:00"/>
        <d v="2024-05-07T00:00:00"/>
        <d v="2024-06-01T00:00:00"/>
        <d v="2024-06-02T00:00:00"/>
        <d v="2024-06-03T00:00:00"/>
        <d v="2024-06-04T00:00:00"/>
        <d v="2024-06-05T00:00:00"/>
        <d v="2024-06-06T00:00:00"/>
        <d v="2024-06-07T00:00:00"/>
        <d v="2024-06-08T00:00:00"/>
        <d v="2024-06-09T00:00:00"/>
        <d v="2024-06-10T00:00:00"/>
        <d v="2024-07-01T00:00:00"/>
        <d v="2024-07-02T00:00:00"/>
        <d v="2024-07-03T00:00:00"/>
        <d v="2024-07-04T00:00:00"/>
        <d v="2024-07-05T00:00:00"/>
        <d v="2024-07-06T00:00:00"/>
        <d v="2024-07-07T00:00:00"/>
        <d v="2024-08-01T00:00:00"/>
        <d v="2024-08-02T00:00:00"/>
        <d v="2024-08-03T00:00:00"/>
        <d v="2024-08-04T00:00:00"/>
        <d v="2024-08-05T00:00:00"/>
        <d v="2024-08-06T00:00:00"/>
        <d v="2024-09-01T00:00:00"/>
        <d v="2024-09-02T00:00:00"/>
        <d v="2024-09-03T00:00:00"/>
        <d v="2024-09-04T00:00:00"/>
        <d v="2024-09-05T00:00:00"/>
        <d v="2024-09-06T00:00:00"/>
        <d v="2024-09-07T00:00:00"/>
        <d v="2024-09-08T00:00:00"/>
        <d v="2024-09-09T00:00:00"/>
        <d v="2024-09-10T00:00:00"/>
        <d v="2024-10-01T00:00:00"/>
        <d v="2024-10-02T00:00:00"/>
        <d v="2024-10-03T00:00:00"/>
        <d v="2024-10-04T00:00:00"/>
        <d v="2024-10-05T00:00:00"/>
        <d v="2024-10-06T00:00:00"/>
        <d v="2024-10-07T00:00:00"/>
        <d v="2024-10-08T00:00:00"/>
        <d v="2024-10-09T00:00:00"/>
        <d v="2024-10-10T00:00:00"/>
        <d v="2024-11-01T00:00:00"/>
        <d v="2024-11-02T00:00:00"/>
        <d v="2024-11-03T00:00:00"/>
        <d v="2024-11-04T00:00:00"/>
        <d v="2024-11-05T00:00:00"/>
        <d v="2024-11-06T00:00:00"/>
        <d v="2024-11-07T00:00:00"/>
        <d v="2024-11-08T00:00:00"/>
        <d v="2024-11-09T00:00:00"/>
        <d v="2024-11-10T00:00:00"/>
        <d v="2024-12-01T00:00:00"/>
        <d v="2024-12-02T00:00:00"/>
        <d v="2024-12-03T00:00:00"/>
        <d v="2024-12-04T00:00:00"/>
        <d v="2024-12-05T00:00:00"/>
        <d v="2024-12-06T00:00:00"/>
        <d v="2024-12-07T00:00:00"/>
      </sharedItems>
      <fieldGroup par="10" base="1">
        <rangePr groupBy="days" startDate="2024-01-01T00:00:00" endDate="2024-12-08T00:00:00"/>
        <groupItems count="368">
          <s v="&lt;1/1/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8/2024"/>
        </groupItems>
      </fieldGroup>
    </cacheField>
    <cacheField name="Zone" numFmtId="0">
      <sharedItems count="5">
        <s v="Depart"/>
        <s v="Fairway"/>
        <s v="Rough"/>
        <s v="Green"/>
        <s v="Bunker"/>
      </sharedItems>
    </cacheField>
    <cacheField name="ID_Operation" numFmtId="0">
      <sharedItems/>
    </cacheField>
    <cacheField name="ID_Cout" numFmtId="0">
      <sharedItems/>
    </cacheField>
    <cacheField name="Frequence" numFmtId="1">
      <sharedItems containsSemiMixedTypes="0" containsString="0" containsNumber="1" containsInteger="1" minValue="1" maxValue="26"/>
    </cacheField>
    <cacheField name="Type d’opération" numFmtId="0">
      <sharedItems count="12">
        <s v="Tonte  "/>
        <s v="Fertilisation "/>
        <s v="Ratissage "/>
        <s v="Traitement phytosanitaire "/>
        <s v="Sablage "/>
        <s v="Verticutte"/>
        <s v="Aération par louchet creux "/>
        <s v="Désherbage "/>
        <s v="Sursemis "/>
        <s v="Aération par louchet plein  "/>
        <s v="Scarification "/>
        <s v="desherbage " u="1"/>
      </sharedItems>
    </cacheField>
    <cacheField name="Cout" numFmtId="167">
      <sharedItems containsSemiMixedTypes="0" containsString="0" containsNumber="1" minValue="600" maxValue="48643.624751921947"/>
    </cacheField>
    <cacheField name="Cout_Total" numFmtId="167">
      <sharedItems containsSemiMixedTypes="0" containsString="0" containsNumber="1" minValue="600" maxValue="137246.49065315316"/>
    </cacheField>
    <cacheField name="sup" numFmtId="0">
      <sharedItems containsSemiMixedTypes="0" containsString="0" containsNumber="1" minValue="0" maxValue="27700.314600000002"/>
    </cacheField>
    <cacheField name="Months" numFmtId="0" databaseField="0">
      <fieldGroup base="1">
        <rangePr groupBy="months" startDate="2024-01-01T00:00:00" endDate="2024-12-08T00:00:00"/>
        <groupItems count="14">
          <s v="&lt;1/1/2024"/>
          <s v="Jan"/>
          <s v="Feb"/>
          <s v="Mar"/>
          <s v="Apr"/>
          <s v="May"/>
          <s v="Jun"/>
          <s v="Jul"/>
          <s v="Aug"/>
          <s v="Sep"/>
          <s v="Oct"/>
          <s v="Nov"/>
          <s v="Dec"/>
          <s v="&gt;12/8/2024"/>
        </groupItems>
      </fieldGroup>
    </cacheField>
  </cacheFields>
  <extLst>
    <ext xmlns:x14="http://schemas.microsoft.com/office/spreadsheetml/2009/9/main" uri="{725AE2AE-9491-48be-B2B4-4EB974FC3084}">
      <x14:pivotCacheDefinition pivotCacheId="20299214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
  <r>
    <s v="CDDepart1"/>
    <s v="CD"/>
    <s v="Depart1"/>
    <x v="0"/>
    <n v="745.86630000000002"/>
    <s v="Bermuda Hollywod"/>
  </r>
  <r>
    <s v="CDDepart2"/>
    <s v="CD"/>
    <s v="Depart2"/>
    <x v="0"/>
    <n v="742.41030000000001"/>
    <s v="Bermuda Hollywod"/>
  </r>
  <r>
    <s v="CDDepart3"/>
    <s v="CD"/>
    <s v="Depart3"/>
    <x v="0"/>
    <n v="721.72080000000005"/>
    <s v="Bermuda Hollywod"/>
  </r>
  <r>
    <s v="WDDepart1"/>
    <s v="WD"/>
    <s v="Depart1"/>
    <x v="0"/>
    <n v="709.09960000000001"/>
    <s v="Bermuda Hollywod"/>
  </r>
  <r>
    <s v="WDDepart2"/>
    <s v="WD"/>
    <s v="Depart2"/>
    <x v="0"/>
    <n v="731.17529999999999"/>
    <s v="Bermuda Hollywod"/>
  </r>
  <r>
    <s v="WDDepart3"/>
    <s v="WD"/>
    <s v="Depart3"/>
    <x v="0"/>
    <n v="676.97050000000002"/>
    <s v="Bermuda Hollywod"/>
  </r>
  <r>
    <s v="WpDepart1"/>
    <s v="Wp"/>
    <s v="Depart1"/>
    <x v="0"/>
    <n v="62.52"/>
    <s v="Bermuda Hollywod"/>
  </r>
  <r>
    <s v="WpDepart2"/>
    <s v="Wp"/>
    <s v="Depart2"/>
    <x v="0"/>
    <n v="50.04"/>
    <s v="Bermuda Hollywod"/>
  </r>
  <r>
    <s v="WpDepart3"/>
    <s v="Wp"/>
    <s v="Depart3"/>
    <x v="0"/>
    <n v="47.66"/>
    <s v="Bermuda Hollywod"/>
  </r>
  <r>
    <s v="WpDepart4"/>
    <s v="Wp"/>
    <s v="Depart4"/>
    <x v="0"/>
    <n v="125.84"/>
    <s v="Bermuda Hollywod"/>
  </r>
  <r>
    <s v="CDFairway"/>
    <s v="CD"/>
    <s v="Fairway"/>
    <x v="1"/>
    <n v="11879"/>
    <s v="Bermuda Hollywod"/>
  </r>
  <r>
    <s v="WDFairway"/>
    <s v="WD"/>
    <s v="Fairway"/>
    <x v="1"/>
    <n v="9904.8046000000013"/>
    <s v="Bermuda Hollywod"/>
  </r>
  <r>
    <s v="WpFairway"/>
    <s v="Wp"/>
    <s v="Fairway"/>
    <x v="1"/>
    <n v="5916.5099999999984"/>
    <s v="Bermuda Hollywod"/>
  </r>
  <r>
    <s v="CDRough"/>
    <s v="CD"/>
    <s v="Rough"/>
    <x v="2"/>
    <n v="6260"/>
    <s v="Bermuda Hollywod"/>
  </r>
  <r>
    <s v="WPRough"/>
    <s v="Wp"/>
    <s v="Rough"/>
    <x v="2"/>
    <n v="5300"/>
    <s v="Bermuda Hollywod"/>
  </r>
  <r>
    <s v="CDGreen1"/>
    <s v="CD"/>
    <s v="Green1"/>
    <x v="3"/>
    <n v="163.66"/>
    <s v="Agrostis Ignite"/>
  </r>
  <r>
    <s v="CDGreen2"/>
    <s v="CD"/>
    <s v="Green2"/>
    <x v="3"/>
    <n v="216.46"/>
    <s v="Agrostis Ignite"/>
  </r>
  <r>
    <s v="CDGreen3"/>
    <s v="CD"/>
    <s v="Green3"/>
    <x v="3"/>
    <n v="198.72"/>
    <s v="Agrostis Ignite"/>
  </r>
  <r>
    <s v="CDGreen4"/>
    <s v="CD"/>
    <s v="Green4"/>
    <x v="3"/>
    <n v="209.5"/>
    <s v="Agrostis Ignite"/>
  </r>
  <r>
    <s v="CDGreen5"/>
    <s v="CD"/>
    <s v="Green5"/>
    <x v="3"/>
    <n v="206.16"/>
    <s v="Agrostis Ignite"/>
  </r>
  <r>
    <s v="CDGreen6"/>
    <s v="CD"/>
    <s v="Green6"/>
    <x v="3"/>
    <n v="198.93"/>
    <s v="Agrostis Ignite"/>
  </r>
  <r>
    <s v="CDdepart_Prince "/>
    <s v="CD"/>
    <s v="depart_Prince "/>
    <x v="3"/>
    <n v="418"/>
    <s v="Agrostis Ignite"/>
  </r>
  <r>
    <s v="WDgreen1"/>
    <s v="WD"/>
    <s v="Green1"/>
    <x v="3"/>
    <n v="184.66"/>
    <s v="Agrostis Ignite"/>
  </r>
  <r>
    <s v="WDgreen2"/>
    <s v="WD"/>
    <s v="Green2"/>
    <x v="3"/>
    <n v="139.13999999999999"/>
    <s v="Agrostis Ignite"/>
  </r>
  <r>
    <s v="WDgreen3"/>
    <s v="WD"/>
    <s v="Green3"/>
    <x v="3"/>
    <n v="210.88"/>
    <s v="Agrostis Ignite"/>
  </r>
  <r>
    <s v="WDgreen4"/>
    <s v="WD"/>
    <s v="Green4"/>
    <x v="3"/>
    <n v="296.7"/>
    <s v="Agrostis Ignite"/>
  </r>
  <r>
    <s v="WDgreen5"/>
    <s v="WD"/>
    <s v="Green5"/>
    <x v="3"/>
    <n v="301.35000000000002"/>
    <s v="Agrostis Ignite"/>
  </r>
  <r>
    <s v="WDgreen6"/>
    <s v="WD"/>
    <s v="Green6"/>
    <x v="3"/>
    <n v="271.14999999999998"/>
    <s v="Agrostis Ignite"/>
  </r>
  <r>
    <s v="WDgreen7"/>
    <s v="WD"/>
    <s v="green7"/>
    <x v="3"/>
    <n v="331.9"/>
    <s v="Agrostis Ignite"/>
  </r>
  <r>
    <s v="WDgreen8"/>
    <s v="WD"/>
    <s v="green8"/>
    <x v="3"/>
    <n v="204.17"/>
    <s v="Agrostis Ignite"/>
  </r>
  <r>
    <s v="Wpgreen1"/>
    <s v="Wp"/>
    <s v="Green1"/>
    <x v="3"/>
    <n v="463.2"/>
    <s v="Agrostis Ignite"/>
  </r>
  <r>
    <s v="Wpgreen2"/>
    <s v="Wp"/>
    <s v="Green2"/>
    <x v="3"/>
    <n v="268.57"/>
    <s v="Agrostis Ignite"/>
  </r>
  <r>
    <s v="Wpgreen3"/>
    <s v="Wp"/>
    <s v="Green3"/>
    <x v="3"/>
    <n v="383.19"/>
    <s v="Agrostis Ignite"/>
  </r>
  <r>
    <s v="Wpgreen4"/>
    <s v="Wp"/>
    <s v="Green4"/>
    <x v="3"/>
    <n v="430.04"/>
    <s v="Agrostis Ignite"/>
  </r>
  <r>
    <s v="Wpgreen5"/>
    <s v="Wp"/>
    <s v="Green5"/>
    <x v="3"/>
    <n v="487.43"/>
    <s v="Agrostis Ignite"/>
  </r>
  <r>
    <s v="CPCP"/>
    <s v="CP"/>
    <s v="CP"/>
    <x v="3"/>
    <n v="664"/>
    <s v="Agrostis Ignite"/>
  </r>
  <r>
    <s v="PGPG"/>
    <s v="PG"/>
    <s v="PG"/>
    <x v="3"/>
    <n v="2220"/>
    <s v="Agrostis Ignite"/>
  </r>
  <r>
    <s v="GGazonnière "/>
    <s v="G"/>
    <s v="Gazonnière "/>
    <x v="3"/>
    <n v="4087"/>
    <s v="Agrostis 007"/>
  </r>
  <r>
    <s v="CDBig bunke"/>
    <s v="CD"/>
    <s v="Big bunke"/>
    <x v="4"/>
    <n v="8539"/>
    <s v="sable siliceux"/>
  </r>
  <r>
    <s v="CDsmal  bunke"/>
    <s v="CD"/>
    <s v="smal  bunke"/>
    <x v="4"/>
    <n v="798"/>
    <s v="sable siliceux"/>
  </r>
  <r>
    <s v="WDTotal Smal bunkr"/>
    <s v="WD"/>
    <s v="Total Smal bunkr"/>
    <x v="4"/>
    <n v="937"/>
    <s v="sable siliceux"/>
  </r>
  <r>
    <s v="WpTotal Smal bunkr"/>
    <s v="Wp"/>
    <s v="Total Smal bunkr"/>
    <x v="4"/>
    <n v="755"/>
    <s v="sable siliceux"/>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OP01"/>
    <x v="0"/>
    <n v="0"/>
    <x v="0"/>
  </r>
  <r>
    <s v="OP02"/>
    <x v="0"/>
    <n v="5000"/>
    <x v="1"/>
  </r>
  <r>
    <s v="OP03"/>
    <x v="0"/>
    <n v="1625.5730908434732"/>
    <x v="2"/>
  </r>
  <r>
    <s v="OP04"/>
    <x v="0"/>
    <n v="8688.4849387362356"/>
    <x v="3"/>
  </r>
  <r>
    <s v="OP05"/>
    <x v="0"/>
    <n v="1551.7325707362345"/>
    <x v="4"/>
  </r>
  <r>
    <s v="OP06"/>
    <x v="0"/>
    <n v="687.21118895648601"/>
    <x v="5"/>
  </r>
  <r>
    <s v="OP07"/>
    <x v="0"/>
    <n v="8184.7117602701601"/>
    <x v="6"/>
  </r>
  <r>
    <s v="OP08"/>
    <x v="0"/>
    <n v="1069.0657245050527"/>
    <x v="7"/>
  </r>
  <r>
    <s v="OP09"/>
    <x v="0"/>
    <n v="30151.629958317182"/>
    <x v="8"/>
  </r>
  <r>
    <s v="OP01"/>
    <x v="1"/>
    <n v="11740.051083246453"/>
    <x v="0"/>
  </r>
  <r>
    <s v="OP02"/>
    <x v="1"/>
    <n v="11179.504785481166"/>
    <x v="1"/>
  </r>
  <r>
    <s v="OP03"/>
    <x v="1"/>
    <n v="26611.066584717195"/>
    <x v="2"/>
  </r>
  <r>
    <s v="OP04"/>
    <x v="1"/>
    <n v="2062.0858708127466"/>
    <x v="3"/>
  </r>
  <r>
    <s v="OP05"/>
    <x v="1"/>
    <n v="1893.9219814831604"/>
    <x v="4"/>
  </r>
  <r>
    <s v="OP06"/>
    <x v="1"/>
    <n v="1524.8582990344953"/>
    <x v="5"/>
  </r>
  <r>
    <s v="OP07"/>
    <x v="1"/>
    <n v="48643.624751921947"/>
    <x v="6"/>
  </r>
  <r>
    <s v="OP08"/>
    <x v="1"/>
    <n v="1202.9177597910339"/>
    <x v="7"/>
  </r>
  <r>
    <s v="OP02"/>
    <x v="2"/>
    <n v="9668.461538461539"/>
    <x v="1"/>
  </r>
  <r>
    <s v="OP06"/>
    <x v="2"/>
    <n v="688.07692307692309"/>
    <x v="5"/>
  </r>
  <r>
    <s v="OP07"/>
    <x v="2"/>
    <n v="3036.0384615384614"/>
    <x v="6"/>
  </r>
  <r>
    <s v="OP01"/>
    <x v="3"/>
    <n v="6744.83826056826"/>
    <x v="0"/>
  </r>
  <r>
    <s v="OP02"/>
    <x v="3"/>
    <n v="5929.1671327096328"/>
    <x v="1"/>
  </r>
  <r>
    <s v="OP03"/>
    <x v="3"/>
    <n v="21081.637136902285"/>
    <x v="2"/>
  </r>
  <r>
    <s v="OP04"/>
    <x v="3"/>
    <n v="1575.5255266805266"/>
    <x v="3"/>
  </r>
  <r>
    <s v="OP05"/>
    <x v="3"/>
    <n v="1575.5255266805266"/>
    <x v="4"/>
  </r>
  <r>
    <s v="OP06"/>
    <x v="3"/>
    <n v="5278.7111789674291"/>
    <x v="5"/>
  </r>
  <r>
    <s v="OP07"/>
    <x v="3"/>
    <n v="5725.6994017671514"/>
    <x v="6"/>
  </r>
  <r>
    <s v="OP08"/>
    <x v="3"/>
    <n v="3292.1215804747053"/>
    <x v="7"/>
  </r>
  <r>
    <s v="OP10"/>
    <x v="4"/>
    <n v="600"/>
    <x v="9"/>
  </r>
  <r>
    <s v="OP11"/>
    <x v="4"/>
    <n v="1594"/>
    <x v="1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s v="F001"/>
    <x v="0"/>
    <x v="0"/>
    <s v="OP06"/>
    <s v="OP06Depart"/>
    <n v="8"/>
    <x v="0"/>
    <n v="687.21118895648601"/>
    <n v="5497.6895116518881"/>
    <n v="4613.3028000000004"/>
  </r>
  <r>
    <s v="F002"/>
    <x v="1"/>
    <x v="1"/>
    <s v="OP06"/>
    <s v="OP06Fairway"/>
    <n v="4"/>
    <x v="0"/>
    <n v="1524.8582990344953"/>
    <n v="6099.4331961379812"/>
    <n v="27700.314600000002"/>
  </r>
  <r>
    <s v="F003"/>
    <x v="2"/>
    <x v="2"/>
    <s v="OP06"/>
    <s v="OP06Rough"/>
    <n v="1"/>
    <x v="0"/>
    <n v="688.07692307692309"/>
    <n v="688.07692307692309"/>
    <n v="11560"/>
  </r>
  <r>
    <s v="F004"/>
    <x v="3"/>
    <x v="3"/>
    <s v="OP06"/>
    <s v="OP06Green"/>
    <n v="12"/>
    <x v="0"/>
    <n v="5278.7111789674291"/>
    <n v="63344.534147609149"/>
    <n v="12554.81"/>
  </r>
  <r>
    <s v="F005"/>
    <x v="4"/>
    <x v="3"/>
    <s v="OP07"/>
    <s v="OP07Green"/>
    <n v="1"/>
    <x v="1"/>
    <n v="5725.6994017671514"/>
    <n v="5725.6994017671514"/>
    <n v="0"/>
  </r>
  <r>
    <s v="F006"/>
    <x v="5"/>
    <x v="4"/>
    <s v="OP10"/>
    <s v="OP10Bunker"/>
    <n v="1"/>
    <x v="2"/>
    <n v="600"/>
    <n v="600"/>
    <n v="11029"/>
  </r>
  <r>
    <s v="F007"/>
    <x v="6"/>
    <x v="0"/>
    <s v="OP06"/>
    <s v="OP06Depart"/>
    <n v="8"/>
    <x v="0"/>
    <n v="687.21118895648601"/>
    <n v="5497.6895116518881"/>
    <n v="0"/>
  </r>
  <r>
    <s v="F008"/>
    <x v="7"/>
    <x v="1"/>
    <s v="OP06"/>
    <s v="OP06Fairway"/>
    <n v="4"/>
    <x v="0"/>
    <n v="1524.8582990344953"/>
    <n v="6099.4331961379812"/>
    <n v="0"/>
  </r>
  <r>
    <s v="F009"/>
    <x v="8"/>
    <x v="1"/>
    <s v="OP07"/>
    <s v="OP07Fairway"/>
    <n v="1"/>
    <x v="1"/>
    <n v="48643.624751921947"/>
    <n v="48643.624751921947"/>
    <n v="0"/>
  </r>
  <r>
    <s v="F010"/>
    <x v="9"/>
    <x v="2"/>
    <s v="OP06"/>
    <s v="OP06Rough"/>
    <n v="1"/>
    <x v="0"/>
    <n v="688.07692307692309"/>
    <n v="688.07692307692309"/>
    <n v="0"/>
  </r>
  <r>
    <s v="F011"/>
    <x v="10"/>
    <x v="3"/>
    <s v="OP06"/>
    <s v="OP06Green"/>
    <n v="16"/>
    <x v="0"/>
    <n v="5278.7111789674291"/>
    <n v="84459.378863478865"/>
    <n v="0"/>
  </r>
  <r>
    <s v="F012"/>
    <x v="11"/>
    <x v="3"/>
    <s v="OP08"/>
    <s v="OP08Green"/>
    <n v="1"/>
    <x v="3"/>
    <n v="3292.1215804747053"/>
    <n v="3292.1215804747053"/>
    <n v="0"/>
  </r>
  <r>
    <s v="F013"/>
    <x v="12"/>
    <x v="4"/>
    <s v="OP10"/>
    <s v="OP10Bunker"/>
    <n v="1"/>
    <x v="2"/>
    <n v="600"/>
    <n v="600"/>
    <n v="0"/>
  </r>
  <r>
    <s v="F014"/>
    <x v="13"/>
    <x v="0"/>
    <s v="OP03"/>
    <s v="OP03Depart"/>
    <n v="1"/>
    <x v="4"/>
    <n v="1625.5730908434732"/>
    <n v="1625.5730908434732"/>
    <n v="0"/>
  </r>
  <r>
    <s v="F015"/>
    <x v="14"/>
    <x v="0"/>
    <s v="OP05"/>
    <s v="OP05Depart"/>
    <n v="2"/>
    <x v="5"/>
    <n v="1551.7325707362345"/>
    <n v="3103.465141472469"/>
    <n v="0"/>
  </r>
  <r>
    <s v="F016"/>
    <x v="15"/>
    <x v="0"/>
    <s v="OP06"/>
    <s v="OP06Depart"/>
    <n v="6"/>
    <x v="0"/>
    <n v="687.21118895648601"/>
    <n v="4123.2671337389165"/>
    <n v="0"/>
  </r>
  <r>
    <s v="F017"/>
    <x v="16"/>
    <x v="0"/>
    <s v="OP07"/>
    <s v="OP07Depart"/>
    <n v="1"/>
    <x v="1"/>
    <n v="8184.7117602701601"/>
    <n v="8184.7117602701601"/>
    <n v="0"/>
  </r>
  <r>
    <s v="F018"/>
    <x v="17"/>
    <x v="1"/>
    <s v="OP03"/>
    <s v="OP03Fairway"/>
    <n v="1"/>
    <x v="4"/>
    <n v="26611.066584717195"/>
    <n v="26611.066584717195"/>
    <n v="0"/>
  </r>
  <r>
    <s v="F019"/>
    <x v="18"/>
    <x v="1"/>
    <s v="OP05"/>
    <s v="OP05Fairway"/>
    <n v="1"/>
    <x v="5"/>
    <n v="1893.9219814831604"/>
    <n v="1893.9219814831604"/>
    <n v="0"/>
  </r>
  <r>
    <s v="F020"/>
    <x v="19"/>
    <x v="1"/>
    <s v="OP06"/>
    <s v="OP06Fairway"/>
    <n v="4"/>
    <x v="0"/>
    <n v="1524.8582990344953"/>
    <n v="6099.4331961379812"/>
    <n v="0"/>
  </r>
  <r>
    <s v="F021"/>
    <x v="20"/>
    <x v="1"/>
    <s v="OP08"/>
    <s v="OP08Fairway"/>
    <n v="1"/>
    <x v="3"/>
    <n v="1202.9177597910339"/>
    <n v="1202.9177597910339"/>
    <n v="0"/>
  </r>
  <r>
    <s v="F022"/>
    <x v="21"/>
    <x v="2"/>
    <s v="OP06"/>
    <s v="OP06Rough"/>
    <n v="1"/>
    <x v="0"/>
    <n v="688.07692307692309"/>
    <n v="688.07692307692309"/>
    <n v="0"/>
  </r>
  <r>
    <s v="F023"/>
    <x v="22"/>
    <x v="2"/>
    <s v="OP07"/>
    <s v="OP07Rough"/>
    <n v="1"/>
    <x v="1"/>
    <n v="3036.0384615384614"/>
    <n v="3036.0384615384614"/>
    <n v="0"/>
  </r>
  <r>
    <s v="F024"/>
    <x v="23"/>
    <x v="3"/>
    <s v="OP01"/>
    <s v="OP01Green"/>
    <n v="1"/>
    <x v="6"/>
    <n v="6744.83826056826"/>
    <n v="6744.83826056826"/>
    <n v="0"/>
  </r>
  <r>
    <s v="F025"/>
    <x v="24"/>
    <x v="3"/>
    <s v="OP03"/>
    <s v="OP03Green"/>
    <n v="1"/>
    <x v="4"/>
    <n v="21081.637136902285"/>
    <n v="21081.637136902285"/>
    <n v="0"/>
  </r>
  <r>
    <s v="F026"/>
    <x v="25"/>
    <x v="3"/>
    <s v="OP06"/>
    <s v="OP06Green"/>
    <n v="20"/>
    <x v="0"/>
    <n v="5278.7111789674291"/>
    <n v="105574.22357934859"/>
    <n v="0"/>
  </r>
  <r>
    <s v="F027"/>
    <x v="26"/>
    <x v="3"/>
    <s v="OP07"/>
    <s v="OP07Green"/>
    <n v="1"/>
    <x v="1"/>
    <n v="5725.6994017671514"/>
    <n v="5725.6994017671514"/>
    <n v="0"/>
  </r>
  <r>
    <s v="F028"/>
    <x v="27"/>
    <x v="4"/>
    <s v="OP10"/>
    <s v="OP10Bunker"/>
    <n v="1"/>
    <x v="2"/>
    <n v="600"/>
    <n v="600"/>
    <n v="0"/>
  </r>
  <r>
    <s v="F029"/>
    <x v="28"/>
    <x v="4"/>
    <s v="OP11"/>
    <s v="OP11Bunker"/>
    <n v="1"/>
    <x v="7"/>
    <n v="1594"/>
    <n v="1594"/>
    <n v="0"/>
  </r>
  <r>
    <s v="F030"/>
    <x v="29"/>
    <x v="0"/>
    <s v="OP06"/>
    <s v="OP06Depart"/>
    <n v="12"/>
    <x v="0"/>
    <n v="687.21118895648601"/>
    <n v="8246.5342674778331"/>
    <n v="0"/>
  </r>
  <r>
    <s v="F031"/>
    <x v="30"/>
    <x v="0"/>
    <s v="OP09"/>
    <s v="OP09Depart"/>
    <n v="1"/>
    <x v="8"/>
    <n v="30151.629958317182"/>
    <n v="30151.629958317182"/>
    <n v="0"/>
  </r>
  <r>
    <s v="F032"/>
    <x v="31"/>
    <x v="1"/>
    <s v="OP06"/>
    <s v="OP06Fairway"/>
    <n v="8"/>
    <x v="0"/>
    <n v="1524.8582990344953"/>
    <n v="12198.866392275962"/>
    <n v="0"/>
  </r>
  <r>
    <s v="F033"/>
    <x v="32"/>
    <x v="2"/>
    <s v="OP02"/>
    <s v="OP02Rough"/>
    <n v="1"/>
    <x v="9"/>
    <n v="9668.461538461539"/>
    <n v="9668.461538461539"/>
    <n v="0"/>
  </r>
  <r>
    <s v="F034"/>
    <x v="33"/>
    <x v="2"/>
    <s v="OP06"/>
    <s v="OP06Rough"/>
    <n v="2"/>
    <x v="0"/>
    <n v="688.07692307692309"/>
    <n v="1376.1538461538462"/>
    <n v="0"/>
  </r>
  <r>
    <s v="F035"/>
    <x v="34"/>
    <x v="3"/>
    <s v="OP06"/>
    <s v="OP06Green"/>
    <n v="26"/>
    <x v="0"/>
    <n v="5278.7111789674291"/>
    <n v="137246.49065315316"/>
    <n v="0"/>
  </r>
  <r>
    <s v="F036"/>
    <x v="35"/>
    <x v="4"/>
    <s v="OP10"/>
    <s v="OP10Bunker"/>
    <n v="1"/>
    <x v="2"/>
    <n v="600"/>
    <n v="600"/>
    <n v="0"/>
  </r>
  <r>
    <s v="F037"/>
    <x v="36"/>
    <x v="0"/>
    <s v="OP06"/>
    <s v="OP06Depart"/>
    <n v="12"/>
    <x v="0"/>
    <n v="687.21118895648601"/>
    <n v="8246.5342674778331"/>
    <n v="0"/>
  </r>
  <r>
    <s v="F038"/>
    <x v="37"/>
    <x v="1"/>
    <s v="OP06"/>
    <s v="OP06Fairway"/>
    <n v="8"/>
    <x v="0"/>
    <n v="1524.8582990344953"/>
    <n v="12198.866392275962"/>
    <n v="0"/>
  </r>
  <r>
    <s v="F039"/>
    <x v="38"/>
    <x v="2"/>
    <s v="OP06"/>
    <s v="OP06Rough"/>
    <n v="2"/>
    <x v="0"/>
    <n v="688.07692307692309"/>
    <n v="1376.1538461538462"/>
    <n v="0"/>
  </r>
  <r>
    <s v="F040"/>
    <x v="39"/>
    <x v="3"/>
    <s v="OP06"/>
    <s v="OP06Green"/>
    <n v="26"/>
    <x v="0"/>
    <n v="5278.7111789674291"/>
    <n v="137246.49065315316"/>
    <n v="0"/>
  </r>
  <r>
    <s v="F041"/>
    <x v="40"/>
    <x v="3"/>
    <s v="OP07"/>
    <s v="OP07Green"/>
    <n v="1"/>
    <x v="1"/>
    <n v="5725.6994017671514"/>
    <n v="5725.6994017671514"/>
    <n v="0"/>
  </r>
  <r>
    <s v="F042"/>
    <x v="41"/>
    <x v="3"/>
    <s v="OP08"/>
    <s v="OP08Green"/>
    <n v="1"/>
    <x v="3"/>
    <n v="3292.1215804747053"/>
    <n v="3292.1215804747053"/>
    <n v="0"/>
  </r>
  <r>
    <s v="F043"/>
    <x v="42"/>
    <x v="4"/>
    <s v="OP10"/>
    <s v="OP10Bunker"/>
    <n v="1"/>
    <x v="2"/>
    <n v="600"/>
    <n v="600"/>
    <n v="0"/>
  </r>
  <r>
    <s v="F044"/>
    <x v="43"/>
    <x v="0"/>
    <s v="OP06"/>
    <s v="OP06Depart"/>
    <n v="12"/>
    <x v="0"/>
    <n v="687.21118895648601"/>
    <n v="8246.5342674778331"/>
    <n v="0"/>
  </r>
  <r>
    <s v="F045"/>
    <x v="44"/>
    <x v="1"/>
    <s v="OP06"/>
    <s v="OP06Fairway"/>
    <n v="8"/>
    <x v="0"/>
    <n v="1524.8582990344953"/>
    <n v="12198.866392275962"/>
    <n v="0"/>
  </r>
  <r>
    <s v="F046"/>
    <x v="45"/>
    <x v="1"/>
    <s v="OP07"/>
    <s v="OP07Fairway"/>
    <n v="1"/>
    <x v="1"/>
    <n v="48643.624751921947"/>
    <n v="48643.624751921947"/>
    <n v="0"/>
  </r>
  <r>
    <s v="F047"/>
    <x v="46"/>
    <x v="2"/>
    <s v="OP06"/>
    <s v="OP06Rough"/>
    <n v="2"/>
    <x v="0"/>
    <n v="688.07692307692309"/>
    <n v="1376.1538461538462"/>
    <n v="0"/>
  </r>
  <r>
    <s v="F048"/>
    <x v="47"/>
    <x v="3"/>
    <s v="OP02"/>
    <s v="OP02Green"/>
    <n v="1"/>
    <x v="9"/>
    <n v="5929.1671327096328"/>
    <n v="5929.1671327096328"/>
    <n v="0"/>
  </r>
  <r>
    <s v="F049"/>
    <x v="48"/>
    <x v="3"/>
    <s v="OP03"/>
    <s v="OP03Green"/>
    <n v="1"/>
    <x v="4"/>
    <n v="21081.637136902285"/>
    <n v="21081.637136902285"/>
    <n v="0"/>
  </r>
  <r>
    <s v="F050"/>
    <x v="49"/>
    <x v="3"/>
    <s v="OP05"/>
    <s v="OP05Green"/>
    <n v="1"/>
    <x v="5"/>
    <n v="1575.5255266805266"/>
    <n v="1575.5255266805266"/>
    <n v="0"/>
  </r>
  <r>
    <s v="F051"/>
    <x v="50"/>
    <x v="3"/>
    <s v="OP06"/>
    <s v="OP06Green"/>
    <n v="26"/>
    <x v="0"/>
    <n v="5278.7111789674291"/>
    <n v="137246.49065315316"/>
    <n v="0"/>
  </r>
  <r>
    <s v="F052"/>
    <x v="51"/>
    <x v="4"/>
    <s v="OP10"/>
    <s v="OP10Bunker"/>
    <n v="1"/>
    <x v="2"/>
    <n v="600"/>
    <n v="600"/>
    <n v="0"/>
  </r>
  <r>
    <s v="F053"/>
    <x v="52"/>
    <x v="4"/>
    <s v="OP11"/>
    <s v="OP11Bunker"/>
    <n v="1"/>
    <x v="7"/>
    <n v="1594"/>
    <n v="1594"/>
    <n v="0"/>
  </r>
  <r>
    <s v="F054"/>
    <x v="53"/>
    <x v="0"/>
    <s v="OP06"/>
    <s v="OP06Depart"/>
    <n v="12"/>
    <x v="0"/>
    <n v="687.21118895648601"/>
    <n v="8246.5342674778331"/>
    <n v="0"/>
  </r>
  <r>
    <s v="F055"/>
    <x v="54"/>
    <x v="0"/>
    <s v="OP07"/>
    <s v="OP07Depart"/>
    <n v="1"/>
    <x v="1"/>
    <n v="8184.7117602701601"/>
    <n v="8184.7117602701601"/>
    <n v="0"/>
  </r>
  <r>
    <s v="F056"/>
    <x v="55"/>
    <x v="1"/>
    <s v="OP06"/>
    <s v="OP06Fairway"/>
    <n v="8"/>
    <x v="0"/>
    <n v="1524.8582990344953"/>
    <n v="12198.866392275962"/>
    <n v="0"/>
  </r>
  <r>
    <s v="F057"/>
    <x v="56"/>
    <x v="2"/>
    <s v="OP06"/>
    <s v="OP06Rough"/>
    <n v="2"/>
    <x v="0"/>
    <n v="688.07692307692309"/>
    <n v="1376.1538461538462"/>
    <n v="0"/>
  </r>
  <r>
    <s v="F058"/>
    <x v="57"/>
    <x v="3"/>
    <s v="OP06"/>
    <s v="OP06Green"/>
    <n v="26"/>
    <x v="0"/>
    <n v="5278.7111789674291"/>
    <n v="137246.49065315316"/>
    <n v="0"/>
  </r>
  <r>
    <s v="F059"/>
    <x v="58"/>
    <x v="3"/>
    <s v="OP07"/>
    <s v="OP07Green"/>
    <n v="1"/>
    <x v="1"/>
    <n v="5725.6994017671514"/>
    <n v="5725.6994017671514"/>
    <n v="0"/>
  </r>
  <r>
    <s v="F060"/>
    <x v="59"/>
    <x v="4"/>
    <s v="OP10"/>
    <s v="OP10Bunker"/>
    <n v="1"/>
    <x v="2"/>
    <n v="600"/>
    <n v="600"/>
    <n v="0"/>
  </r>
  <r>
    <s v="F061"/>
    <x v="60"/>
    <x v="0"/>
    <s v="OP06"/>
    <s v="OP06Depart"/>
    <n v="12"/>
    <x v="0"/>
    <n v="687.21118895648601"/>
    <n v="8246.5342674778331"/>
    <n v="0"/>
  </r>
  <r>
    <s v="F062"/>
    <x v="61"/>
    <x v="1"/>
    <s v="OP06"/>
    <s v="OP06Fairway"/>
    <n v="8"/>
    <x v="0"/>
    <n v="1524.8582990344953"/>
    <n v="12198.866392275962"/>
    <n v="0"/>
  </r>
  <r>
    <s v="F063"/>
    <x v="62"/>
    <x v="2"/>
    <s v="OP06"/>
    <s v="OP06Rough"/>
    <n v="2"/>
    <x v="0"/>
    <n v="688.07692307692309"/>
    <n v="1376.1538461538462"/>
    <n v="0"/>
  </r>
  <r>
    <s v="F064"/>
    <x v="63"/>
    <x v="3"/>
    <s v="OP06"/>
    <s v="OP06Green"/>
    <n v="26"/>
    <x v="0"/>
    <n v="5278.7111789674291"/>
    <n v="137246.49065315316"/>
    <n v="0"/>
  </r>
  <r>
    <s v="F065"/>
    <x v="64"/>
    <x v="3"/>
    <s v="OP08"/>
    <s v="OP08Green"/>
    <n v="1"/>
    <x v="3"/>
    <n v="3292.1215804747053"/>
    <n v="3292.1215804747053"/>
    <n v="0"/>
  </r>
  <r>
    <s v="F066"/>
    <x v="65"/>
    <x v="4"/>
    <s v="OP10"/>
    <s v="OP10Bunker"/>
    <n v="1"/>
    <x v="2"/>
    <n v="600"/>
    <n v="600"/>
    <n v="0"/>
  </r>
  <r>
    <s v="F067"/>
    <x v="66"/>
    <x v="0"/>
    <s v="OP06"/>
    <s v="OP06Depart"/>
    <n v="12"/>
    <x v="0"/>
    <n v="687.21118895648601"/>
    <n v="8246.5342674778331"/>
    <n v="0"/>
  </r>
  <r>
    <s v="F068"/>
    <x v="67"/>
    <x v="1"/>
    <s v="OP02"/>
    <s v="OP02Fairway"/>
    <n v="1"/>
    <x v="9"/>
    <n v="11179.504785481166"/>
    <n v="11179.504785481166"/>
    <n v="0"/>
  </r>
  <r>
    <s v="F069"/>
    <x v="68"/>
    <x v="1"/>
    <s v="OP03"/>
    <s v="OP03Fairway"/>
    <n v="1"/>
    <x v="4"/>
    <n v="26611.066584717195"/>
    <n v="26611.066584717195"/>
    <n v="0"/>
  </r>
  <r>
    <s v="F070"/>
    <x v="69"/>
    <x v="1"/>
    <s v="OP06"/>
    <s v="OP06Fairway"/>
    <n v="8"/>
    <x v="0"/>
    <n v="1524.8582990344953"/>
    <n v="12198.866392275962"/>
    <n v="0"/>
  </r>
  <r>
    <s v="F071"/>
    <x v="70"/>
    <x v="2"/>
    <s v="OP06"/>
    <s v="OP06Rough"/>
    <n v="2"/>
    <x v="0"/>
    <n v="688.07692307692309"/>
    <n v="1376.1538461538462"/>
    <n v="0"/>
  </r>
  <r>
    <s v="F072"/>
    <x v="71"/>
    <x v="2"/>
    <s v="OP07"/>
    <s v="OP07Rough"/>
    <n v="1"/>
    <x v="1"/>
    <n v="3036.0384615384614"/>
    <n v="3036.0384615384614"/>
    <n v="0"/>
  </r>
  <r>
    <s v="F073"/>
    <x v="72"/>
    <x v="3"/>
    <s v="OP06"/>
    <s v="OP06Green"/>
    <n v="26"/>
    <x v="0"/>
    <n v="5278.7111789674291"/>
    <n v="137246.49065315316"/>
    <n v="0"/>
  </r>
  <r>
    <s v="F074"/>
    <x v="73"/>
    <x v="3"/>
    <s v="OP07"/>
    <s v="OP07Green"/>
    <n v="1"/>
    <x v="1"/>
    <n v="5725.6994017671514"/>
    <n v="5725.6994017671514"/>
    <n v="0"/>
  </r>
  <r>
    <s v="F075"/>
    <x v="74"/>
    <x v="4"/>
    <s v="OP10"/>
    <s v="OP10Bunker"/>
    <n v="1"/>
    <x v="2"/>
    <n v="600"/>
    <n v="600"/>
    <n v="0"/>
  </r>
  <r>
    <s v="F076"/>
    <x v="75"/>
    <x v="4"/>
    <s v="OP11"/>
    <s v="OP11Bunker"/>
    <n v="1"/>
    <x v="7"/>
    <n v="1594"/>
    <n v="1594"/>
    <n v="0"/>
  </r>
  <r>
    <s v="F077"/>
    <x v="76"/>
    <x v="0"/>
    <s v="OP04"/>
    <s v="OP04Depart"/>
    <n v="2"/>
    <x v="10"/>
    <n v="8688.4849387362356"/>
    <n v="17376.969877472471"/>
    <n v="0"/>
  </r>
  <r>
    <s v="F078"/>
    <x v="77"/>
    <x v="0"/>
    <s v="OP06"/>
    <s v="OP06Depart"/>
    <n v="9"/>
    <x v="0"/>
    <n v="687.21118895648601"/>
    <n v="6184.9007006083739"/>
    <n v="0"/>
  </r>
  <r>
    <s v="F079"/>
    <x v="78"/>
    <x v="0"/>
    <s v="OP07"/>
    <s v="OP07Depart"/>
    <n v="1"/>
    <x v="1"/>
    <n v="8184.7117602701601"/>
    <n v="8184.7117602701601"/>
    <n v="0"/>
  </r>
  <r>
    <s v="F080"/>
    <x v="79"/>
    <x v="0"/>
    <s v="OP08"/>
    <s v="OP08Depart"/>
    <n v="1"/>
    <x v="3"/>
    <n v="1069.0657245050527"/>
    <n v="1069.0657245050527"/>
    <n v="0"/>
  </r>
  <r>
    <s v="F081"/>
    <x v="80"/>
    <x v="0"/>
    <s v="OP09"/>
    <s v="OP09Depart"/>
    <n v="1"/>
    <x v="8"/>
    <n v="30151.629958317182"/>
    <n v="30151.629958317182"/>
    <n v="0"/>
  </r>
  <r>
    <s v="F082"/>
    <x v="81"/>
    <x v="1"/>
    <s v="OP06"/>
    <s v="OP06Fairway"/>
    <n v="8"/>
    <x v="0"/>
    <n v="1524.8582990344953"/>
    <n v="12198.866392275962"/>
    <n v="0"/>
  </r>
  <r>
    <s v="F083"/>
    <x v="82"/>
    <x v="1"/>
    <s v="OP07"/>
    <s v="OP07Fairway"/>
    <n v="1"/>
    <x v="1"/>
    <n v="48643.624751921947"/>
    <n v="48643.624751921947"/>
    <n v="0"/>
  </r>
  <r>
    <s v="F084"/>
    <x v="83"/>
    <x v="2"/>
    <s v="OP06"/>
    <s v="OP06Rough"/>
    <n v="2"/>
    <x v="0"/>
    <n v="688.07692307692309"/>
    <n v="1376.1538461538462"/>
    <n v="0"/>
  </r>
  <r>
    <s v="F085"/>
    <x v="84"/>
    <x v="3"/>
    <s v="OP06"/>
    <s v="OP06Green"/>
    <n v="20"/>
    <x v="0"/>
    <n v="5278.7111789674291"/>
    <n v="105574.22357934859"/>
    <n v="0"/>
  </r>
  <r>
    <s v="F086"/>
    <x v="85"/>
    <x v="4"/>
    <s v="OP10"/>
    <s v="OP10Bunker"/>
    <n v="1"/>
    <x v="2"/>
    <n v="600"/>
    <n v="600"/>
    <n v="0"/>
  </r>
  <r>
    <s v="F087"/>
    <x v="86"/>
    <x v="0"/>
    <s v="OP06"/>
    <s v="OP06Depart"/>
    <n v="8"/>
    <x v="0"/>
    <n v="687.21118895648601"/>
    <n v="5497.6895116518881"/>
    <n v="0"/>
  </r>
  <r>
    <s v="F088"/>
    <x v="87"/>
    <x v="1"/>
    <s v="OP06"/>
    <s v="OP06Fairway"/>
    <n v="4"/>
    <x v="0"/>
    <n v="1524.8582990344953"/>
    <n v="6099.4331961379812"/>
    <n v="0"/>
  </r>
  <r>
    <s v="F089"/>
    <x v="88"/>
    <x v="1"/>
    <s v="OP08"/>
    <s v="OP08Fairway"/>
    <n v="1"/>
    <x v="3"/>
    <n v="1202.9177597910339"/>
    <n v="1202.9177597910339"/>
    <n v="0"/>
  </r>
  <r>
    <s v="F090"/>
    <x v="89"/>
    <x v="2"/>
    <s v="OP06"/>
    <s v="OP06Rough"/>
    <n v="2"/>
    <x v="0"/>
    <n v="688.07692307692309"/>
    <n v="1376.1538461538462"/>
    <n v="0"/>
  </r>
  <r>
    <s v="F091"/>
    <x v="90"/>
    <x v="3"/>
    <s v="OP03"/>
    <s v="OP03Green"/>
    <n v="1"/>
    <x v="4"/>
    <n v="21081.637136902285"/>
    <n v="21081.637136902285"/>
    <n v="0"/>
  </r>
  <r>
    <s v="F092"/>
    <x v="91"/>
    <x v="3"/>
    <s v="OP05"/>
    <s v="OP05Green"/>
    <n v="1"/>
    <x v="5"/>
    <n v="1575.5255266805266"/>
    <n v="1575.5255266805266"/>
    <n v="0"/>
  </r>
  <r>
    <s v="F093"/>
    <x v="92"/>
    <x v="3"/>
    <s v="OP06"/>
    <s v="OP06Green"/>
    <n v="16"/>
    <x v="0"/>
    <n v="5278.7111789674291"/>
    <n v="84459.378863478865"/>
    <n v="0"/>
  </r>
  <r>
    <s v="F094"/>
    <x v="93"/>
    <x v="3"/>
    <s v="OP07"/>
    <s v="OP07Green"/>
    <n v="1"/>
    <x v="1"/>
    <n v="5725.6994017671514"/>
    <n v="5725.6994017671514"/>
    <n v="0"/>
  </r>
  <r>
    <s v="F095"/>
    <x v="94"/>
    <x v="3"/>
    <s v="OP08"/>
    <s v="OP08Green"/>
    <n v="1"/>
    <x v="3"/>
    <n v="3292.1215804747053"/>
    <n v="3292.1215804747053"/>
    <n v="0"/>
  </r>
  <r>
    <s v="F096"/>
    <x v="95"/>
    <x v="4"/>
    <s v="OP10"/>
    <s v="OP10Bunker"/>
    <n v="1"/>
    <x v="2"/>
    <n v="600"/>
    <n v="600"/>
    <n v="0"/>
  </r>
  <r>
    <s v="F097"/>
    <x v="96"/>
    <x v="0"/>
    <s v="OP06"/>
    <s v="OP06Depart"/>
    <n v="8"/>
    <x v="0"/>
    <n v="687.21118895648601"/>
    <n v="5497.6895116518881"/>
    <n v="0"/>
  </r>
  <r>
    <s v="F098"/>
    <x v="97"/>
    <x v="0"/>
    <s v="OP07"/>
    <s v="OP07Depart"/>
    <n v="1"/>
    <x v="1"/>
    <n v="8184.7117602701601"/>
    <n v="8184.7117602701601"/>
    <n v="0"/>
  </r>
  <r>
    <s v="F099"/>
    <x v="98"/>
    <x v="1"/>
    <s v="OP06"/>
    <s v="OP06Fairway"/>
    <n v="4"/>
    <x v="0"/>
    <n v="1524.8582990344953"/>
    <n v="6099.4331961379812"/>
    <n v="0"/>
  </r>
  <r>
    <s v="F100"/>
    <x v="99"/>
    <x v="2"/>
    <s v="OP06"/>
    <s v="OP06Rough"/>
    <n v="1"/>
    <x v="0"/>
    <n v="688.07692307692309"/>
    <n v="688.07692307692309"/>
    <n v="0"/>
  </r>
  <r>
    <s v="F101"/>
    <x v="100"/>
    <x v="3"/>
    <s v="OP06"/>
    <s v="OP06Green"/>
    <n v="12"/>
    <x v="0"/>
    <n v="5278.7111789674291"/>
    <n v="63344.534147609149"/>
    <n v="0"/>
  </r>
  <r>
    <s v="F102"/>
    <x v="101"/>
    <x v="4"/>
    <s v="OP10"/>
    <s v="OP10Bunker"/>
    <n v="1"/>
    <x v="2"/>
    <n v="600"/>
    <n v="600"/>
    <n v="0"/>
  </r>
  <r>
    <s v="F103"/>
    <x v="102"/>
    <x v="4"/>
    <s v="OP11"/>
    <s v="OP11Bunker"/>
    <n v="1"/>
    <x v="7"/>
    <n v="1594"/>
    <n v="1594"/>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47EF28-DF27-4BCE-BBAF-D1691C7851B8}" name="Sum zone"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B7" firstHeaderRow="1" firstDataRow="1" firstDataCol="1"/>
  <pivotFields count="6">
    <pivotField showAll="0"/>
    <pivotField showAll="0"/>
    <pivotField showAll="0"/>
    <pivotField axis="axisRow" showAll="0">
      <items count="6">
        <item x="4"/>
        <item x="0"/>
        <item x="1"/>
        <item x="3"/>
        <item x="2"/>
        <item t="default"/>
      </items>
    </pivotField>
    <pivotField dataField="1" numFmtId="2" showAll="0"/>
    <pivotField showAll="0"/>
  </pivotFields>
  <rowFields count="1">
    <field x="3"/>
  </rowFields>
  <rowItems count="6">
    <i>
      <x/>
    </i>
    <i>
      <x v="1"/>
    </i>
    <i>
      <x v="2"/>
    </i>
    <i>
      <x v="3"/>
    </i>
    <i>
      <x v="4"/>
    </i>
    <i t="grand">
      <x/>
    </i>
  </rowItems>
  <colItems count="1">
    <i/>
  </colItems>
  <dataFields count="1">
    <dataField name="Sum of Surface" fld="4" baseField="0" baseItem="0" numFmtId="4"/>
  </dataFields>
  <formats count="2">
    <format dxfId="15">
      <pivotArea collapsedLevelsAreSubtotals="1" fieldPosition="0">
        <references count="1">
          <reference field="3" count="0"/>
        </references>
      </pivotArea>
    </format>
    <format dxfId="14">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84CBEFB-0631-4B7C-A37F-9F886AAAD0C2}" name="PivotTable21"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5:B47" firstHeaderRow="1" firstDataRow="1" firstDataCol="1"/>
  <pivotFields count="11">
    <pivotField showAll="0"/>
    <pivotField numFmtId="168" showAll="0"/>
    <pivotField showAll="0"/>
    <pivotField showAll="0"/>
    <pivotField showAll="0"/>
    <pivotField dataField="1" numFmtId="1" showAll="0"/>
    <pivotField axis="axisRow" showAll="0" sortType="descending">
      <items count="13">
        <item x="6"/>
        <item x="9"/>
        <item m="1" x="11"/>
        <item x="7"/>
        <item x="1"/>
        <item x="2"/>
        <item x="4"/>
        <item x="10"/>
        <item x="8"/>
        <item x="0"/>
        <item x="3"/>
        <item x="5"/>
        <item t="default"/>
      </items>
      <autoSortScope>
        <pivotArea dataOnly="0" outline="0" fieldPosition="0">
          <references count="1">
            <reference field="4294967294" count="1" selected="0">
              <x v="0"/>
            </reference>
          </references>
        </pivotArea>
      </autoSortScope>
    </pivotField>
    <pivotField numFmtId="167" showAll="0"/>
    <pivotField numFmtId="167" showAll="0"/>
    <pivotField showAll="0"/>
    <pivotField showAll="0" defaultSubtotal="0"/>
  </pivotFields>
  <rowFields count="1">
    <field x="6"/>
  </rowFields>
  <rowItems count="12">
    <i>
      <x v="9"/>
    </i>
    <i>
      <x v="4"/>
    </i>
    <i>
      <x v="5"/>
    </i>
    <i>
      <x v="10"/>
    </i>
    <i>
      <x v="6"/>
    </i>
    <i>
      <x v="11"/>
    </i>
    <i>
      <x v="3"/>
    </i>
    <i>
      <x v="1"/>
    </i>
    <i>
      <x v="7"/>
    </i>
    <i>
      <x v="8"/>
    </i>
    <i>
      <x/>
    </i>
    <i t="grand">
      <x/>
    </i>
  </rowItems>
  <colItems count="1">
    <i/>
  </colItems>
  <dataFields count="1">
    <dataField name="Sum of Frequence"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79637C3-DC53-4F08-A30C-FE196DAC96C4}" name="Cout.zon"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7:B33" firstHeaderRow="1" firstDataRow="1" firstDataCol="1"/>
  <pivotFields count="11">
    <pivotField showAll="0"/>
    <pivotField numFmtId="168" showAll="0"/>
    <pivotField axis="axisRow"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numFmtId="167" showAll="0"/>
    <pivotField dataField="1" numFmtId="167" showAll="0"/>
    <pivotField showAll="0"/>
    <pivotField showAll="0" defaultSubtotal="0"/>
  </pivotFields>
  <rowFields count="1">
    <field x="2"/>
  </rowFields>
  <rowItems count="6">
    <i>
      <x/>
    </i>
    <i>
      <x v="4"/>
    </i>
    <i>
      <x v="1"/>
    </i>
    <i>
      <x v="2"/>
    </i>
    <i>
      <x v="3"/>
    </i>
    <i t="grand">
      <x/>
    </i>
  </rowItems>
  <colItems count="1">
    <i/>
  </colItems>
  <dataFields count="1">
    <dataField name="Sum of Cout_Total" fld="8" baseField="0" baseItem="0" numFmtId="167"/>
  </dataFields>
  <formats count="1">
    <format dxfId="0">
      <pivotArea outline="0" collapsedLevelsAreSubtotals="1" fieldPosition="0"/>
    </format>
  </format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3"/>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0"/>
          </reference>
          <reference field="2" count="1" selected="0">
            <x v="1"/>
          </reference>
        </references>
      </pivotArea>
    </chartFormat>
    <chartFormat chart="4" format="6">
      <pivotArea type="data" outline="0" fieldPosition="0">
        <references count="2">
          <reference field="4294967294" count="1" selected="0">
            <x v="0"/>
          </reference>
          <reference field="2" count="1" selected="0">
            <x v="4"/>
          </reference>
        </references>
      </pivotArea>
    </chartFormat>
    <chartFormat chart="4" format="7">
      <pivotArea type="data" outline="0" fieldPosition="0">
        <references count="2">
          <reference field="4294967294" count="1" selected="0">
            <x v="0"/>
          </reference>
          <reference field="2"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F3E31AC-87DB-470A-8A33-B16753D02098}" name="SUP"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B25" firstHeaderRow="1" firstDataRow="1" firstDataCol="1"/>
  <pivotFields count="11">
    <pivotField showAll="0"/>
    <pivotField numFmtId="168" showAll="0"/>
    <pivotField axis="axisRow" showAll="0">
      <items count="6">
        <item x="4"/>
        <item x="0"/>
        <item x="1"/>
        <item x="3"/>
        <item x="2"/>
        <item t="default"/>
      </items>
    </pivotField>
    <pivotField showAll="0"/>
    <pivotField showAll="0"/>
    <pivotField numFmtId="1" showAll="0"/>
    <pivotField showAll="0"/>
    <pivotField numFmtId="167" showAll="0"/>
    <pivotField numFmtId="167" showAll="0"/>
    <pivotField dataField="1" showAll="0"/>
    <pivotField showAll="0" defaultSubtotal="0"/>
  </pivotFields>
  <rowFields count="1">
    <field x="2"/>
  </rowFields>
  <rowItems count="6">
    <i>
      <x/>
    </i>
    <i>
      <x v="1"/>
    </i>
    <i>
      <x v="2"/>
    </i>
    <i>
      <x v="3"/>
    </i>
    <i>
      <x v="4"/>
    </i>
    <i t="grand">
      <x/>
    </i>
  </rowItems>
  <colItems count="1">
    <i/>
  </colItems>
  <dataFields count="1">
    <dataField name="Sum of sup" fld="9" baseField="0" baseItem="0" numFmtId="1"/>
  </dataFields>
  <formats count="1">
    <format dxfId="1">
      <pivotArea outline="0" collapsedLevelsAreSubtotals="1" fieldPosition="0"/>
    </format>
  </format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2" count="1" selected="0">
            <x v="0"/>
          </reference>
        </references>
      </pivotArea>
    </chartFormat>
    <chartFormat chart="3" format="9">
      <pivotArea type="data" outline="0" fieldPosition="0">
        <references count="2">
          <reference field="4294967294" count="1" selected="0">
            <x v="0"/>
          </reference>
          <reference field="2" count="1" selected="0">
            <x v="1"/>
          </reference>
        </references>
      </pivotArea>
    </chartFormat>
    <chartFormat chart="3" format="10">
      <pivotArea type="data" outline="0" fieldPosition="0">
        <references count="2">
          <reference field="4294967294" count="1" selected="0">
            <x v="0"/>
          </reference>
          <reference field="2" count="1" selected="0">
            <x v="2"/>
          </reference>
        </references>
      </pivotArea>
    </chartFormat>
    <chartFormat chart="3" format="11">
      <pivotArea type="data" outline="0" fieldPosition="0">
        <references count="2">
          <reference field="4294967294" count="1" selected="0">
            <x v="0"/>
          </reference>
          <reference field="2" count="1" selected="0">
            <x v="3"/>
          </reference>
        </references>
      </pivotArea>
    </chartFormat>
    <chartFormat chart="3" format="12">
      <pivotArea type="data" outline="0" fieldPosition="0">
        <references count="2">
          <reference field="4294967294" count="1" selected="0">
            <x v="0"/>
          </reference>
          <reference field="2"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20716A34-8255-44C4-ACD7-8DF96F347CF1}" name="PivotTable15"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3:B16" firstHeaderRow="1" firstDataRow="1" firstDataCol="1"/>
  <pivotFields count="11">
    <pivotField showAll="0"/>
    <pivotField axis="axisRow"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pivotField showAll="0"/>
    <pivotField numFmtId="1" showAll="0"/>
    <pivotField showAll="0"/>
    <pivotField numFmtId="167" showAll="0"/>
    <pivotField dataField="1" numFmtId="167"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0"/>
    <field x="1"/>
  </rowFields>
  <rowItems count="13">
    <i>
      <x v="1"/>
    </i>
    <i>
      <x v="2"/>
    </i>
    <i>
      <x v="3"/>
    </i>
    <i>
      <x v="4"/>
    </i>
    <i>
      <x v="5"/>
    </i>
    <i>
      <x v="6"/>
    </i>
    <i>
      <x v="7"/>
    </i>
    <i>
      <x v="8"/>
    </i>
    <i>
      <x v="9"/>
    </i>
    <i>
      <x v="10"/>
    </i>
    <i>
      <x v="11"/>
    </i>
    <i>
      <x v="12"/>
    </i>
    <i t="grand">
      <x/>
    </i>
  </rowItems>
  <colItems count="1">
    <i/>
  </colItems>
  <dataFields count="1">
    <dataField name="Sum of Cout_Total" fld="8" baseField="0" baseItem="0"/>
  </dataFields>
  <formats count="12">
    <format dxfId="13">
      <pivotArea collapsedLevelsAreSubtotals="1" fieldPosition="0">
        <references count="1">
          <reference field="10" count="1">
            <x v="1"/>
          </reference>
        </references>
      </pivotArea>
    </format>
    <format dxfId="12">
      <pivotArea collapsedLevelsAreSubtotals="1" fieldPosition="0">
        <references count="1">
          <reference field="10" count="1">
            <x v="2"/>
          </reference>
        </references>
      </pivotArea>
    </format>
    <format dxfId="11">
      <pivotArea collapsedLevelsAreSubtotals="1" fieldPosition="0">
        <references count="1">
          <reference field="10" count="1">
            <x v="3"/>
          </reference>
        </references>
      </pivotArea>
    </format>
    <format dxfId="10">
      <pivotArea collapsedLevelsAreSubtotals="1" fieldPosition="0">
        <references count="1">
          <reference field="10" count="1">
            <x v="4"/>
          </reference>
        </references>
      </pivotArea>
    </format>
    <format dxfId="9">
      <pivotArea collapsedLevelsAreSubtotals="1" fieldPosition="0">
        <references count="1">
          <reference field="10" count="1">
            <x v="5"/>
          </reference>
        </references>
      </pivotArea>
    </format>
    <format dxfId="8">
      <pivotArea collapsedLevelsAreSubtotals="1" fieldPosition="0">
        <references count="1">
          <reference field="10" count="1">
            <x v="6"/>
          </reference>
        </references>
      </pivotArea>
    </format>
    <format dxfId="7">
      <pivotArea collapsedLevelsAreSubtotals="1" fieldPosition="0">
        <references count="1">
          <reference field="10" count="1">
            <x v="7"/>
          </reference>
        </references>
      </pivotArea>
    </format>
    <format dxfId="6">
      <pivotArea collapsedLevelsAreSubtotals="1" fieldPosition="0">
        <references count="1">
          <reference field="10" count="1">
            <x v="8"/>
          </reference>
        </references>
      </pivotArea>
    </format>
    <format dxfId="5">
      <pivotArea collapsedLevelsAreSubtotals="1" fieldPosition="0">
        <references count="1">
          <reference field="10" count="1">
            <x v="9"/>
          </reference>
        </references>
      </pivotArea>
    </format>
    <format dxfId="4">
      <pivotArea collapsedLevelsAreSubtotals="1" fieldPosition="0">
        <references count="1">
          <reference field="10" count="1">
            <x v="10"/>
          </reference>
        </references>
      </pivotArea>
    </format>
    <format dxfId="3">
      <pivotArea collapsedLevelsAreSubtotals="1" fieldPosition="0">
        <references count="1">
          <reference field="10" count="1">
            <x v="11"/>
          </reference>
        </references>
      </pivotArea>
    </format>
    <format dxfId="2">
      <pivotArea collapsedLevelsAreSubtotals="1" fieldPosition="0">
        <references count="1">
          <reference field="10" count="1">
            <x v="12"/>
          </reference>
        </references>
      </pivotArea>
    </format>
  </formats>
  <chartFormats count="1">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7C521-02D2-4603-B99A-A6F5BF28EDAB}" name="freq/ zone"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64:C95" firstHeaderRow="0" firstDataRow="1" firstDataCol="1"/>
  <pivotFields count="11">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dataField="1" numFmtId="1" showAll="0"/>
    <pivotField axis="axisRow" showAll="0">
      <items count="13">
        <item x="6"/>
        <item x="9"/>
        <item m="1" x="11"/>
        <item x="1"/>
        <item x="2"/>
        <item x="4"/>
        <item x="10"/>
        <item x="8"/>
        <item x="0"/>
        <item x="3"/>
        <item x="5"/>
        <item x="7"/>
        <item t="default"/>
      </items>
    </pivotField>
    <pivotField dataField="1" showAll="0"/>
    <pivotField showAll="0"/>
    <pivotField showAll="0"/>
    <pivotField showAll="0">
      <items count="15">
        <item x="0"/>
        <item x="1"/>
        <item x="2"/>
        <item x="3"/>
        <item x="4"/>
        <item x="5"/>
        <item x="6"/>
        <item x="7"/>
        <item x="8"/>
        <item x="9"/>
        <item x="10"/>
        <item x="11"/>
        <item x="12"/>
        <item x="13"/>
        <item t="default"/>
      </items>
    </pivotField>
  </pivotFields>
  <rowFields count="2">
    <field x="2"/>
    <field x="6"/>
  </rowFields>
  <rowItems count="31">
    <i>
      <x v="3"/>
    </i>
    <i r="1">
      <x/>
    </i>
    <i r="1">
      <x v="1"/>
    </i>
    <i r="1">
      <x v="3"/>
    </i>
    <i r="1">
      <x v="5"/>
    </i>
    <i r="1">
      <x v="8"/>
    </i>
    <i r="1">
      <x v="9"/>
    </i>
    <i r="1">
      <x v="10"/>
    </i>
    <i>
      <x v="1"/>
    </i>
    <i r="1">
      <x v="3"/>
    </i>
    <i r="1">
      <x v="5"/>
    </i>
    <i r="1">
      <x v="6"/>
    </i>
    <i r="1">
      <x v="7"/>
    </i>
    <i r="1">
      <x v="8"/>
    </i>
    <i r="1">
      <x v="9"/>
    </i>
    <i r="1">
      <x v="10"/>
    </i>
    <i>
      <x v="2"/>
    </i>
    <i r="1">
      <x v="1"/>
    </i>
    <i r="1">
      <x v="3"/>
    </i>
    <i r="1">
      <x v="5"/>
    </i>
    <i r="1">
      <x v="8"/>
    </i>
    <i r="1">
      <x v="9"/>
    </i>
    <i r="1">
      <x v="10"/>
    </i>
    <i>
      <x v="4"/>
    </i>
    <i r="1">
      <x v="1"/>
    </i>
    <i r="1">
      <x v="3"/>
    </i>
    <i r="1">
      <x v="8"/>
    </i>
    <i>
      <x/>
    </i>
    <i r="1">
      <x v="4"/>
    </i>
    <i r="1">
      <x v="11"/>
    </i>
    <i t="grand">
      <x/>
    </i>
  </rowItems>
  <colFields count="1">
    <field x="-2"/>
  </colFields>
  <colItems count="2">
    <i>
      <x/>
    </i>
    <i i="1">
      <x v="1"/>
    </i>
  </colItems>
  <dataFields count="2">
    <dataField name="Sum of Frequence" fld="5" baseField="0" baseItem="0"/>
    <dataField name="Sum of Cout" fld="7" baseField="0" baseItem="0" numFmtId="167"/>
  </dataFields>
  <formats count="1">
    <format dxfId="16">
      <pivotArea outline="0" collapsedLevelsAreSubtotals="1" fieldPosition="0">
        <references count="1">
          <reference field="4294967294" count="1" selected="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7E0A9F8-5C31-48BC-A91F-95E71B9FD273}" name="PivotTable14"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6:C53" firstHeaderRow="1" firstDataRow="1" firstDataCol="0"/>
  <pivotFields count="11">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pivotField showAll="0"/>
    <pivotField numFmtId="1" showAll="0"/>
    <pivotField showAll="0"/>
    <pivotField numFmtId="167" showAll="0"/>
    <pivotField numFmtId="167" showAll="0"/>
    <pivotField showAll="0"/>
    <pivotField showAll="0">
      <items count="15">
        <item x="0"/>
        <item x="1"/>
        <item x="2"/>
        <item x="3"/>
        <item x="4"/>
        <item x="5"/>
        <item x="6"/>
        <item x="7"/>
        <item x="8"/>
        <item x="9"/>
        <item x="10"/>
        <item x="11"/>
        <item x="12"/>
        <item x="13"/>
        <item t="default"/>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2E2130-DAA2-4AD4-9DFD-0E6CBF48CE21}" name="PivotTable17"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9">
  <location ref="A137:B149" firstHeaderRow="1" firstDataRow="1" firstDataCol="1"/>
  <pivotFields count="11">
    <pivotField showAll="0"/>
    <pivotField numFmtId="168"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4"/>
        <item x="0"/>
        <item x="1"/>
        <item x="3"/>
        <item x="2"/>
        <item t="default"/>
      </items>
    </pivotField>
    <pivotField showAll="0"/>
    <pivotField showAll="0"/>
    <pivotField numFmtId="1" showAll="0"/>
    <pivotField axis="axisRow" showAll="0" sortType="descending">
      <items count="13">
        <item x="6"/>
        <item x="9"/>
        <item m="1" x="11"/>
        <item x="7"/>
        <item x="1"/>
        <item x="2"/>
        <item x="4"/>
        <item x="10"/>
        <item x="8"/>
        <item x="0"/>
        <item x="3"/>
        <item x="5"/>
        <item t="default"/>
      </items>
      <autoSortScope>
        <pivotArea dataOnly="0" outline="0" fieldPosition="0">
          <references count="1">
            <reference field="4294967294" count="1" selected="0">
              <x v="0"/>
            </reference>
          </references>
        </pivotArea>
      </autoSortScope>
    </pivotField>
    <pivotField numFmtId="167" showAll="0"/>
    <pivotField dataField="1" numFmtId="167" showAll="0"/>
    <pivotField showAll="0"/>
    <pivotField showAll="0" defaultSubtotal="0"/>
  </pivotFields>
  <rowFields count="1">
    <field x="6"/>
  </rowFields>
  <rowItems count="12">
    <i>
      <x v="9"/>
    </i>
    <i>
      <x v="4"/>
    </i>
    <i>
      <x v="6"/>
    </i>
    <i>
      <x v="8"/>
    </i>
    <i>
      <x v="1"/>
    </i>
    <i>
      <x v="7"/>
    </i>
    <i>
      <x v="10"/>
    </i>
    <i>
      <x v="11"/>
    </i>
    <i>
      <x v="5"/>
    </i>
    <i>
      <x/>
    </i>
    <i>
      <x v="3"/>
    </i>
    <i t="grand">
      <x/>
    </i>
  </rowItems>
  <colItems count="1">
    <i/>
  </colItems>
  <dataFields count="1">
    <dataField name="Sum of Cout_Total" fld="8" showDataAs="percentOfTotal" baseField="0" baseItem="0" numFmtId="10"/>
  </dataFields>
  <formats count="2">
    <format dxfId="18">
      <pivotArea outline="0" collapsedLevelsAreSubtotals="1" fieldPosition="0"/>
    </format>
    <format dxfId="17">
      <pivotArea outline="0" fieldPosition="0">
        <references count="1">
          <reference field="4294967294" count="1">
            <x v="0"/>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FD8877D-679C-4981-A0A2-A4F20E42A3D7}" name="freq /mois"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7:G30" firstHeaderRow="1" firstDataRow="2" firstDataCol="1"/>
  <pivotFields count="11">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items count="6">
        <item x="4"/>
        <item x="0"/>
        <item x="1"/>
        <item x="3"/>
        <item x="2"/>
        <item t="default"/>
      </items>
    </pivotField>
    <pivotField showAll="0"/>
    <pivotField showAll="0"/>
    <pivotField dataField="1" numFmtId="1" showAll="0"/>
    <pivotField axis="axisRow" showAll="0">
      <items count="13">
        <item x="6"/>
        <item x="9"/>
        <item m="1" x="11"/>
        <item x="1"/>
        <item x="2"/>
        <item x="4"/>
        <item x="10"/>
        <item x="8"/>
        <item x="0"/>
        <item x="3"/>
        <item x="5"/>
        <item x="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s>
  <rowFields count="1">
    <field x="6"/>
  </rowFields>
  <rowItems count="12">
    <i>
      <x/>
    </i>
    <i>
      <x v="1"/>
    </i>
    <i>
      <x v="3"/>
    </i>
    <i>
      <x v="4"/>
    </i>
    <i>
      <x v="5"/>
    </i>
    <i>
      <x v="6"/>
    </i>
    <i>
      <x v="7"/>
    </i>
    <i>
      <x v="8"/>
    </i>
    <i>
      <x v="9"/>
    </i>
    <i>
      <x v="10"/>
    </i>
    <i>
      <x v="11"/>
    </i>
    <i t="grand">
      <x/>
    </i>
  </rowItems>
  <colFields count="1">
    <field x="2"/>
  </colFields>
  <colItems count="6">
    <i>
      <x/>
    </i>
    <i>
      <x v="1"/>
    </i>
    <i>
      <x v="2"/>
    </i>
    <i>
      <x v="3"/>
    </i>
    <i>
      <x v="4"/>
    </i>
    <i t="grand">
      <x/>
    </i>
  </colItems>
  <dataFields count="1">
    <dataField name="Sum of Frequence" fld="5"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DF33EB-DCFC-49B2-A847-2AFE34DB7A07}" name="zone cout"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9:B15" firstHeaderRow="1" firstDataRow="1" firstDataCol="1"/>
  <pivotFields count="4">
    <pivotField showAll="0"/>
    <pivotField axis="axisRow" showAll="0">
      <items count="6">
        <item x="4"/>
        <item x="0"/>
        <item x="1"/>
        <item x="3"/>
        <item x="2"/>
        <item t="default"/>
      </items>
    </pivotField>
    <pivotField dataField="1" numFmtId="164" showAll="0"/>
    <pivotField showAll="0"/>
  </pivotFields>
  <rowFields count="1">
    <field x="1"/>
  </rowFields>
  <rowItems count="6">
    <i>
      <x/>
    </i>
    <i>
      <x v="1"/>
    </i>
    <i>
      <x v="2"/>
    </i>
    <i>
      <x v="3"/>
    </i>
    <i>
      <x v="4"/>
    </i>
    <i t="grand">
      <x/>
    </i>
  </rowItems>
  <colItems count="1">
    <i/>
  </colItems>
  <dataFields count="1">
    <dataField name="Sum of Couts" fld="2" baseField="0" baseItem="0" numFmtId="167"/>
  </dataFields>
  <formats count="2">
    <format dxfId="20">
      <pivotArea collapsedLevelsAreSubtotals="1" fieldPosition="0">
        <references count="1">
          <reference field="1" count="0"/>
        </references>
      </pivotArea>
    </format>
    <format dxfId="19">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B336CB-58F6-4960-B6A1-4B0B0C75AB29}" name="PivotTable11"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119:M126" firstHeaderRow="1" firstDataRow="2" firstDataCol="1"/>
  <pivotFields count="11">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4"/>
        <item x="0"/>
        <item x="1"/>
        <item x="3"/>
        <item x="2"/>
        <item t="default"/>
      </items>
    </pivotField>
    <pivotField showAll="0"/>
    <pivotField showAll="0"/>
    <pivotField numFmtId="1" showAll="0"/>
    <pivotField axis="axisCol" showAll="0">
      <items count="13">
        <item x="6"/>
        <item x="9"/>
        <item m="1" x="11"/>
        <item x="1"/>
        <item x="2"/>
        <item x="4"/>
        <item x="10"/>
        <item x="8"/>
        <item x="0"/>
        <item x="3"/>
        <item x="5"/>
        <item x="7"/>
        <item t="default"/>
      </items>
    </pivotField>
    <pivotField numFmtId="167" showAll="0"/>
    <pivotField dataField="1" numFmtId="167" showAll="0"/>
    <pivotField showAll="0"/>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Fields count="1">
    <field x="6"/>
  </colFields>
  <colItems count="12">
    <i>
      <x/>
    </i>
    <i>
      <x v="1"/>
    </i>
    <i>
      <x v="3"/>
    </i>
    <i>
      <x v="4"/>
    </i>
    <i>
      <x v="5"/>
    </i>
    <i>
      <x v="6"/>
    </i>
    <i>
      <x v="7"/>
    </i>
    <i>
      <x v="8"/>
    </i>
    <i>
      <x v="9"/>
    </i>
    <i>
      <x v="10"/>
    </i>
    <i>
      <x v="11"/>
    </i>
    <i t="grand">
      <x/>
    </i>
  </colItems>
  <dataFields count="1">
    <dataField name="Sum of Cout_Total" fld="8" baseField="0" baseItem="0" numFmtId="167"/>
  </dataFields>
  <formats count="10">
    <format dxfId="30">
      <pivotArea type="all" dataOnly="0" outline="0" fieldPosition="0"/>
    </format>
    <format dxfId="29">
      <pivotArea outline="0" collapsedLevelsAreSubtotals="1" fieldPosition="0"/>
    </format>
    <format dxfId="28">
      <pivotArea type="origin" dataOnly="0" labelOnly="1" outline="0" fieldPosition="0"/>
    </format>
    <format dxfId="27">
      <pivotArea field="2" type="button" dataOnly="0" labelOnly="1" outline="0" axis="axisRow" fieldPosition="0"/>
    </format>
    <format dxfId="26">
      <pivotArea type="topRight" dataOnly="0" labelOnly="1" outline="0" fieldPosition="0"/>
    </format>
    <format dxfId="25">
      <pivotArea field="6" type="button" dataOnly="0" labelOnly="1" outline="0" axis="axisCol" fieldPosition="0"/>
    </format>
    <format dxfId="24">
      <pivotArea dataOnly="0" labelOnly="1" fieldPosition="0">
        <references count="1">
          <reference field="6" count="0"/>
        </references>
      </pivotArea>
    </format>
    <format dxfId="23">
      <pivotArea dataOnly="0" labelOnly="1" grandRow="1" outline="0" fieldPosition="0"/>
    </format>
    <format dxfId="22">
      <pivotArea dataOnly="0" labelOnly="1" fieldPosition="0">
        <references count="1">
          <reference field="2" count="0"/>
        </references>
      </pivotArea>
    </format>
    <format dxfId="21">
      <pivotArea dataOnly="0" labelOnly="1" grandCol="1" outline="0"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2A9AB1D-5B08-48C9-9398-C732A6CBDEAA}" name="cout / zone" cacheId="26"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6">
  <location ref="A108:A109" firstHeaderRow="1" firstDataRow="1" firstDataCol="0"/>
  <pivotFields count="11">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sortType="ascending">
      <items count="6">
        <item x="4"/>
        <item x="0"/>
        <item x="1"/>
        <item x="3"/>
        <item x="2"/>
        <item t="default"/>
      </items>
      <autoSortScope>
        <pivotArea dataOnly="0" outline="0" fieldPosition="0">
          <references count="1">
            <reference field="4294967294" count="1" selected="0">
              <x v="0"/>
            </reference>
          </references>
        </pivotArea>
      </autoSortScope>
    </pivotField>
    <pivotField showAll="0"/>
    <pivotField showAll="0"/>
    <pivotField numFmtId="1"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Cout_Total" fld="8" baseField="0" baseItem="0" numFmtId="167"/>
  </dataFields>
  <formats count="1">
    <format dxfId="31">
      <pivotArea outline="0" collapsedLevelsAreSubtotals="1" fieldPosition="0"/>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10425BF-B54B-4BBB-B1D1-12D08A0EA988}" name="avg sup"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99:B105" firstHeaderRow="1" firstDataRow="1" firstDataCol="1"/>
  <pivotFields count="6">
    <pivotField showAll="0"/>
    <pivotField showAll="0"/>
    <pivotField showAll="0"/>
    <pivotField axis="axisRow" showAll="0" sortType="descending">
      <items count="6">
        <item x="4"/>
        <item x="0"/>
        <item x="1"/>
        <item x="3"/>
        <item x="2"/>
        <item t="default"/>
      </items>
      <autoSortScope>
        <pivotArea dataOnly="0" outline="0" fieldPosition="0">
          <references count="1">
            <reference field="4294967294" count="1" selected="0">
              <x v="0"/>
            </reference>
          </references>
        </pivotArea>
      </autoSortScope>
    </pivotField>
    <pivotField dataField="1" numFmtId="2" showAll="0"/>
    <pivotField showAll="0"/>
  </pivotFields>
  <rowFields count="1">
    <field x="3"/>
  </rowFields>
  <rowItems count="6">
    <i>
      <x v="2"/>
    </i>
    <i>
      <x v="4"/>
    </i>
    <i>
      <x/>
    </i>
    <i>
      <x v="3"/>
    </i>
    <i>
      <x v="1"/>
    </i>
    <i t="grand">
      <x/>
    </i>
  </rowItems>
  <colItems count="1">
    <i/>
  </colItems>
  <dataFields count="1">
    <dataField name="Average of Surface" fld="4" subtotal="average" baseField="3" baseItem="0"/>
  </dataFields>
  <formats count="1">
    <format dxfId="32">
      <pivotArea collapsedLevelsAreSubtotals="1" fieldPosition="0">
        <references count="1">
          <reference field="3" count="0"/>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one" xr10:uid="{F7DCA66B-E1FC-4E21-8707-CAA9D615154A}" sourceName="Zone">
  <pivotTables>
    <pivotTable tabId="11" name="Cout.zon"/>
    <pivotTable tabId="11" name="PivotTable15"/>
    <pivotTable tabId="11" name="SUP"/>
    <pivotTable tabId="9" name="cout / zone"/>
    <pivotTable tabId="9" name="PivotTable11"/>
    <pivotTable tabId="9" name="PivotTable14"/>
    <pivotTable tabId="9" name="PivotTable17"/>
  </pivotTables>
  <data>
    <tabular pivotCacheId="2029921446">
      <items count="5">
        <i x="4" s="1"/>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one" xr10:uid="{6E3423C4-A522-4A66-85E0-FBB6F523E904}" cache="Slicer_Zone" caption="Zone" columnCount="3" style="SlicerStyleLigh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8B005D-A0B3-4CC6-B57F-ACA5D095FF1E}" name="Table1" displayName="Table1" ref="A1:F43" totalsRowShown="0" headerRowDxfId="53" dataDxfId="52">
  <autoFilter ref="A1:F43" xr:uid="{C441C608-A973-4617-8745-AE909F987C52}"/>
  <tableColumns count="6">
    <tableColumn id="1" xr3:uid="{426E13D6-F6C0-4093-91E4-8C4342325E51}" name="ID_Zone" dataDxfId="51">
      <calculatedColumnFormula>_xlfn.CONCAT(B2,C2)</calculatedColumnFormula>
    </tableColumn>
    <tableColumn id="2" xr3:uid="{952391D8-7A07-4FC3-AB51-5BB357A5E3CE}" name="Secteur" dataDxfId="50"/>
    <tableColumn id="3" xr3:uid="{94375292-A0FF-446D-A3E4-8232DC6CFB36}" name="Zone_precise" dataDxfId="49"/>
    <tableColumn id="4" xr3:uid="{A0D0CE9C-D7ED-4A72-BC9D-11A65B00A258}" name="Zone" dataDxfId="48"/>
    <tableColumn id="5" xr3:uid="{59529022-7D50-4A0D-8464-F3201C446132}" name="Surface" dataDxfId="47"/>
    <tableColumn id="6" xr3:uid="{32FBEDD3-2861-4162-B872-4925E53AECDF}" name="type-gazon" dataDxfId="46"/>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7E249A9-82EE-433E-A8C2-82EFB93DFAE0}" name="Table3" displayName="Table3" ref="A1:J104" totalsRowShown="0">
  <autoFilter ref="A1:J104" xr:uid="{44EAC289-1BB0-489F-A23F-7B6C93277181}"/>
  <tableColumns count="10">
    <tableColumn id="1" xr3:uid="{D8F5DB90-81B9-4753-9E95-4A7068B33C0F}" name="ID"/>
    <tableColumn id="2" xr3:uid="{9DCC4FD3-9453-4E1F-AB59-DDB6F47CCE35}" name="Date" dataDxfId="45"/>
    <tableColumn id="3" xr3:uid="{294A8CAA-664E-4F64-9DF8-EB9618769748}" name="Zone"/>
    <tableColumn id="4" xr3:uid="{CB419623-758B-4A2E-9859-12C1A87AB60F}" name="ID_Operation" dataDxfId="44"/>
    <tableColumn id="9" xr3:uid="{A0DED2CD-A282-4E93-B3D2-CB1234233DBD}" name="ID_Cout" dataDxfId="43">
      <calculatedColumnFormula>_xlfn.CONCAT(Table3[[#This Row],[ID_Operation]],Table3[[#This Row],[Zone]])</calculatedColumnFormula>
    </tableColumn>
    <tableColumn id="5" xr3:uid="{A8042246-E9A5-446C-B491-70E11CE8B5C3}" name="Frequence" dataDxfId="42"/>
    <tableColumn id="6" xr3:uid="{8BB9DBE4-4B1B-49BF-A8D5-062507A575AE}" name="Type d’opération" dataDxfId="41">
      <calculatedColumnFormula>VLOOKUP(Table3[[#This Row],[ID_Operation]],Operation!$A$2:$B$12,2,)</calculatedColumnFormula>
    </tableColumn>
    <tableColumn id="7" xr3:uid="{418AB068-0C66-49A1-98D5-C959DA3EAC86}" name="Cout" dataDxfId="40">
      <calculatedColumnFormula>VLOOKUP(Table3[[#This Row],[ID_Cout]],Table2[],4,FALSE)</calculatedColumnFormula>
    </tableColumn>
    <tableColumn id="8" xr3:uid="{002B2127-FC5E-4C8B-8E13-9CC6163C6E80}" name="Cout_Total" dataDxfId="39">
      <calculatedColumnFormula>Table3[[#This Row],[Cout]]*Table3[[#This Row],[Frequence]]</calculatedColumnFormula>
    </tableColumn>
    <tableColumn id="11" xr3:uid="{F32D2318-6B81-4288-B0E7-CB62A51A6624}" name="sup" dataDxfId="38">
      <calculatedColumnFormula>SUMIFS(Table1[Surface],Table1[Zone],Table3[[#This Row],[Zone]])</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F90FF17-C113-4A12-8E52-ED1314B3486D}" name="Table2" displayName="Table2" ref="A1:E31" totalsRowShown="0">
  <autoFilter ref="A1:E31" xr:uid="{94E918A7-99F9-4347-AC65-678EE5E991DC}"/>
  <tableColumns count="5">
    <tableColumn id="5" xr3:uid="{731DA4F5-E6B0-4667-8AEB-CF2649C012AA}" name="ID_Cout" dataDxfId="37">
      <calculatedColumnFormula>_xlfn.CONCAT(Table2[[#This Row],[ID_OP]],Table2[[#This Row],[Zone]])</calculatedColumnFormula>
    </tableColumn>
    <tableColumn id="1" xr3:uid="{2EC4C515-6834-4BC7-A544-36D046B1FF45}" name="ID_OP" dataDxfId="36"/>
    <tableColumn id="2" xr3:uid="{5E5AB326-AB3E-4B4D-9E9F-A69274984F9C}" name="Zone" dataDxfId="35"/>
    <tableColumn id="3" xr3:uid="{0955B3F2-8588-4752-863A-27D5484D03B7}" name="Couts" dataDxfId="34"/>
    <tableColumn id="4" xr3:uid="{7ED4858D-7711-4925-9EB5-C805D1211DAA}" name="Type d’opération" dataDxfId="33">
      <calculatedColumnFormula>VLOOKUP(Table2[[#This Row],[ID_OP]],Operation!$A$2:$B$13,2,)</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BA5F2B4-0826-43CF-BA01-3C6D4AC3AEBC}" sourceName="Date">
  <pivotTables>
    <pivotTable tabId="11" name="PivotTable15"/>
    <pivotTable tabId="9" name="cout / zone"/>
    <pivotTable tabId="9" name="PivotTable11"/>
    <pivotTable tabId="9" name="PivotTable14"/>
    <pivotTable tabId="9" name="PivotTable17"/>
  </pivotTables>
  <state minimalRefreshVersion="6" lastRefreshVersion="6" pivotCacheId="2029921446"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6A2CC34-0ADC-4110-B754-035561615034}" cache="NativeTimeline_Date" caption="Date" level="2" selectionLevel="2" scrollPosition="2024-01-01T00:00:00" style="TimeSlicerStyleLight3"/>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55"/>
  <sheetViews>
    <sheetView tabSelected="1" workbookViewId="0">
      <selection activeCell="E18" sqref="E18"/>
    </sheetView>
  </sheetViews>
  <sheetFormatPr defaultColWidth="9.1796875" defaultRowHeight="14.5" x14ac:dyDescent="0.35"/>
  <cols>
    <col min="1" max="1" width="6.26953125" style="3" customWidth="1"/>
    <col min="2" max="2" width="10.7265625" customWidth="1"/>
    <col min="3" max="3" width="8" style="1" bestFit="1" customWidth="1"/>
    <col min="4" max="4" width="15" customWidth="1"/>
    <col min="5" max="5" width="25.1796875" style="98" bestFit="1" customWidth="1"/>
    <col min="6" max="6" width="27.453125" style="98" bestFit="1" customWidth="1"/>
    <col min="7" max="7" width="11.81640625" style="107" customWidth="1"/>
    <col min="8" max="8" width="16.54296875" style="107" customWidth="1"/>
    <col min="9" max="9" width="16.81640625" style="98" customWidth="1"/>
    <col min="10" max="10" width="11.1796875" style="98" customWidth="1"/>
    <col min="11" max="11" width="9.1796875" customWidth="1"/>
    <col min="21" max="21" width="10.453125" bestFit="1" customWidth="1"/>
  </cols>
  <sheetData>
    <row r="1" spans="1:22" ht="15" thickBot="1" x14ac:dyDescent="0.4">
      <c r="A1" s="183" t="s">
        <v>36</v>
      </c>
      <c r="B1" s="184"/>
      <c r="C1" s="184"/>
      <c r="D1" s="184"/>
      <c r="E1" s="92"/>
      <c r="F1" s="92"/>
      <c r="G1" s="99"/>
      <c r="H1" s="99"/>
      <c r="I1" s="92"/>
      <c r="J1" s="92"/>
      <c r="K1" s="185" t="s">
        <v>49</v>
      </c>
      <c r="L1" s="185"/>
      <c r="M1" s="185"/>
      <c r="N1" s="185"/>
      <c r="O1" s="185"/>
      <c r="P1" s="185"/>
      <c r="Q1" s="185"/>
      <c r="R1" s="185"/>
      <c r="S1" s="185"/>
      <c r="T1" s="185"/>
      <c r="U1" s="185"/>
      <c r="V1" s="185"/>
    </row>
    <row r="2" spans="1:22" s="130" customFormat="1" ht="44" thickBot="1" x14ac:dyDescent="0.4">
      <c r="A2" s="132" t="s">
        <v>116</v>
      </c>
      <c r="B2" s="131" t="s">
        <v>0</v>
      </c>
      <c r="C2" s="131" t="s">
        <v>24</v>
      </c>
      <c r="D2" s="133" t="s">
        <v>115</v>
      </c>
      <c r="E2" s="134" t="s">
        <v>117</v>
      </c>
      <c r="F2" s="134" t="s">
        <v>128</v>
      </c>
      <c r="G2" s="135" t="s">
        <v>129</v>
      </c>
      <c r="H2" s="135" t="s">
        <v>130</v>
      </c>
      <c r="I2" s="134" t="s">
        <v>127</v>
      </c>
      <c r="J2" s="134"/>
      <c r="K2" s="132" t="s">
        <v>37</v>
      </c>
      <c r="L2" s="131" t="s">
        <v>38</v>
      </c>
      <c r="M2" s="131" t="s">
        <v>39</v>
      </c>
      <c r="N2" s="131" t="s">
        <v>40</v>
      </c>
      <c r="O2" s="131" t="s">
        <v>41</v>
      </c>
      <c r="P2" s="131" t="s">
        <v>42</v>
      </c>
      <c r="Q2" s="131" t="s">
        <v>43</v>
      </c>
      <c r="R2" s="131" t="s">
        <v>44</v>
      </c>
      <c r="S2" s="131" t="s">
        <v>45</v>
      </c>
      <c r="T2" s="131" t="s">
        <v>46</v>
      </c>
      <c r="U2" s="131" t="s">
        <v>47</v>
      </c>
      <c r="V2" s="131" t="s">
        <v>48</v>
      </c>
    </row>
    <row r="3" spans="1:22" x14ac:dyDescent="0.35">
      <c r="A3" s="192" t="s">
        <v>10</v>
      </c>
      <c r="B3" s="39" t="s">
        <v>7</v>
      </c>
      <c r="C3" s="40">
        <v>745.86630000000002</v>
      </c>
      <c r="D3" s="39" t="s">
        <v>30</v>
      </c>
      <c r="E3" s="108" t="s">
        <v>50</v>
      </c>
      <c r="F3" s="108" t="s">
        <v>68</v>
      </c>
      <c r="G3" s="100">
        <f>Feuil2!I13</f>
        <v>0</v>
      </c>
      <c r="H3" s="100">
        <v>0</v>
      </c>
      <c r="I3" s="108"/>
      <c r="J3" s="100">
        <f>I3+H3</f>
        <v>0</v>
      </c>
      <c r="K3" s="39"/>
      <c r="L3" s="39"/>
      <c r="M3" s="39"/>
      <c r="N3" s="39"/>
      <c r="O3" s="39"/>
      <c r="P3" s="39"/>
      <c r="Q3" s="39"/>
      <c r="R3" s="39"/>
      <c r="S3" s="39"/>
      <c r="T3" s="39"/>
      <c r="U3" s="39"/>
      <c r="V3" s="41"/>
    </row>
    <row r="4" spans="1:22" x14ac:dyDescent="0.35">
      <c r="A4" s="193"/>
      <c r="B4" s="42" t="s">
        <v>8</v>
      </c>
      <c r="C4" s="43">
        <v>742.41030000000001</v>
      </c>
      <c r="D4" s="42" t="s">
        <v>30</v>
      </c>
      <c r="E4" s="94" t="s">
        <v>134</v>
      </c>
      <c r="F4" s="94" t="s">
        <v>68</v>
      </c>
      <c r="G4" s="101">
        <f>Feuil2!I14</f>
        <v>0</v>
      </c>
      <c r="H4" s="101">
        <v>0</v>
      </c>
      <c r="I4" s="94">
        <v>5000</v>
      </c>
      <c r="J4" s="101">
        <f t="shared" ref="J4:J12" si="0">I4+H4</f>
        <v>5000</v>
      </c>
      <c r="K4" s="42"/>
      <c r="L4" s="42"/>
      <c r="M4" s="42"/>
      <c r="N4" s="42"/>
      <c r="O4" s="42"/>
      <c r="P4" s="42"/>
      <c r="Q4" s="42"/>
      <c r="R4" s="42"/>
      <c r="S4" s="42"/>
      <c r="T4" s="42"/>
      <c r="U4" s="42"/>
      <c r="V4" s="44"/>
    </row>
    <row r="5" spans="1:22" x14ac:dyDescent="0.35">
      <c r="A5" s="193"/>
      <c r="B5" s="42" t="s">
        <v>9</v>
      </c>
      <c r="C5" s="43">
        <v>721.72080000000005</v>
      </c>
      <c r="D5" s="42" t="s">
        <v>30</v>
      </c>
      <c r="E5" s="94" t="s">
        <v>51</v>
      </c>
      <c r="F5" s="94" t="s">
        <v>102</v>
      </c>
      <c r="G5" s="101">
        <f>Feuil2!I15</f>
        <v>0.29774180243349146</v>
      </c>
      <c r="H5" s="101">
        <f>G5*$C$13</f>
        <v>1373.5730908434732</v>
      </c>
      <c r="I5" s="94">
        <f>20*12+12</f>
        <v>252</v>
      </c>
      <c r="J5" s="101">
        <f t="shared" si="0"/>
        <v>1625.5730908434732</v>
      </c>
      <c r="K5" s="42"/>
      <c r="L5" s="42"/>
      <c r="M5" s="42">
        <v>1</v>
      </c>
      <c r="N5" s="42"/>
      <c r="O5" s="42"/>
      <c r="P5" s="42"/>
      <c r="Q5" s="42"/>
      <c r="R5" s="42"/>
      <c r="S5" s="42"/>
      <c r="T5" s="42"/>
      <c r="U5" s="42"/>
      <c r="V5" s="44"/>
    </row>
    <row r="6" spans="1:22" x14ac:dyDescent="0.35">
      <c r="A6" s="193" t="s">
        <v>21</v>
      </c>
      <c r="B6" s="42" t="s">
        <v>7</v>
      </c>
      <c r="C6" s="43">
        <v>709.09960000000001</v>
      </c>
      <c r="D6" s="42" t="s">
        <v>30</v>
      </c>
      <c r="E6" s="94" t="s">
        <v>52</v>
      </c>
      <c r="F6" s="94" t="s">
        <v>103</v>
      </c>
      <c r="G6" s="101">
        <f>Feuil2!I16</f>
        <v>0.28433697669622604</v>
      </c>
      <c r="H6" s="101">
        <f t="shared" ref="H6:H11" si="1">G6*$C$13</f>
        <v>1311.7325707362345</v>
      </c>
      <c r="I6" s="94">
        <f>15*12+C13*0.001*1.3*1200</f>
        <v>7376.7523680000004</v>
      </c>
      <c r="J6" s="101">
        <f t="shared" si="0"/>
        <v>8688.4849387362356</v>
      </c>
      <c r="K6" s="42"/>
      <c r="L6" s="42"/>
      <c r="M6" s="42"/>
      <c r="N6" s="42"/>
      <c r="O6" s="42"/>
      <c r="P6" s="42"/>
      <c r="Q6" s="42"/>
      <c r="R6" s="42"/>
      <c r="S6" s="42"/>
      <c r="T6" s="42">
        <v>2</v>
      </c>
      <c r="U6" s="42"/>
      <c r="V6" s="44"/>
    </row>
    <row r="7" spans="1:22" x14ac:dyDescent="0.35">
      <c r="A7" s="193"/>
      <c r="B7" s="42" t="s">
        <v>8</v>
      </c>
      <c r="C7" s="43">
        <v>731.17529999999999</v>
      </c>
      <c r="D7" s="42" t="s">
        <v>30</v>
      </c>
      <c r="E7" s="94" t="s">
        <v>53</v>
      </c>
      <c r="F7" s="94" t="s">
        <v>103</v>
      </c>
      <c r="G7" s="101">
        <f>Feuil2!I17</f>
        <v>0.28433697669622604</v>
      </c>
      <c r="H7" s="101">
        <f t="shared" si="1"/>
        <v>1311.7325707362345</v>
      </c>
      <c r="I7" s="94">
        <f>20*12</f>
        <v>240</v>
      </c>
      <c r="J7" s="101">
        <f t="shared" si="0"/>
        <v>1551.7325707362345</v>
      </c>
      <c r="K7" s="42"/>
      <c r="L7" s="42"/>
      <c r="M7" s="42">
        <v>2</v>
      </c>
      <c r="N7" s="42"/>
      <c r="O7" s="42"/>
      <c r="P7" s="42"/>
      <c r="Q7" s="42"/>
      <c r="R7" s="42"/>
      <c r="S7" s="42"/>
      <c r="T7" s="42"/>
      <c r="U7" s="42"/>
      <c r="V7" s="44"/>
    </row>
    <row r="8" spans="1:22" x14ac:dyDescent="0.35">
      <c r="A8" s="193"/>
      <c r="B8" s="42" t="s">
        <v>9</v>
      </c>
      <c r="C8" s="43">
        <v>676.97050000000002</v>
      </c>
      <c r="D8" s="42" t="s">
        <v>30</v>
      </c>
      <c r="E8" s="94" t="s">
        <v>54</v>
      </c>
      <c r="F8" s="94" t="s">
        <v>103</v>
      </c>
      <c r="G8" s="101">
        <f>Feuil2!I18</f>
        <v>0.10994534955660962</v>
      </c>
      <c r="H8" s="101">
        <f t="shared" si="1"/>
        <v>507.21118895648596</v>
      </c>
      <c r="I8" s="94">
        <f>15*12</f>
        <v>180</v>
      </c>
      <c r="J8" s="101">
        <f t="shared" si="0"/>
        <v>687.21118895648601</v>
      </c>
      <c r="K8" s="42">
        <f>2*4</f>
        <v>8</v>
      </c>
      <c r="L8" s="42">
        <f>2*4</f>
        <v>8</v>
      </c>
      <c r="M8" s="42">
        <v>6</v>
      </c>
      <c r="N8" s="42">
        <f t="shared" ref="N8:S8" si="2">3*4</f>
        <v>12</v>
      </c>
      <c r="O8" s="42">
        <f t="shared" si="2"/>
        <v>12</v>
      </c>
      <c r="P8" s="42">
        <f t="shared" si="2"/>
        <v>12</v>
      </c>
      <c r="Q8" s="42">
        <f t="shared" si="2"/>
        <v>12</v>
      </c>
      <c r="R8" s="42">
        <f t="shared" si="2"/>
        <v>12</v>
      </c>
      <c r="S8" s="42">
        <f t="shared" si="2"/>
        <v>12</v>
      </c>
      <c r="T8" s="42">
        <v>9</v>
      </c>
      <c r="U8" s="42">
        <f>2*4</f>
        <v>8</v>
      </c>
      <c r="V8" s="44">
        <f>2*4</f>
        <v>8</v>
      </c>
    </row>
    <row r="9" spans="1:22" x14ac:dyDescent="0.35">
      <c r="A9" s="193" t="s">
        <v>23</v>
      </c>
      <c r="B9" s="42" t="s">
        <v>7</v>
      </c>
      <c r="C9" s="43">
        <v>62.52</v>
      </c>
      <c r="D9" s="42" t="s">
        <v>30</v>
      </c>
      <c r="E9" s="94" t="s">
        <v>55</v>
      </c>
      <c r="F9" s="94" t="s">
        <v>105</v>
      </c>
      <c r="G9" s="101">
        <f>Feuil2!I19</f>
        <v>2.4154464838110953E-2</v>
      </c>
      <c r="H9" s="101">
        <f t="shared" si="1"/>
        <v>111.43186027015881</v>
      </c>
      <c r="I9" s="94">
        <f>0.05*C13*35</f>
        <v>8073.2799000000014</v>
      </c>
      <c r="J9" s="101">
        <f t="shared" si="0"/>
        <v>8184.7117602701601</v>
      </c>
      <c r="K9" s="42"/>
      <c r="L9" s="42"/>
      <c r="M9" s="42">
        <v>1</v>
      </c>
      <c r="N9" s="42"/>
      <c r="O9" s="42"/>
      <c r="P9" s="42"/>
      <c r="Q9" s="42">
        <v>1</v>
      </c>
      <c r="R9" s="42"/>
      <c r="S9" s="42"/>
      <c r="T9" s="42">
        <v>1</v>
      </c>
      <c r="U9" s="42"/>
      <c r="V9" s="44">
        <v>1</v>
      </c>
    </row>
    <row r="10" spans="1:22" x14ac:dyDescent="0.35">
      <c r="A10" s="193"/>
      <c r="B10" s="42" t="s">
        <v>8</v>
      </c>
      <c r="C10" s="43">
        <v>50.04</v>
      </c>
      <c r="D10" s="42" t="s">
        <v>30</v>
      </c>
      <c r="E10" s="94" t="s">
        <v>56</v>
      </c>
      <c r="F10" s="94" t="s">
        <v>66</v>
      </c>
      <c r="G10" s="101">
        <f>Feuil2!I20</f>
        <v>5.8323881212621165E-2</v>
      </c>
      <c r="H10" s="101">
        <f t="shared" si="1"/>
        <v>269.06572450505263</v>
      </c>
      <c r="I10" s="94">
        <f>4*200</f>
        <v>800</v>
      </c>
      <c r="J10" s="101">
        <f t="shared" si="0"/>
        <v>1069.0657245050527</v>
      </c>
      <c r="K10" s="42"/>
      <c r="L10" s="42"/>
      <c r="M10" s="42"/>
      <c r="N10" s="42">
        <v>1</v>
      </c>
      <c r="O10" s="42"/>
      <c r="P10" s="42"/>
      <c r="Q10" s="42"/>
      <c r="R10" s="42"/>
      <c r="S10" s="42"/>
      <c r="T10" s="42">
        <v>1</v>
      </c>
      <c r="U10" s="42"/>
      <c r="V10" s="44"/>
    </row>
    <row r="11" spans="1:22" x14ac:dyDescent="0.35">
      <c r="A11" s="193"/>
      <c r="B11" s="42" t="s">
        <v>9</v>
      </c>
      <c r="C11" s="43">
        <v>47.66</v>
      </c>
      <c r="D11" s="42" t="s">
        <v>30</v>
      </c>
      <c r="E11" s="94" t="s">
        <v>57</v>
      </c>
      <c r="F11" s="94" t="s">
        <v>57</v>
      </c>
      <c r="G11" s="101">
        <f>Feuil2!I21</f>
        <v>1.135801196122912</v>
      </c>
      <c r="H11" s="101">
        <f t="shared" si="1"/>
        <v>5239.7948383171797</v>
      </c>
      <c r="I11" s="94">
        <f>45*C13/1000*120</f>
        <v>24911.835120000003</v>
      </c>
      <c r="J11" s="101">
        <f t="shared" si="0"/>
        <v>30151.629958317182</v>
      </c>
      <c r="K11" s="42"/>
      <c r="L11" s="42"/>
      <c r="M11" s="42"/>
      <c r="N11" s="42"/>
      <c r="O11" s="42"/>
      <c r="P11" s="42"/>
      <c r="Q11" s="42"/>
      <c r="R11" s="42"/>
      <c r="S11" s="42"/>
      <c r="T11" s="42">
        <v>1</v>
      </c>
      <c r="U11" s="42"/>
      <c r="V11" s="44"/>
    </row>
    <row r="12" spans="1:22" ht="15" thickBot="1" x14ac:dyDescent="0.4">
      <c r="A12" s="194"/>
      <c r="B12" s="46" t="s">
        <v>22</v>
      </c>
      <c r="C12" s="45">
        <v>125.84</v>
      </c>
      <c r="D12" s="46" t="s">
        <v>30</v>
      </c>
      <c r="E12" s="109"/>
      <c r="F12" s="109"/>
      <c r="G12" s="102"/>
      <c r="H12" s="102"/>
      <c r="I12" s="109"/>
      <c r="J12" s="102">
        <f t="shared" si="0"/>
        <v>0</v>
      </c>
      <c r="K12" s="46"/>
      <c r="L12" s="46"/>
      <c r="M12" s="46"/>
      <c r="N12" s="46"/>
      <c r="O12" s="46"/>
      <c r="P12" s="46"/>
      <c r="Q12" s="46"/>
      <c r="R12" s="46"/>
      <c r="S12" s="46"/>
      <c r="T12" s="46"/>
      <c r="U12" s="46"/>
      <c r="V12" s="47"/>
    </row>
    <row r="13" spans="1:22" s="81" customFormat="1" ht="15" thickBot="1" x14ac:dyDescent="0.4">
      <c r="A13" s="188" t="s">
        <v>120</v>
      </c>
      <c r="B13" s="189"/>
      <c r="C13" s="110">
        <f>SUM(C3:C12)</f>
        <v>4613.3028000000004</v>
      </c>
      <c r="D13" s="111" t="s">
        <v>30</v>
      </c>
      <c r="E13" s="96"/>
      <c r="F13" s="96"/>
      <c r="G13" s="105"/>
      <c r="H13" s="105"/>
      <c r="I13" s="96"/>
      <c r="J13" s="96"/>
      <c r="K13" s="111">
        <f>K3*$J$3+K4*$J$4+K5*$J$5+K6*$J$6+K7*$J$7+K8*$J$8+K9*$J$9+K10*$J$10+K11*$J$11+K12*$J$12</f>
        <v>5497.6895116518881</v>
      </c>
      <c r="L13" s="111">
        <f t="shared" ref="L13:V13" si="3">L3*$J$3+L4*$J$4+L5*$J$5+L6*$J$6+L7*$J$7+L8*$J$8+L9*$J$9+L10*$J$10+L11*$J$11+L12*$J$12</f>
        <v>5497.6895116518881</v>
      </c>
      <c r="M13" s="111">
        <f t="shared" si="3"/>
        <v>17037.017126325016</v>
      </c>
      <c r="N13" s="111">
        <f t="shared" si="3"/>
        <v>9315.5999919828864</v>
      </c>
      <c r="O13" s="111">
        <f t="shared" si="3"/>
        <v>8246.5342674778331</v>
      </c>
      <c r="P13" s="111">
        <f t="shared" si="3"/>
        <v>8246.5342674778331</v>
      </c>
      <c r="Q13" s="111">
        <f t="shared" si="3"/>
        <v>16431.246027747991</v>
      </c>
      <c r="R13" s="111">
        <f t="shared" si="3"/>
        <v>8246.5342674778331</v>
      </c>
      <c r="S13" s="111">
        <f t="shared" si="3"/>
        <v>8246.5342674778331</v>
      </c>
      <c r="T13" s="111">
        <f t="shared" si="3"/>
        <v>62967.278021173246</v>
      </c>
      <c r="U13" s="111">
        <f t="shared" si="3"/>
        <v>5497.6895116518881</v>
      </c>
      <c r="V13" s="112">
        <f t="shared" si="3"/>
        <v>13682.401271922048</v>
      </c>
    </row>
    <row r="14" spans="1:22" x14ac:dyDescent="0.35">
      <c r="A14" s="57" t="s">
        <v>10</v>
      </c>
      <c r="B14" s="48" t="s">
        <v>31</v>
      </c>
      <c r="C14" s="49">
        <v>11879</v>
      </c>
      <c r="D14" s="48" t="s">
        <v>30</v>
      </c>
      <c r="E14" s="108" t="s">
        <v>50</v>
      </c>
      <c r="F14" s="108" t="s">
        <v>69</v>
      </c>
      <c r="G14" s="100">
        <f>Feuil2!I22</f>
        <v>0.12635419971896106</v>
      </c>
      <c r="H14" s="100">
        <f>G14*$C$22</f>
        <v>3500.0510832464529</v>
      </c>
      <c r="I14" s="108">
        <f>8000+20*12</f>
        <v>8240</v>
      </c>
      <c r="J14" s="100">
        <f>I14+H14</f>
        <v>11740.051083246453</v>
      </c>
      <c r="K14" s="48"/>
      <c r="L14" s="48"/>
      <c r="M14" s="48"/>
      <c r="N14" s="48"/>
      <c r="O14" s="48"/>
      <c r="P14" s="48"/>
      <c r="Q14" s="48"/>
      <c r="R14" s="48"/>
      <c r="S14" s="48"/>
      <c r="T14" s="48"/>
      <c r="U14" s="48"/>
      <c r="V14" s="58"/>
    </row>
    <row r="15" spans="1:22" x14ac:dyDescent="0.35">
      <c r="A15" s="59" t="s">
        <v>21</v>
      </c>
      <c r="B15" s="9" t="s">
        <v>31</v>
      </c>
      <c r="C15" s="4">
        <v>9904.8046000000013</v>
      </c>
      <c r="D15" s="9" t="s">
        <v>30</v>
      </c>
      <c r="E15" s="94" t="s">
        <v>134</v>
      </c>
      <c r="F15" s="94" t="s">
        <v>69</v>
      </c>
      <c r="G15" s="101">
        <f>Feuil2!I23</f>
        <v>0.10611810110926198</v>
      </c>
      <c r="H15" s="101">
        <f t="shared" ref="H15:H21" si="4">G15*$C$22</f>
        <v>2939.504785481166</v>
      </c>
      <c r="I15" s="94">
        <f>8000+20*12</f>
        <v>8240</v>
      </c>
      <c r="J15" s="101">
        <f>I15+H15</f>
        <v>11179.504785481166</v>
      </c>
      <c r="K15" s="9"/>
      <c r="L15" s="9"/>
      <c r="M15" s="9"/>
      <c r="N15" s="9"/>
      <c r="O15" s="9"/>
      <c r="P15" s="9"/>
      <c r="Q15" s="9"/>
      <c r="R15" s="9"/>
      <c r="S15" s="9">
        <v>1</v>
      </c>
      <c r="T15" s="9"/>
      <c r="U15" s="9"/>
      <c r="V15" s="10"/>
    </row>
    <row r="16" spans="1:22" x14ac:dyDescent="0.35">
      <c r="A16" s="59" t="s">
        <v>23</v>
      </c>
      <c r="B16" s="9" t="s">
        <v>31</v>
      </c>
      <c r="C16" s="4">
        <v>5916.5099999999984</v>
      </c>
      <c r="D16" s="9" t="s">
        <v>30</v>
      </c>
      <c r="E16" s="94" t="s">
        <v>51</v>
      </c>
      <c r="F16" s="94" t="s">
        <v>109</v>
      </c>
      <c r="G16" s="101">
        <f>Feuil2!I24</f>
        <v>3.3349090508784089E-2</v>
      </c>
      <c r="H16" s="101">
        <f t="shared" si="4"/>
        <v>923.78029871719343</v>
      </c>
      <c r="I16" s="94">
        <f>40*12+C22*0.001*1.3*700</f>
        <v>25687.286286000002</v>
      </c>
      <c r="J16" s="101">
        <f t="shared" ref="J16:J21" si="5">I16+H16</f>
        <v>26611.066584717195</v>
      </c>
      <c r="K16" s="9"/>
      <c r="L16" s="9"/>
      <c r="M16" s="9">
        <v>1</v>
      </c>
      <c r="N16" s="9"/>
      <c r="O16" s="9"/>
      <c r="P16" s="9"/>
      <c r="Q16" s="9"/>
      <c r="R16" s="9"/>
      <c r="S16" s="9">
        <v>1</v>
      </c>
      <c r="T16" s="9"/>
      <c r="U16" s="9"/>
      <c r="V16" s="10"/>
    </row>
    <row r="17" spans="1:22" x14ac:dyDescent="0.35">
      <c r="A17" s="59"/>
      <c r="B17" s="9"/>
      <c r="C17" s="4"/>
      <c r="D17" s="9"/>
      <c r="E17" s="94" t="s">
        <v>52</v>
      </c>
      <c r="F17" s="94" t="s">
        <v>110</v>
      </c>
      <c r="G17" s="101">
        <f>Feuil2!I25</f>
        <v>5.7114364716014686E-2</v>
      </c>
      <c r="H17" s="101">
        <f t="shared" si="4"/>
        <v>1582.0858708127466</v>
      </c>
      <c r="I17" s="94">
        <f>40*12</f>
        <v>480</v>
      </c>
      <c r="J17" s="101">
        <f t="shared" si="5"/>
        <v>2062.0858708127466</v>
      </c>
      <c r="K17" s="9"/>
      <c r="L17" s="9"/>
      <c r="M17" s="9"/>
      <c r="N17" s="9"/>
      <c r="O17" s="9"/>
      <c r="P17" s="9"/>
      <c r="Q17" s="9"/>
      <c r="R17" s="9"/>
      <c r="S17" s="9"/>
      <c r="T17" s="9"/>
      <c r="U17" s="9"/>
      <c r="V17" s="10"/>
    </row>
    <row r="18" spans="1:22" x14ac:dyDescent="0.35">
      <c r="A18" s="50"/>
      <c r="B18" s="4"/>
      <c r="C18" s="4"/>
      <c r="D18" s="9"/>
      <c r="E18" s="94" t="s">
        <v>53</v>
      </c>
      <c r="F18" s="94" t="s">
        <v>110</v>
      </c>
      <c r="G18" s="101">
        <f>Feuil2!I26</f>
        <v>5.1043535133104959E-2</v>
      </c>
      <c r="H18" s="101">
        <f t="shared" si="4"/>
        <v>1413.9219814831604</v>
      </c>
      <c r="I18" s="94">
        <f>40*12</f>
        <v>480</v>
      </c>
      <c r="J18" s="101">
        <f t="shared" si="5"/>
        <v>1893.9219814831604</v>
      </c>
      <c r="K18" s="9"/>
      <c r="L18" s="9"/>
      <c r="M18" s="9">
        <v>1</v>
      </c>
      <c r="N18" s="9"/>
      <c r="O18" s="9"/>
      <c r="P18" s="9"/>
      <c r="Q18" s="9"/>
      <c r="R18" s="9"/>
      <c r="S18" s="9"/>
      <c r="T18" s="9"/>
      <c r="U18" s="9"/>
      <c r="V18" s="10"/>
    </row>
    <row r="19" spans="1:22" x14ac:dyDescent="0.35">
      <c r="A19" s="50"/>
      <c r="B19" s="4"/>
      <c r="C19" s="4"/>
      <c r="D19" s="9"/>
      <c r="E19" s="94" t="s">
        <v>54</v>
      </c>
      <c r="F19" s="94" t="s">
        <v>97</v>
      </c>
      <c r="G19" s="101">
        <f>Feuil2!I27</f>
        <v>3.7720087808479089E-2</v>
      </c>
      <c r="H19" s="101">
        <f t="shared" si="4"/>
        <v>1044.8582990344953</v>
      </c>
      <c r="I19" s="94">
        <f>40*12</f>
        <v>480</v>
      </c>
      <c r="J19" s="101">
        <f t="shared" si="5"/>
        <v>1524.8582990344953</v>
      </c>
      <c r="K19" s="9">
        <v>4</v>
      </c>
      <c r="L19" s="9">
        <v>4</v>
      </c>
      <c r="M19" s="9">
        <v>4</v>
      </c>
      <c r="N19" s="9">
        <v>8</v>
      </c>
      <c r="O19" s="9">
        <v>8</v>
      </c>
      <c r="P19" s="9">
        <v>8</v>
      </c>
      <c r="Q19" s="9">
        <v>8</v>
      </c>
      <c r="R19" s="9">
        <v>8</v>
      </c>
      <c r="S19" s="9">
        <v>8</v>
      </c>
      <c r="T19" s="9">
        <v>8</v>
      </c>
      <c r="U19" s="9">
        <v>4</v>
      </c>
      <c r="V19" s="10">
        <v>4</v>
      </c>
    </row>
    <row r="20" spans="1:22" x14ac:dyDescent="0.35">
      <c r="A20" s="50"/>
      <c r="B20" s="4"/>
      <c r="C20" s="4"/>
      <c r="D20" s="9"/>
      <c r="E20" s="94" t="s">
        <v>55</v>
      </c>
      <c r="F20" s="94" t="s">
        <v>105</v>
      </c>
      <c r="G20" s="101">
        <f>Feuil2!I28</f>
        <v>6.0675918071321725E-3</v>
      </c>
      <c r="H20" s="101">
        <f t="shared" si="4"/>
        <v>168.07420192194371</v>
      </c>
      <c r="I20" s="94">
        <f>0.05*C22*35</f>
        <v>48475.55055</v>
      </c>
      <c r="J20" s="101">
        <f t="shared" si="5"/>
        <v>48643.624751921947</v>
      </c>
      <c r="K20" s="9"/>
      <c r="L20" s="9">
        <v>1</v>
      </c>
      <c r="M20" s="9"/>
      <c r="N20" s="9"/>
      <c r="O20" s="9"/>
      <c r="P20" s="9">
        <v>1</v>
      </c>
      <c r="Q20" s="9"/>
      <c r="R20" s="9"/>
      <c r="S20" s="9"/>
      <c r="T20" s="9">
        <v>1</v>
      </c>
      <c r="U20" s="9"/>
      <c r="V20" s="10"/>
    </row>
    <row r="21" spans="1:22" ht="15" thickBot="1" x14ac:dyDescent="0.4">
      <c r="A21" s="113"/>
      <c r="B21" s="51"/>
      <c r="C21" s="51"/>
      <c r="D21" s="52"/>
      <c r="E21" s="109" t="s">
        <v>56</v>
      </c>
      <c r="F21" s="109" t="s">
        <v>66</v>
      </c>
      <c r="G21" s="102">
        <f>Feuil2!I29</f>
        <v>7.3254676967110677E-3</v>
      </c>
      <c r="H21" s="102">
        <f t="shared" si="4"/>
        <v>202.91775979103397</v>
      </c>
      <c r="I21" s="109">
        <f>4*250</f>
        <v>1000</v>
      </c>
      <c r="J21" s="101">
        <f t="shared" si="5"/>
        <v>1202.9177597910339</v>
      </c>
      <c r="K21" s="52"/>
      <c r="L21" s="52"/>
      <c r="M21" s="52">
        <v>1</v>
      </c>
      <c r="N21" s="52"/>
      <c r="O21" s="52"/>
      <c r="P21" s="52"/>
      <c r="Q21" s="52"/>
      <c r="R21" s="52"/>
      <c r="S21" s="52"/>
      <c r="T21" s="52"/>
      <c r="U21" s="52">
        <v>1</v>
      </c>
      <c r="V21" s="65"/>
    </row>
    <row r="22" spans="1:22" s="81" customFormat="1" ht="15" thickBot="1" x14ac:dyDescent="0.4">
      <c r="A22" s="186" t="s">
        <v>119</v>
      </c>
      <c r="B22" s="187"/>
      <c r="C22" s="114">
        <f>SUM(C14:C16)</f>
        <v>27700.314600000002</v>
      </c>
      <c r="D22" s="86" t="s">
        <v>30</v>
      </c>
      <c r="E22" s="96"/>
      <c r="F22" s="96"/>
      <c r="G22" s="105"/>
      <c r="H22" s="105"/>
      <c r="I22" s="96"/>
      <c r="J22" s="96"/>
      <c r="K22" s="86">
        <f>K14*$J$14+K15*$J$15+K16*$J$16+K17*$J$17+K18*$J$18+K19*$J$19+K20*$J$20+K21*$J$21</f>
        <v>6099.4331961379812</v>
      </c>
      <c r="L22" s="86">
        <f t="shared" ref="L22:V22" si="6">L14*$J$14+L15*$J$15+L16*$J$16+L17*$J$17+L18*$J$18+L19*$J$19+L20*$J$20+L21*$J$21</f>
        <v>54743.057948059926</v>
      </c>
      <c r="M22" s="86">
        <f t="shared" si="6"/>
        <v>35807.339522129369</v>
      </c>
      <c r="N22" s="86">
        <f t="shared" si="6"/>
        <v>12198.866392275962</v>
      </c>
      <c r="O22" s="86">
        <f t="shared" si="6"/>
        <v>12198.866392275962</v>
      </c>
      <c r="P22" s="86">
        <f t="shared" si="6"/>
        <v>60842.491144197906</v>
      </c>
      <c r="Q22" s="86">
        <f t="shared" si="6"/>
        <v>12198.866392275962</v>
      </c>
      <c r="R22" s="86">
        <f t="shared" si="6"/>
        <v>12198.866392275962</v>
      </c>
      <c r="S22" s="86">
        <f t="shared" si="6"/>
        <v>49989.437762474321</v>
      </c>
      <c r="T22" s="86">
        <f t="shared" si="6"/>
        <v>60842.491144197906</v>
      </c>
      <c r="U22" s="86">
        <f t="shared" si="6"/>
        <v>7302.3509559290151</v>
      </c>
      <c r="V22" s="86">
        <f t="shared" si="6"/>
        <v>6099.4331961379812</v>
      </c>
    </row>
    <row r="23" spans="1:22" x14ac:dyDescent="0.35">
      <c r="A23" s="74"/>
      <c r="B23" s="75" t="s">
        <v>124</v>
      </c>
      <c r="C23" s="76">
        <v>6260</v>
      </c>
      <c r="D23" s="75" t="s">
        <v>30</v>
      </c>
      <c r="E23" s="108" t="s">
        <v>135</v>
      </c>
      <c r="F23" s="108" t="s">
        <v>69</v>
      </c>
      <c r="G23" s="100">
        <f>Feuil2!I32</f>
        <v>0.10280809156241683</v>
      </c>
      <c r="H23" s="100">
        <f>G23*$C$26</f>
        <v>1188.4615384615386</v>
      </c>
      <c r="I23" s="108">
        <f>8000+40*12</f>
        <v>8480</v>
      </c>
      <c r="J23" s="100">
        <f>I23+H23</f>
        <v>9668.461538461539</v>
      </c>
      <c r="K23" s="54"/>
      <c r="L23" s="54"/>
      <c r="M23" s="54"/>
      <c r="N23" s="54">
        <v>1</v>
      </c>
      <c r="O23" s="54"/>
      <c r="P23" s="54"/>
      <c r="Q23" s="54"/>
      <c r="R23" s="54"/>
      <c r="S23" s="54"/>
      <c r="T23" s="54"/>
      <c r="U23" s="54"/>
      <c r="V23" s="55"/>
    </row>
    <row r="24" spans="1:22" x14ac:dyDescent="0.35">
      <c r="A24" s="77"/>
      <c r="B24" s="72" t="s">
        <v>124</v>
      </c>
      <c r="C24" s="73">
        <v>5300</v>
      </c>
      <c r="D24" s="72" t="s">
        <v>30</v>
      </c>
      <c r="E24" s="94" t="s">
        <v>54</v>
      </c>
      <c r="F24" s="94" t="s">
        <v>98</v>
      </c>
      <c r="G24" s="101">
        <f>Feuil2!I36</f>
        <v>3.8760979504924145E-2</v>
      </c>
      <c r="H24" s="101">
        <f t="shared" ref="H24:H25" si="7">G24*$C$26</f>
        <v>448.07692307692309</v>
      </c>
      <c r="I24" s="94">
        <f>20*12</f>
        <v>240</v>
      </c>
      <c r="J24" s="101">
        <f>I24+H24</f>
        <v>688.07692307692309</v>
      </c>
      <c r="K24" s="53">
        <v>1</v>
      </c>
      <c r="L24" s="53">
        <v>1</v>
      </c>
      <c r="M24" s="53">
        <v>1</v>
      </c>
      <c r="N24" s="53">
        <v>2</v>
      </c>
      <c r="O24" s="53">
        <v>2</v>
      </c>
      <c r="P24" s="53">
        <v>2</v>
      </c>
      <c r="Q24" s="53">
        <v>2</v>
      </c>
      <c r="R24" s="53">
        <v>2</v>
      </c>
      <c r="S24" s="53">
        <v>2</v>
      </c>
      <c r="T24" s="53">
        <v>2</v>
      </c>
      <c r="U24" s="53">
        <v>2</v>
      </c>
      <c r="V24" s="56">
        <v>1</v>
      </c>
    </row>
    <row r="25" spans="1:22" ht="15" thickBot="1" x14ac:dyDescent="0.4">
      <c r="A25" s="82"/>
      <c r="B25" s="83"/>
      <c r="C25" s="84"/>
      <c r="D25" s="83"/>
      <c r="E25" s="95" t="s">
        <v>55</v>
      </c>
      <c r="F25" s="95" t="s">
        <v>105</v>
      </c>
      <c r="G25" s="104">
        <f>Feuil2!I37</f>
        <v>3.1175139739153582E-3</v>
      </c>
      <c r="H25" s="104">
        <f t="shared" si="7"/>
        <v>36.03846153846154</v>
      </c>
      <c r="I25" s="95">
        <f>200*15</f>
        <v>3000</v>
      </c>
      <c r="J25" s="101">
        <f>I25+H25</f>
        <v>3036.0384615384614</v>
      </c>
      <c r="K25" s="60"/>
      <c r="L25" s="60"/>
      <c r="M25" s="60">
        <v>1</v>
      </c>
      <c r="N25" s="60"/>
      <c r="O25" s="60"/>
      <c r="P25" s="60"/>
      <c r="Q25" s="60"/>
      <c r="R25" s="60"/>
      <c r="S25" s="60">
        <v>1</v>
      </c>
      <c r="T25" s="60"/>
      <c r="U25" s="60"/>
      <c r="V25" s="61"/>
    </row>
    <row r="26" spans="1:22" s="81" customFormat="1" ht="15" thickBot="1" x14ac:dyDescent="0.4">
      <c r="A26" s="176" t="s">
        <v>123</v>
      </c>
      <c r="B26" s="177"/>
      <c r="C26" s="87">
        <f>C24+C23</f>
        <v>11560</v>
      </c>
      <c r="D26" s="115" t="s">
        <v>30</v>
      </c>
      <c r="E26" s="116"/>
      <c r="F26" s="96"/>
      <c r="G26" s="105"/>
      <c r="H26" s="105"/>
      <c r="I26" s="96"/>
      <c r="J26" s="96"/>
      <c r="K26" s="88">
        <f>K23*$J$23+K24*$J$24+K25*$J$25</f>
        <v>688.07692307692309</v>
      </c>
      <c r="L26" s="88">
        <f t="shared" ref="L26:V26" si="8">L23*$J$23+L24*$J$24+L25*$J$25</f>
        <v>688.07692307692309</v>
      </c>
      <c r="M26" s="88">
        <f t="shared" si="8"/>
        <v>3724.1153846153848</v>
      </c>
      <c r="N26" s="88">
        <f t="shared" si="8"/>
        <v>11044.615384615385</v>
      </c>
      <c r="O26" s="88">
        <f t="shared" si="8"/>
        <v>1376.1538461538462</v>
      </c>
      <c r="P26" s="88">
        <f t="shared" si="8"/>
        <v>1376.1538461538462</v>
      </c>
      <c r="Q26" s="88">
        <f t="shared" si="8"/>
        <v>1376.1538461538462</v>
      </c>
      <c r="R26" s="88">
        <f t="shared" si="8"/>
        <v>1376.1538461538462</v>
      </c>
      <c r="S26" s="88">
        <f t="shared" si="8"/>
        <v>4412.1923076923076</v>
      </c>
      <c r="T26" s="88">
        <f t="shared" si="8"/>
        <v>1376.1538461538462</v>
      </c>
      <c r="U26" s="88">
        <f t="shared" si="8"/>
        <v>1376.1538461538462</v>
      </c>
      <c r="V26" s="88">
        <f t="shared" si="8"/>
        <v>688.07692307692309</v>
      </c>
    </row>
    <row r="27" spans="1:22" x14ac:dyDescent="0.35">
      <c r="A27" s="180" t="s">
        <v>10</v>
      </c>
      <c r="B27" s="13" t="s">
        <v>1</v>
      </c>
      <c r="C27" s="62">
        <v>163.66</v>
      </c>
      <c r="D27" s="13" t="s">
        <v>32</v>
      </c>
      <c r="E27" s="108" t="s">
        <v>50</v>
      </c>
      <c r="F27" s="108" t="s">
        <v>50</v>
      </c>
      <c r="G27" s="100">
        <f>Feuil2!I4</f>
        <v>0.19473319473319473</v>
      </c>
      <c r="H27" s="100">
        <f t="shared" ref="H27:H34" si="9">G27*$C$50</f>
        <v>2444.8382605682605</v>
      </c>
      <c r="I27" s="108">
        <f>4000+20*15</f>
        <v>4300</v>
      </c>
      <c r="J27" s="100">
        <f>I27+H27</f>
        <v>6744.83826056826</v>
      </c>
      <c r="K27" s="13"/>
      <c r="L27" s="13"/>
      <c r="M27" s="13">
        <v>1</v>
      </c>
      <c r="N27" s="13"/>
      <c r="O27" s="13"/>
      <c r="P27" s="13"/>
      <c r="Q27" s="13"/>
      <c r="R27" s="13"/>
      <c r="S27" s="13"/>
      <c r="T27" s="13"/>
      <c r="U27" s="13"/>
      <c r="V27" s="14"/>
    </row>
    <row r="28" spans="1:22" x14ac:dyDescent="0.35">
      <c r="A28" s="178"/>
      <c r="B28" s="11" t="s">
        <v>2</v>
      </c>
      <c r="C28" s="5">
        <v>216.46</v>
      </c>
      <c r="D28" s="11" t="s">
        <v>32</v>
      </c>
      <c r="E28" s="94" t="s">
        <v>135</v>
      </c>
      <c r="F28" s="94" t="s">
        <v>133</v>
      </c>
      <c r="G28" s="101">
        <f>Feuil2!I5</f>
        <v>0.12976437976437977</v>
      </c>
      <c r="H28" s="101">
        <f t="shared" si="9"/>
        <v>1629.1671327096326</v>
      </c>
      <c r="I28" s="94">
        <f>4000+20*15</f>
        <v>4300</v>
      </c>
      <c r="J28" s="101">
        <f>I28+H28</f>
        <v>5929.1671327096328</v>
      </c>
      <c r="K28" s="11"/>
      <c r="L28" s="11"/>
      <c r="M28" s="11"/>
      <c r="N28" s="11"/>
      <c r="O28" s="11"/>
      <c r="P28" s="11">
        <v>1</v>
      </c>
      <c r="Q28" s="11"/>
      <c r="R28" s="11"/>
      <c r="S28" s="11"/>
      <c r="T28" s="11"/>
      <c r="U28" s="11"/>
      <c r="V28" s="12"/>
    </row>
    <row r="29" spans="1:22" x14ac:dyDescent="0.35">
      <c r="A29" s="178"/>
      <c r="B29" s="11" t="s">
        <v>3</v>
      </c>
      <c r="C29" s="5">
        <v>198.72</v>
      </c>
      <c r="D29" s="11" t="s">
        <v>32</v>
      </c>
      <c r="E29" s="94" t="s">
        <v>51</v>
      </c>
      <c r="F29" s="94" t="s">
        <v>51</v>
      </c>
      <c r="G29" s="101">
        <f>Feuil2!I6</f>
        <v>0.10005197505197505</v>
      </c>
      <c r="H29" s="101">
        <f t="shared" si="9"/>
        <v>1256.1335369022868</v>
      </c>
      <c r="I29" s="94">
        <f>20*12+C50*0.001*1.3*1200</f>
        <v>19825.5036</v>
      </c>
      <c r="J29" s="101">
        <f t="shared" ref="J29:J34" si="10">I29+H29</f>
        <v>21081.637136902285</v>
      </c>
      <c r="K29" s="11"/>
      <c r="L29" s="11"/>
      <c r="M29" s="11">
        <v>1</v>
      </c>
      <c r="N29" s="11"/>
      <c r="O29" s="11"/>
      <c r="P29" s="11">
        <v>1</v>
      </c>
      <c r="Q29" s="11"/>
      <c r="R29" s="11"/>
      <c r="S29" s="11"/>
      <c r="T29" s="11"/>
      <c r="U29" s="11">
        <v>1</v>
      </c>
      <c r="V29" s="12"/>
    </row>
    <row r="30" spans="1:22" x14ac:dyDescent="0.35">
      <c r="A30" s="178"/>
      <c r="B30" s="11" t="s">
        <v>4</v>
      </c>
      <c r="C30" s="5">
        <v>209.5</v>
      </c>
      <c r="D30" s="11" t="s">
        <v>32</v>
      </c>
      <c r="E30" s="94" t="s">
        <v>52</v>
      </c>
      <c r="F30" s="94" t="s">
        <v>52</v>
      </c>
      <c r="G30" s="101">
        <f>Feuil2!I7</f>
        <v>0.10637560637560638</v>
      </c>
      <c r="H30" s="101">
        <f t="shared" si="9"/>
        <v>1335.5255266805266</v>
      </c>
      <c r="I30" s="94">
        <f>20*12</f>
        <v>240</v>
      </c>
      <c r="J30" s="101">
        <f t="shared" si="10"/>
        <v>1575.5255266805266</v>
      </c>
      <c r="K30" s="11"/>
      <c r="L30" s="11"/>
      <c r="M30" s="11"/>
      <c r="N30" s="11"/>
      <c r="O30" s="11"/>
      <c r="P30" s="11"/>
      <c r="Q30" s="11"/>
      <c r="R30" s="11"/>
      <c r="S30" s="11"/>
      <c r="T30" s="11"/>
      <c r="U30" s="11"/>
      <c r="V30" s="12"/>
    </row>
    <row r="31" spans="1:22" x14ac:dyDescent="0.35">
      <c r="A31" s="178"/>
      <c r="B31" s="11" t="s">
        <v>5</v>
      </c>
      <c r="C31" s="5">
        <v>206.16</v>
      </c>
      <c r="D31" s="11" t="s">
        <v>32</v>
      </c>
      <c r="E31" s="94" t="s">
        <v>53</v>
      </c>
      <c r="F31" s="94" t="s">
        <v>53</v>
      </c>
      <c r="G31" s="101">
        <f>Feuil2!I8</f>
        <v>0.10637560637560638</v>
      </c>
      <c r="H31" s="101">
        <f t="shared" si="9"/>
        <v>1335.5255266805266</v>
      </c>
      <c r="I31" s="94">
        <f>20*12</f>
        <v>240</v>
      </c>
      <c r="J31" s="101">
        <f t="shared" si="10"/>
        <v>1575.5255266805266</v>
      </c>
      <c r="K31" s="11"/>
      <c r="L31" s="11"/>
      <c r="M31" s="11"/>
      <c r="N31" s="11"/>
      <c r="O31" s="11"/>
      <c r="P31" s="11">
        <v>1</v>
      </c>
      <c r="Q31" s="11"/>
      <c r="R31" s="11"/>
      <c r="S31" s="11"/>
      <c r="T31" s="11"/>
      <c r="U31" s="11">
        <v>1</v>
      </c>
      <c r="V31" s="12"/>
    </row>
    <row r="32" spans="1:22" x14ac:dyDescent="0.35">
      <c r="A32" s="178"/>
      <c r="B32" s="11" t="s">
        <v>6</v>
      </c>
      <c r="C32" s="5">
        <v>198.93</v>
      </c>
      <c r="D32" s="11" t="s">
        <v>32</v>
      </c>
      <c r="E32" s="94" t="s">
        <v>54</v>
      </c>
      <c r="F32" s="94" t="s">
        <v>54</v>
      </c>
      <c r="G32" s="101">
        <f>Feuil2!I9</f>
        <v>3.3350658350658355E-2</v>
      </c>
      <c r="H32" s="101">
        <f t="shared" si="9"/>
        <v>418.71117896742902</v>
      </c>
      <c r="I32" s="94">
        <f>5*12+4*1200</f>
        <v>4860</v>
      </c>
      <c r="J32" s="101">
        <f t="shared" si="10"/>
        <v>5278.7111789674291</v>
      </c>
      <c r="K32" s="11">
        <v>12</v>
      </c>
      <c r="L32" s="11">
        <v>16</v>
      </c>
      <c r="M32" s="11">
        <v>20</v>
      </c>
      <c r="N32" s="11">
        <v>26</v>
      </c>
      <c r="O32" s="11">
        <v>26</v>
      </c>
      <c r="P32" s="11">
        <v>26</v>
      </c>
      <c r="Q32" s="11">
        <v>26</v>
      </c>
      <c r="R32" s="11">
        <v>26</v>
      </c>
      <c r="S32" s="11">
        <v>26</v>
      </c>
      <c r="T32" s="11">
        <v>20</v>
      </c>
      <c r="U32" s="11">
        <v>16</v>
      </c>
      <c r="V32" s="12">
        <v>12</v>
      </c>
    </row>
    <row r="33" spans="1:22" x14ac:dyDescent="0.35">
      <c r="A33" s="178"/>
      <c r="B33" s="11" t="s">
        <v>25</v>
      </c>
      <c r="C33" s="8">
        <v>418</v>
      </c>
      <c r="D33" s="11" t="s">
        <v>32</v>
      </c>
      <c r="E33" s="94" t="s">
        <v>55</v>
      </c>
      <c r="F33" s="94" t="s">
        <v>55</v>
      </c>
      <c r="G33" s="101">
        <f>Feuil2!I10</f>
        <v>3.7889812889812892E-2</v>
      </c>
      <c r="H33" s="101">
        <f t="shared" si="9"/>
        <v>475.69940176715176</v>
      </c>
      <c r="I33" s="94">
        <f>150*35</f>
        <v>5250</v>
      </c>
      <c r="J33" s="101">
        <f t="shared" si="10"/>
        <v>5725.6994017671514</v>
      </c>
      <c r="K33" s="11">
        <v>1</v>
      </c>
      <c r="L33" s="11"/>
      <c r="M33" s="11">
        <v>1</v>
      </c>
      <c r="N33" s="11"/>
      <c r="O33" s="11">
        <v>1</v>
      </c>
      <c r="P33" s="11"/>
      <c r="Q33" s="11">
        <v>1</v>
      </c>
      <c r="R33" s="11"/>
      <c r="S33" s="11">
        <v>1</v>
      </c>
      <c r="T33" s="11"/>
      <c r="U33" s="11">
        <v>1</v>
      </c>
      <c r="V33" s="12"/>
    </row>
    <row r="34" spans="1:22" x14ac:dyDescent="0.35">
      <c r="A34" s="178" t="s">
        <v>21</v>
      </c>
      <c r="B34" s="11" t="s">
        <v>11</v>
      </c>
      <c r="C34" s="5">
        <v>184.66</v>
      </c>
      <c r="D34" s="11" t="s">
        <v>32</v>
      </c>
      <c r="E34" s="94" t="s">
        <v>56</v>
      </c>
      <c r="F34" s="94" t="s">
        <v>56</v>
      </c>
      <c r="G34" s="101">
        <f>Feuil2!I11</f>
        <v>3.9197851697851699E-2</v>
      </c>
      <c r="H34" s="101">
        <f t="shared" si="9"/>
        <v>492.12158047470547</v>
      </c>
      <c r="I34" s="94">
        <f>4*700</f>
        <v>2800</v>
      </c>
      <c r="J34" s="101">
        <f t="shared" si="10"/>
        <v>3292.1215804747053</v>
      </c>
      <c r="K34" s="11"/>
      <c r="L34" s="11">
        <v>1</v>
      </c>
      <c r="M34" s="11"/>
      <c r="N34" s="11"/>
      <c r="O34" s="11">
        <v>1</v>
      </c>
      <c r="P34" s="11"/>
      <c r="Q34" s="11"/>
      <c r="R34" s="11">
        <v>1</v>
      </c>
      <c r="S34" s="11"/>
      <c r="T34" s="11"/>
      <c r="U34" s="11">
        <v>1</v>
      </c>
      <c r="V34" s="12"/>
    </row>
    <row r="35" spans="1:22" x14ac:dyDescent="0.35">
      <c r="A35" s="178"/>
      <c r="B35" s="11" t="s">
        <v>12</v>
      </c>
      <c r="C35" s="5">
        <v>139.13999999999999</v>
      </c>
      <c r="D35" s="11" t="s">
        <v>32</v>
      </c>
      <c r="E35" s="94"/>
      <c r="F35" s="94"/>
      <c r="G35" s="101"/>
      <c r="H35" s="101"/>
      <c r="I35" s="94"/>
      <c r="J35" s="94"/>
      <c r="K35" s="11"/>
      <c r="L35" s="11"/>
      <c r="M35" s="11"/>
      <c r="N35" s="11"/>
      <c r="O35" s="11"/>
      <c r="P35" s="11"/>
      <c r="Q35" s="11"/>
      <c r="R35" s="11"/>
      <c r="S35" s="11"/>
      <c r="T35" s="11"/>
      <c r="U35" s="11"/>
      <c r="V35" s="12"/>
    </row>
    <row r="36" spans="1:22" x14ac:dyDescent="0.35">
      <c r="A36" s="178"/>
      <c r="B36" s="11" t="s">
        <v>13</v>
      </c>
      <c r="C36" s="5">
        <v>210.88</v>
      </c>
      <c r="D36" s="11" t="s">
        <v>32</v>
      </c>
      <c r="E36" s="94"/>
      <c r="F36" s="94"/>
      <c r="G36" s="101"/>
      <c r="H36" s="101"/>
      <c r="I36" s="94"/>
      <c r="J36" s="94"/>
      <c r="K36" s="11"/>
      <c r="L36" s="11"/>
      <c r="M36" s="11"/>
      <c r="N36" s="11"/>
      <c r="O36" s="11"/>
      <c r="P36" s="11"/>
      <c r="Q36" s="11"/>
      <c r="R36" s="11"/>
      <c r="S36" s="11"/>
      <c r="T36" s="11"/>
      <c r="U36" s="11"/>
      <c r="V36" s="12"/>
    </row>
    <row r="37" spans="1:22" x14ac:dyDescent="0.35">
      <c r="A37" s="178"/>
      <c r="B37" s="11" t="s">
        <v>14</v>
      </c>
      <c r="C37" s="5">
        <v>296.7</v>
      </c>
      <c r="D37" s="11" t="s">
        <v>32</v>
      </c>
      <c r="E37" s="94"/>
      <c r="F37" s="94"/>
      <c r="G37" s="101"/>
      <c r="H37" s="101"/>
      <c r="I37" s="94"/>
      <c r="J37" s="94"/>
      <c r="K37" s="11"/>
      <c r="L37" s="11"/>
      <c r="M37" s="11"/>
      <c r="N37" s="11"/>
      <c r="O37" s="11"/>
      <c r="P37" s="11"/>
      <c r="Q37" s="11"/>
      <c r="R37" s="11"/>
      <c r="S37" s="11"/>
      <c r="T37" s="11"/>
      <c r="U37" s="11"/>
      <c r="V37" s="12"/>
    </row>
    <row r="38" spans="1:22" x14ac:dyDescent="0.35">
      <c r="A38" s="178"/>
      <c r="B38" s="11" t="s">
        <v>15</v>
      </c>
      <c r="C38" s="5">
        <v>301.35000000000002</v>
      </c>
      <c r="D38" s="11" t="s">
        <v>32</v>
      </c>
      <c r="E38" s="94"/>
      <c r="F38" s="94"/>
      <c r="G38" s="101"/>
      <c r="H38" s="101"/>
      <c r="I38" s="94"/>
      <c r="J38" s="94"/>
      <c r="K38" s="11"/>
      <c r="L38" s="11"/>
      <c r="M38" s="11"/>
      <c r="N38" s="11"/>
      <c r="O38" s="11"/>
      <c r="P38" s="11"/>
      <c r="Q38" s="11"/>
      <c r="R38" s="11"/>
      <c r="S38" s="11"/>
      <c r="T38" s="11"/>
      <c r="U38" s="11"/>
      <c r="V38" s="12"/>
    </row>
    <row r="39" spans="1:22" x14ac:dyDescent="0.35">
      <c r="A39" s="178"/>
      <c r="B39" s="11" t="s">
        <v>16</v>
      </c>
      <c r="C39" s="5">
        <v>271.14999999999998</v>
      </c>
      <c r="D39" s="11" t="s">
        <v>32</v>
      </c>
      <c r="E39" s="94"/>
      <c r="F39" s="94"/>
      <c r="G39" s="101"/>
      <c r="H39" s="101"/>
      <c r="I39" s="94"/>
      <c r="J39" s="94"/>
      <c r="K39" s="11"/>
      <c r="L39" s="11"/>
      <c r="M39" s="11"/>
      <c r="N39" s="11"/>
      <c r="O39" s="11"/>
      <c r="P39" s="11"/>
      <c r="Q39" s="11"/>
      <c r="R39" s="11"/>
      <c r="S39" s="11"/>
      <c r="T39" s="11"/>
      <c r="U39" s="11"/>
      <c r="V39" s="12"/>
    </row>
    <row r="40" spans="1:22" x14ac:dyDescent="0.35">
      <c r="A40" s="178"/>
      <c r="B40" s="11" t="s">
        <v>17</v>
      </c>
      <c r="C40" s="5">
        <v>331.9</v>
      </c>
      <c r="D40" s="11" t="s">
        <v>32</v>
      </c>
      <c r="E40" s="94"/>
      <c r="F40" s="94"/>
      <c r="G40" s="101"/>
      <c r="H40" s="101"/>
      <c r="I40" s="94"/>
      <c r="J40" s="94"/>
      <c r="K40" s="11"/>
      <c r="L40" s="11"/>
      <c r="M40" s="11"/>
      <c r="N40" s="11"/>
      <c r="O40" s="11"/>
      <c r="P40" s="11"/>
      <c r="Q40" s="11"/>
      <c r="R40" s="11"/>
      <c r="S40" s="11"/>
      <c r="T40" s="11"/>
      <c r="U40" s="11"/>
      <c r="V40" s="12"/>
    </row>
    <row r="41" spans="1:22" x14ac:dyDescent="0.35">
      <c r="A41" s="178"/>
      <c r="B41" s="11" t="s">
        <v>18</v>
      </c>
      <c r="C41" s="5">
        <v>204.17</v>
      </c>
      <c r="D41" s="11" t="s">
        <v>32</v>
      </c>
      <c r="E41" s="94"/>
      <c r="F41" s="94"/>
      <c r="G41" s="101"/>
      <c r="H41" s="101"/>
      <c r="I41" s="94"/>
      <c r="J41" s="94"/>
      <c r="K41" s="11"/>
      <c r="L41" s="11"/>
      <c r="M41" s="11"/>
      <c r="N41" s="11"/>
      <c r="O41" s="11"/>
      <c r="P41" s="11"/>
      <c r="Q41" s="11"/>
      <c r="R41" s="11"/>
      <c r="S41" s="11"/>
      <c r="T41" s="11"/>
      <c r="U41" s="11"/>
      <c r="V41" s="12"/>
    </row>
    <row r="42" spans="1:22" x14ac:dyDescent="0.35">
      <c r="A42" s="178" t="s">
        <v>23</v>
      </c>
      <c r="B42" s="11" t="s">
        <v>11</v>
      </c>
      <c r="C42" s="5">
        <v>463.2</v>
      </c>
      <c r="D42" s="11" t="s">
        <v>32</v>
      </c>
      <c r="E42" s="94"/>
      <c r="F42" s="94"/>
      <c r="G42" s="101"/>
      <c r="H42" s="101"/>
      <c r="I42" s="94"/>
      <c r="J42" s="94"/>
      <c r="K42" s="11"/>
      <c r="L42" s="11"/>
      <c r="M42" s="11"/>
      <c r="N42" s="11"/>
      <c r="O42" s="11"/>
      <c r="P42" s="11"/>
      <c r="Q42" s="11"/>
      <c r="R42" s="11"/>
      <c r="S42" s="11"/>
      <c r="T42" s="11"/>
      <c r="U42" s="11"/>
      <c r="V42" s="12"/>
    </row>
    <row r="43" spans="1:22" x14ac:dyDescent="0.35">
      <c r="A43" s="178"/>
      <c r="B43" s="11" t="s">
        <v>12</v>
      </c>
      <c r="C43" s="5">
        <v>268.57</v>
      </c>
      <c r="D43" s="11" t="s">
        <v>32</v>
      </c>
      <c r="E43" s="94"/>
      <c r="F43" s="94"/>
      <c r="G43" s="101"/>
      <c r="H43" s="101"/>
      <c r="I43" s="94"/>
      <c r="J43" s="94"/>
      <c r="K43" s="11"/>
      <c r="L43" s="11"/>
      <c r="M43" s="11"/>
      <c r="N43" s="11"/>
      <c r="O43" s="11"/>
      <c r="P43" s="11"/>
      <c r="Q43" s="11"/>
      <c r="R43" s="11"/>
      <c r="S43" s="11"/>
      <c r="T43" s="11"/>
      <c r="U43" s="11"/>
      <c r="V43" s="12"/>
    </row>
    <row r="44" spans="1:22" x14ac:dyDescent="0.35">
      <c r="A44" s="178"/>
      <c r="B44" s="11" t="s">
        <v>13</v>
      </c>
      <c r="C44" s="5">
        <v>383.19</v>
      </c>
      <c r="D44" s="11" t="s">
        <v>32</v>
      </c>
      <c r="E44" s="94"/>
      <c r="F44" s="94"/>
      <c r="G44" s="101"/>
      <c r="H44" s="101"/>
      <c r="I44" s="94"/>
      <c r="J44" s="94"/>
      <c r="K44" s="11"/>
      <c r="L44" s="11"/>
      <c r="M44" s="11"/>
      <c r="N44" s="11"/>
      <c r="O44" s="11"/>
      <c r="P44" s="11"/>
      <c r="Q44" s="11"/>
      <c r="R44" s="11"/>
      <c r="S44" s="11"/>
      <c r="T44" s="11"/>
      <c r="U44" s="11"/>
      <c r="V44" s="12"/>
    </row>
    <row r="45" spans="1:22" x14ac:dyDescent="0.35">
      <c r="A45" s="178"/>
      <c r="B45" s="11" t="s">
        <v>14</v>
      </c>
      <c r="C45" s="5">
        <v>430.04</v>
      </c>
      <c r="D45" s="11" t="s">
        <v>32</v>
      </c>
      <c r="E45" s="94"/>
      <c r="F45" s="94"/>
      <c r="G45" s="101"/>
      <c r="H45" s="101"/>
      <c r="I45" s="94"/>
      <c r="J45" s="94"/>
      <c r="K45" s="11"/>
      <c r="L45" s="11"/>
      <c r="M45" s="11"/>
      <c r="N45" s="11"/>
      <c r="O45" s="11"/>
      <c r="P45" s="11"/>
      <c r="Q45" s="11"/>
      <c r="R45" s="11"/>
      <c r="S45" s="11"/>
      <c r="T45" s="11"/>
      <c r="U45" s="11"/>
      <c r="V45" s="12"/>
    </row>
    <row r="46" spans="1:22" ht="15" thickBot="1" x14ac:dyDescent="0.4">
      <c r="A46" s="179"/>
      <c r="B46" s="64" t="s">
        <v>15</v>
      </c>
      <c r="C46" s="63">
        <v>487.43</v>
      </c>
      <c r="D46" s="64" t="s">
        <v>32</v>
      </c>
      <c r="E46" s="109"/>
      <c r="F46" s="109"/>
      <c r="G46" s="102"/>
      <c r="H46" s="102"/>
      <c r="I46" s="109"/>
      <c r="J46" s="109"/>
      <c r="K46" s="64"/>
      <c r="L46" s="64"/>
      <c r="M46" s="64"/>
      <c r="N46" s="64"/>
      <c r="O46" s="64"/>
      <c r="P46" s="64"/>
      <c r="Q46" s="64"/>
      <c r="R46" s="64"/>
      <c r="S46" s="64"/>
      <c r="T46" s="64"/>
      <c r="U46" s="64"/>
      <c r="V46" s="128"/>
    </row>
    <row r="47" spans="1:22" x14ac:dyDescent="0.35">
      <c r="A47" s="89" t="s">
        <v>27</v>
      </c>
      <c r="B47" s="13" t="s">
        <v>27</v>
      </c>
      <c r="C47" s="7">
        <v>664</v>
      </c>
      <c r="D47" s="13" t="s">
        <v>32</v>
      </c>
      <c r="E47" s="108"/>
      <c r="F47" s="97"/>
      <c r="G47" s="106"/>
      <c r="H47" s="106"/>
      <c r="I47" s="97"/>
      <c r="J47" s="97"/>
      <c r="K47" s="90"/>
      <c r="L47" s="90"/>
      <c r="M47" s="90"/>
      <c r="N47" s="90"/>
      <c r="O47" s="90"/>
      <c r="P47" s="90"/>
      <c r="Q47" s="90"/>
      <c r="R47" s="90"/>
      <c r="S47" s="90"/>
      <c r="T47" s="90"/>
      <c r="U47" s="90"/>
      <c r="V47" s="91"/>
    </row>
    <row r="48" spans="1:22" x14ac:dyDescent="0.35">
      <c r="A48" s="120" t="s">
        <v>28</v>
      </c>
      <c r="B48" s="11" t="s">
        <v>28</v>
      </c>
      <c r="C48" s="8">
        <v>2220</v>
      </c>
      <c r="D48" s="11" t="s">
        <v>32</v>
      </c>
      <c r="E48" s="94"/>
      <c r="F48" s="117"/>
      <c r="G48" s="118"/>
      <c r="H48" s="118"/>
      <c r="I48" s="117"/>
      <c r="J48" s="117"/>
      <c r="K48" s="119"/>
      <c r="L48" s="119"/>
      <c r="M48" s="119"/>
      <c r="N48" s="119"/>
      <c r="O48" s="119"/>
      <c r="P48" s="119"/>
      <c r="Q48" s="119"/>
      <c r="R48" s="119"/>
      <c r="S48" s="119"/>
      <c r="T48" s="119"/>
      <c r="U48" s="119"/>
      <c r="V48" s="121"/>
    </row>
    <row r="49" spans="1:22" s="85" customFormat="1" ht="15" thickBot="1" x14ac:dyDescent="0.4">
      <c r="A49" s="122" t="s">
        <v>35</v>
      </c>
      <c r="B49" s="123" t="s">
        <v>29</v>
      </c>
      <c r="C49" s="124">
        <v>4087</v>
      </c>
      <c r="D49" s="123" t="s">
        <v>33</v>
      </c>
      <c r="E49" s="125"/>
      <c r="F49" s="125"/>
      <c r="G49" s="126"/>
      <c r="H49" s="126"/>
      <c r="I49" s="125"/>
      <c r="J49" s="125"/>
      <c r="K49" s="123"/>
      <c r="L49" s="123"/>
      <c r="M49" s="123"/>
      <c r="N49" s="123"/>
      <c r="O49" s="123"/>
      <c r="P49" s="123"/>
      <c r="Q49" s="123"/>
      <c r="R49" s="123"/>
      <c r="S49" s="123"/>
      <c r="T49" s="123"/>
      <c r="U49" s="123"/>
      <c r="V49" s="127"/>
    </row>
    <row r="50" spans="1:22" s="81" customFormat="1" ht="15" thickBot="1" x14ac:dyDescent="0.4">
      <c r="A50" s="190" t="s">
        <v>118</v>
      </c>
      <c r="B50" s="191"/>
      <c r="C50" s="129">
        <f>SUM(C27:C49)</f>
        <v>12554.81</v>
      </c>
      <c r="D50" s="78" t="s">
        <v>32</v>
      </c>
      <c r="E50" s="93"/>
      <c r="F50" s="93">
        <f>C50*0.001*1.3*1200</f>
        <v>19585.5036</v>
      </c>
      <c r="G50" s="103"/>
      <c r="H50" s="103"/>
      <c r="I50" s="93"/>
      <c r="J50" s="93"/>
      <c r="K50" s="78">
        <f>K27*$J$27+K28*$J$28+K29*$J$29+K30*$J$30+K31*$J$31+K32*$J$32+K33*$J$33+K34*$J$34</f>
        <v>69070.233549376295</v>
      </c>
      <c r="L50" s="78">
        <f t="shared" ref="L50:V50" si="11">L27*$J$27+L28*$J$28+L29*$J$29+L30*$J$30+L31*$J$31+L32*$J$32+L33*$J$33+L34*$J$34</f>
        <v>87751.50044395357</v>
      </c>
      <c r="M50" s="78">
        <f t="shared" si="11"/>
        <v>139126.39837858628</v>
      </c>
      <c r="N50" s="78">
        <f t="shared" si="11"/>
        <v>137246.49065315316</v>
      </c>
      <c r="O50" s="78">
        <f t="shared" si="11"/>
        <v>146264.31163539502</v>
      </c>
      <c r="P50" s="78">
        <f t="shared" si="11"/>
        <v>165832.8204494456</v>
      </c>
      <c r="Q50" s="78">
        <f t="shared" si="11"/>
        <v>142972.1900549203</v>
      </c>
      <c r="R50" s="78">
        <f t="shared" si="11"/>
        <v>140538.61223362788</v>
      </c>
      <c r="S50" s="78">
        <f t="shared" si="11"/>
        <v>142972.1900549203</v>
      </c>
      <c r="T50" s="78">
        <f t="shared" si="11"/>
        <v>105574.22357934859</v>
      </c>
      <c r="U50" s="78">
        <f t="shared" si="11"/>
        <v>116134.36250930354</v>
      </c>
      <c r="V50" s="78">
        <f t="shared" si="11"/>
        <v>63344.534147609149</v>
      </c>
    </row>
    <row r="51" spans="1:22" x14ac:dyDescent="0.35">
      <c r="A51" s="181" t="s">
        <v>10</v>
      </c>
      <c r="B51" s="66" t="s">
        <v>19</v>
      </c>
      <c r="C51" s="67">
        <f>8336+437-24-11-17-30-5-23-40-20-8-31-17-8</f>
        <v>8539</v>
      </c>
      <c r="D51" s="66" t="s">
        <v>34</v>
      </c>
      <c r="E51" s="108" t="s">
        <v>125</v>
      </c>
      <c r="F51" s="108" t="s">
        <v>131</v>
      </c>
      <c r="G51" s="100"/>
      <c r="H51" s="100"/>
      <c r="I51" s="108">
        <f>40*15</f>
        <v>600</v>
      </c>
      <c r="J51" s="100">
        <f>I51+H51</f>
        <v>600</v>
      </c>
      <c r="K51" s="66">
        <v>1</v>
      </c>
      <c r="L51" s="66">
        <v>1</v>
      </c>
      <c r="M51" s="66">
        <v>1</v>
      </c>
      <c r="N51" s="66">
        <v>1</v>
      </c>
      <c r="O51" s="66">
        <v>1</v>
      </c>
      <c r="P51" s="66">
        <v>1</v>
      </c>
      <c r="Q51" s="66">
        <v>1</v>
      </c>
      <c r="R51" s="66">
        <v>1</v>
      </c>
      <c r="S51" s="66">
        <v>1</v>
      </c>
      <c r="T51" s="66">
        <v>1</v>
      </c>
      <c r="U51" s="66">
        <v>1</v>
      </c>
      <c r="V51" s="69">
        <v>1</v>
      </c>
    </row>
    <row r="52" spans="1:22" x14ac:dyDescent="0.35">
      <c r="A52" s="182"/>
      <c r="B52" s="15" t="s">
        <v>26</v>
      </c>
      <c r="C52" s="6">
        <f>143+166+155+84+70+105+75</f>
        <v>798</v>
      </c>
      <c r="D52" s="15" t="s">
        <v>34</v>
      </c>
      <c r="E52" s="94" t="s">
        <v>126</v>
      </c>
      <c r="F52" s="94" t="s">
        <v>132</v>
      </c>
      <c r="G52" s="101"/>
      <c r="H52" s="101"/>
      <c r="I52" s="94"/>
      <c r="J52" s="94"/>
      <c r="K52" s="15"/>
      <c r="L52" s="15"/>
      <c r="M52" s="15">
        <v>1</v>
      </c>
      <c r="N52" s="15"/>
      <c r="O52" s="15"/>
      <c r="P52" s="15">
        <v>1</v>
      </c>
      <c r="Q52" s="15"/>
      <c r="R52" s="15"/>
      <c r="S52" s="15">
        <v>1</v>
      </c>
      <c r="T52" s="15"/>
      <c r="U52" s="15"/>
      <c r="V52" s="16">
        <v>1</v>
      </c>
    </row>
    <row r="53" spans="1:22" x14ac:dyDescent="0.35">
      <c r="A53" s="70" t="s">
        <v>21</v>
      </c>
      <c r="B53" s="15" t="s">
        <v>20</v>
      </c>
      <c r="C53" s="6">
        <v>937</v>
      </c>
      <c r="D53" s="15" t="s">
        <v>34</v>
      </c>
      <c r="E53" s="94"/>
      <c r="F53" s="94"/>
      <c r="G53" s="101"/>
      <c r="H53" s="101"/>
      <c r="I53" s="94"/>
      <c r="J53" s="94"/>
      <c r="K53" s="15"/>
      <c r="L53" s="15"/>
      <c r="M53" s="15"/>
      <c r="N53" s="15"/>
      <c r="O53" s="15"/>
      <c r="P53" s="15"/>
      <c r="Q53" s="15"/>
      <c r="R53" s="15"/>
      <c r="S53" s="15"/>
      <c r="T53" s="15"/>
      <c r="U53" s="15"/>
      <c r="V53" s="16"/>
    </row>
    <row r="54" spans="1:22" ht="15" thickBot="1" x14ac:dyDescent="0.4">
      <c r="A54" s="71" t="s">
        <v>23</v>
      </c>
      <c r="B54" s="17" t="s">
        <v>20</v>
      </c>
      <c r="C54" s="68">
        <v>755</v>
      </c>
      <c r="D54" s="17" t="s">
        <v>34</v>
      </c>
      <c r="E54" s="109"/>
      <c r="F54" s="109"/>
      <c r="G54" s="102"/>
      <c r="H54" s="102"/>
      <c r="I54" s="109"/>
      <c r="J54" s="109"/>
      <c r="K54" s="17"/>
      <c r="L54" s="17"/>
      <c r="M54" s="17"/>
      <c r="N54" s="17"/>
      <c r="O54" s="17"/>
      <c r="P54" s="17"/>
      <c r="Q54" s="17"/>
      <c r="R54" s="17"/>
      <c r="S54" s="17"/>
      <c r="T54" s="17"/>
      <c r="U54" s="17"/>
      <c r="V54" s="18"/>
    </row>
    <row r="55" spans="1:22" s="81" customFormat="1" ht="15" thickBot="1" x14ac:dyDescent="0.4">
      <c r="A55" s="174" t="s">
        <v>121</v>
      </c>
      <c r="B55" s="175"/>
      <c r="C55" s="79">
        <f>SUM(C51:C54)</f>
        <v>11029</v>
      </c>
      <c r="D55" s="80"/>
      <c r="E55" s="93"/>
      <c r="F55" s="93"/>
      <c r="G55" s="103"/>
      <c r="H55" s="103"/>
      <c r="I55" s="93"/>
      <c r="J55" s="93"/>
      <c r="K55" s="80">
        <f>K51*$J$51+K52*$J$52+K53*$J$53+K54*$J$54</f>
        <v>600</v>
      </c>
      <c r="L55" s="80">
        <f t="shared" ref="L55:V55" si="12">L51*$J$51+L52*$J$52+L53*$J$53+L54*$J$54</f>
        <v>600</v>
      </c>
      <c r="M55" s="80">
        <f t="shared" si="12"/>
        <v>600</v>
      </c>
      <c r="N55" s="80">
        <f t="shared" si="12"/>
        <v>600</v>
      </c>
      <c r="O55" s="80">
        <f t="shared" si="12"/>
        <v>600</v>
      </c>
      <c r="P55" s="80">
        <f t="shared" si="12"/>
        <v>600</v>
      </c>
      <c r="Q55" s="80">
        <f t="shared" si="12"/>
        <v>600</v>
      </c>
      <c r="R55" s="80">
        <f t="shared" si="12"/>
        <v>600</v>
      </c>
      <c r="S55" s="80">
        <f t="shared" si="12"/>
        <v>600</v>
      </c>
      <c r="T55" s="80">
        <f t="shared" si="12"/>
        <v>600</v>
      </c>
      <c r="U55" s="80">
        <f t="shared" si="12"/>
        <v>600</v>
      </c>
      <c r="V55" s="80">
        <f t="shared" si="12"/>
        <v>600</v>
      </c>
    </row>
  </sheetData>
  <mergeCells count="14">
    <mergeCell ref="A1:D1"/>
    <mergeCell ref="K1:V1"/>
    <mergeCell ref="A22:B22"/>
    <mergeCell ref="A13:B13"/>
    <mergeCell ref="A50:B50"/>
    <mergeCell ref="A3:A5"/>
    <mergeCell ref="A6:A8"/>
    <mergeCell ref="A9:A12"/>
    <mergeCell ref="A34:A41"/>
    <mergeCell ref="A55:B55"/>
    <mergeCell ref="A26:B26"/>
    <mergeCell ref="A42:A46"/>
    <mergeCell ref="A27:A33"/>
    <mergeCell ref="A51:A52"/>
  </mergeCells>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3789A-7C2D-47B9-B8B1-CFDA4F3D5E4E}">
  <dimension ref="A3:B47"/>
  <sheetViews>
    <sheetView topLeftCell="A28" workbookViewId="0">
      <selection activeCell="B39" sqref="B39"/>
    </sheetView>
  </sheetViews>
  <sheetFormatPr defaultRowHeight="14.5" x14ac:dyDescent="0.35"/>
  <cols>
    <col min="1" max="1" width="12.36328125" bestFit="1" customWidth="1"/>
    <col min="2" max="2" width="10.08984375" bestFit="1" customWidth="1"/>
  </cols>
  <sheetData>
    <row r="3" spans="1:2" x14ac:dyDescent="0.35">
      <c r="A3" s="153" t="s">
        <v>271</v>
      </c>
      <c r="B3" t="s">
        <v>280</v>
      </c>
    </row>
    <row r="4" spans="1:2" x14ac:dyDescent="0.35">
      <c r="A4" s="154" t="s">
        <v>292</v>
      </c>
      <c r="B4" s="167">
        <v>81955.433180243097</v>
      </c>
    </row>
    <row r="5" spans="1:2" x14ac:dyDescent="0.35">
      <c r="A5" s="154" t="s">
        <v>293</v>
      </c>
      <c r="B5" s="167">
        <v>149280.32482674232</v>
      </c>
    </row>
    <row r="6" spans="1:2" x14ac:dyDescent="0.35">
      <c r="A6" s="154" t="s">
        <v>294</v>
      </c>
      <c r="B6" s="167">
        <v>197888.87041165604</v>
      </c>
    </row>
    <row r="7" spans="1:2" x14ac:dyDescent="0.35">
      <c r="A7" s="154" t="s">
        <v>295</v>
      </c>
      <c r="B7" s="167">
        <v>199488.13665583951</v>
      </c>
    </row>
    <row r="8" spans="1:2" x14ac:dyDescent="0.35">
      <c r="A8" s="154" t="s">
        <v>296</v>
      </c>
      <c r="B8" s="167">
        <v>168685.86614130266</v>
      </c>
    </row>
    <row r="9" spans="1:2" x14ac:dyDescent="0.35">
      <c r="A9" s="154" t="s">
        <v>297</v>
      </c>
      <c r="B9" s="167">
        <v>238491.99970727519</v>
      </c>
    </row>
    <row r="10" spans="1:2" x14ac:dyDescent="0.35">
      <c r="A10" s="154" t="s">
        <v>298</v>
      </c>
      <c r="B10" s="167">
        <v>173578.45632109811</v>
      </c>
    </row>
    <row r="11" spans="1:2" x14ac:dyDescent="0.35">
      <c r="A11" s="154" t="s">
        <v>299</v>
      </c>
      <c r="B11" s="167">
        <v>162960.16673953552</v>
      </c>
    </row>
    <row r="12" spans="1:2" x14ac:dyDescent="0.35">
      <c r="A12" s="154" t="s">
        <v>300</v>
      </c>
      <c r="B12" s="167">
        <v>207814.35439256477</v>
      </c>
    </row>
    <row r="13" spans="1:2" x14ac:dyDescent="0.35">
      <c r="A13" s="154" t="s">
        <v>301</v>
      </c>
      <c r="B13" s="167">
        <v>231360.1465908736</v>
      </c>
    </row>
    <row r="14" spans="1:2" x14ac:dyDescent="0.35">
      <c r="A14" s="154" t="s">
        <v>302</v>
      </c>
      <c r="B14" s="167">
        <v>130910.55682303829</v>
      </c>
    </row>
    <row r="15" spans="1:2" x14ac:dyDescent="0.35">
      <c r="A15" s="154" t="s">
        <v>303</v>
      </c>
      <c r="B15" s="167">
        <v>86008.445538746106</v>
      </c>
    </row>
    <row r="16" spans="1:2" x14ac:dyDescent="0.35">
      <c r="A16" s="154" t="s">
        <v>272</v>
      </c>
      <c r="B16" s="155">
        <v>2028422.7573289154</v>
      </c>
    </row>
    <row r="19" spans="1:2" x14ac:dyDescent="0.35">
      <c r="A19" s="153" t="s">
        <v>271</v>
      </c>
      <c r="B19" t="s">
        <v>306</v>
      </c>
    </row>
    <row r="20" spans="1:2" x14ac:dyDescent="0.35">
      <c r="A20" s="154" t="s">
        <v>161</v>
      </c>
      <c r="B20" s="142">
        <v>11029</v>
      </c>
    </row>
    <row r="21" spans="1:2" x14ac:dyDescent="0.35">
      <c r="A21" s="154" t="s">
        <v>158</v>
      </c>
      <c r="B21" s="142">
        <v>4613.3028000000004</v>
      </c>
    </row>
    <row r="22" spans="1:2" x14ac:dyDescent="0.35">
      <c r="A22" s="154" t="s">
        <v>31</v>
      </c>
      <c r="B22" s="142">
        <v>27700.314600000002</v>
      </c>
    </row>
    <row r="23" spans="1:2" x14ac:dyDescent="0.35">
      <c r="A23" s="154" t="s">
        <v>160</v>
      </c>
      <c r="B23" s="142">
        <v>12554.81</v>
      </c>
    </row>
    <row r="24" spans="1:2" x14ac:dyDescent="0.35">
      <c r="A24" s="154" t="s">
        <v>124</v>
      </c>
      <c r="B24" s="142">
        <v>11560</v>
      </c>
    </row>
    <row r="25" spans="1:2" x14ac:dyDescent="0.35">
      <c r="A25" s="154" t="s">
        <v>272</v>
      </c>
      <c r="B25" s="142">
        <v>67457.4274</v>
      </c>
    </row>
    <row r="27" spans="1:2" x14ac:dyDescent="0.35">
      <c r="A27" s="153" t="s">
        <v>271</v>
      </c>
      <c r="B27" t="s">
        <v>280</v>
      </c>
    </row>
    <row r="28" spans="1:2" x14ac:dyDescent="0.35">
      <c r="A28" s="154" t="s">
        <v>161</v>
      </c>
      <c r="B28" s="167">
        <v>13576</v>
      </c>
    </row>
    <row r="29" spans="1:2" x14ac:dyDescent="0.35">
      <c r="A29" s="154" t="s">
        <v>124</v>
      </c>
      <c r="B29" s="167">
        <v>29502.076923076929</v>
      </c>
    </row>
    <row r="30" spans="1:2" x14ac:dyDescent="0.35">
      <c r="A30" s="154" t="s">
        <v>158</v>
      </c>
      <c r="B30" s="167">
        <v>197995.31227783035</v>
      </c>
    </row>
    <row r="31" spans="1:2" x14ac:dyDescent="0.35">
      <c r="A31" s="154" t="s">
        <v>31</v>
      </c>
      <c r="B31" s="167">
        <v>330521.5004383683</v>
      </c>
    </row>
    <row r="32" spans="1:2" x14ac:dyDescent="0.35">
      <c r="A32" s="154" t="s">
        <v>160</v>
      </c>
      <c r="B32" s="167">
        <v>1456827.8676896396</v>
      </c>
    </row>
    <row r="33" spans="1:2" x14ac:dyDescent="0.35">
      <c r="A33" s="154" t="s">
        <v>272</v>
      </c>
      <c r="B33" s="167">
        <v>2028422.7573289152</v>
      </c>
    </row>
    <row r="35" spans="1:2" x14ac:dyDescent="0.35">
      <c r="A35" s="153" t="s">
        <v>271</v>
      </c>
      <c r="B35" t="s">
        <v>275</v>
      </c>
    </row>
    <row r="36" spans="1:2" x14ac:dyDescent="0.35">
      <c r="A36" s="154" t="s">
        <v>285</v>
      </c>
      <c r="B36" s="155">
        <v>467</v>
      </c>
    </row>
    <row r="37" spans="1:2" x14ac:dyDescent="0.35">
      <c r="A37" s="154" t="s">
        <v>286</v>
      </c>
      <c r="B37" s="155">
        <v>15</v>
      </c>
    </row>
    <row r="38" spans="1:2" x14ac:dyDescent="0.35">
      <c r="A38" s="154" t="s">
        <v>289</v>
      </c>
      <c r="B38" s="155">
        <v>12</v>
      </c>
    </row>
    <row r="39" spans="1:2" x14ac:dyDescent="0.35">
      <c r="A39" s="154" t="s">
        <v>287</v>
      </c>
      <c r="B39" s="155">
        <v>7</v>
      </c>
    </row>
    <row r="40" spans="1:2" x14ac:dyDescent="0.35">
      <c r="A40" s="154" t="s">
        <v>282</v>
      </c>
      <c r="B40" s="155">
        <v>6</v>
      </c>
    </row>
    <row r="41" spans="1:2" x14ac:dyDescent="0.35">
      <c r="A41" s="154" t="s">
        <v>284</v>
      </c>
      <c r="B41" s="155">
        <v>5</v>
      </c>
    </row>
    <row r="42" spans="1:2" x14ac:dyDescent="0.35">
      <c r="A42" s="154" t="s">
        <v>290</v>
      </c>
      <c r="B42" s="155">
        <v>4</v>
      </c>
    </row>
    <row r="43" spans="1:2" x14ac:dyDescent="0.35">
      <c r="A43" s="154" t="s">
        <v>134</v>
      </c>
      <c r="B43" s="155">
        <v>3</v>
      </c>
    </row>
    <row r="44" spans="1:2" x14ac:dyDescent="0.35">
      <c r="A44" s="154" t="s">
        <v>283</v>
      </c>
      <c r="B44" s="155">
        <v>2</v>
      </c>
    </row>
    <row r="45" spans="1:2" x14ac:dyDescent="0.35">
      <c r="A45" s="154" t="s">
        <v>288</v>
      </c>
      <c r="B45" s="155">
        <v>2</v>
      </c>
    </row>
    <row r="46" spans="1:2" x14ac:dyDescent="0.35">
      <c r="A46" s="154" t="s">
        <v>50</v>
      </c>
      <c r="B46" s="155">
        <v>1</v>
      </c>
    </row>
    <row r="47" spans="1:2" x14ac:dyDescent="0.35">
      <c r="A47" s="154" t="s">
        <v>272</v>
      </c>
      <c r="B47" s="155">
        <v>524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08D1B-DFF8-4895-BFC5-AB63ADE05C8B}">
  <dimension ref="A7:I10"/>
  <sheetViews>
    <sheetView showGridLines="0" zoomScale="80" zoomScaleNormal="80" workbookViewId="0">
      <selection activeCell="T17" sqref="T17"/>
    </sheetView>
  </sheetViews>
  <sheetFormatPr defaultRowHeight="14.5" x14ac:dyDescent="0.35"/>
  <cols>
    <col min="2" max="2" width="13.6328125" customWidth="1"/>
    <col min="4" max="4" width="15.6328125" customWidth="1"/>
    <col min="5" max="5" width="16.1796875" customWidth="1"/>
  </cols>
  <sheetData>
    <row r="7" spans="1:9" ht="14.5" customHeight="1" x14ac:dyDescent="0.35">
      <c r="A7" s="202">
        <f>'Pivot Tables'!B7</f>
        <v>67457.4274</v>
      </c>
      <c r="B7" s="202"/>
      <c r="C7" s="202"/>
      <c r="D7" s="202"/>
      <c r="E7" s="173"/>
    </row>
    <row r="8" spans="1:9" ht="14.5" customHeight="1" x14ac:dyDescent="0.35">
      <c r="A8" s="202"/>
      <c r="B8" s="202"/>
      <c r="C8" s="202"/>
      <c r="D8" s="202"/>
      <c r="E8" s="173"/>
      <c r="F8" s="201">
        <f>+Cout_monthly!B16</f>
        <v>2028422.7573289154</v>
      </c>
      <c r="G8" s="201"/>
      <c r="H8" s="201"/>
      <c r="I8" s="201"/>
    </row>
    <row r="9" spans="1:9" ht="14.5" customHeight="1" x14ac:dyDescent="0.35">
      <c r="A9" s="202"/>
      <c r="B9" s="202"/>
      <c r="C9" s="202"/>
      <c r="D9" s="202"/>
      <c r="E9" s="173"/>
      <c r="F9" s="201"/>
      <c r="G9" s="201"/>
      <c r="H9" s="201"/>
      <c r="I9" s="201"/>
    </row>
    <row r="10" spans="1:9" ht="14.5" customHeight="1" x14ac:dyDescent="0.35">
      <c r="A10" s="202"/>
      <c r="B10" s="202"/>
      <c r="C10" s="202"/>
      <c r="D10" s="202"/>
      <c r="E10" s="173"/>
      <c r="F10" s="201"/>
      <c r="G10" s="201"/>
      <c r="H10" s="201"/>
      <c r="I10" s="201"/>
    </row>
  </sheetData>
  <mergeCells count="2">
    <mergeCell ref="F8:I10"/>
    <mergeCell ref="A7:D10"/>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76"/>
  <sheetViews>
    <sheetView topLeftCell="C25" workbookViewId="0">
      <selection activeCell="I4" sqref="I4:I11"/>
    </sheetView>
  </sheetViews>
  <sheetFormatPr defaultColWidth="10.90625" defaultRowHeight="14.5" x14ac:dyDescent="0.35"/>
  <cols>
    <col min="1" max="1" width="25.1796875" style="3" bestFit="1" customWidth="1"/>
    <col min="2" max="2" width="47.54296875" bestFit="1" customWidth="1"/>
    <col min="3" max="3" width="23.1796875" bestFit="1" customWidth="1"/>
    <col min="4" max="4" width="28.7265625" bestFit="1" customWidth="1"/>
    <col min="5" max="5" width="28.453125" bestFit="1" customWidth="1"/>
    <col min="6" max="6" width="23.453125" bestFit="1" customWidth="1"/>
    <col min="7" max="7" width="20.81640625" bestFit="1" customWidth="1"/>
    <col min="8" max="8" width="18.26953125" bestFit="1" customWidth="1"/>
  </cols>
  <sheetData>
    <row r="2" spans="1:9" x14ac:dyDescent="0.35">
      <c r="A2" s="30" t="s">
        <v>58</v>
      </c>
      <c r="B2" s="30"/>
      <c r="C2" s="30"/>
      <c r="D2" s="30"/>
      <c r="E2" s="30"/>
      <c r="F2" s="30"/>
      <c r="G2" s="30"/>
      <c r="H2" s="30"/>
      <c r="I2" s="30"/>
    </row>
    <row r="3" spans="1:9" ht="15" thickBot="1" x14ac:dyDescent="0.4">
      <c r="A3" s="19" t="s">
        <v>62</v>
      </c>
      <c r="B3" s="19" t="s">
        <v>61</v>
      </c>
      <c r="C3" s="19" t="s">
        <v>60</v>
      </c>
      <c r="D3" s="29" t="s">
        <v>59</v>
      </c>
      <c r="E3" s="29" t="s">
        <v>90</v>
      </c>
      <c r="F3" s="29" t="s">
        <v>88</v>
      </c>
      <c r="G3" s="31" t="s">
        <v>89</v>
      </c>
      <c r="H3" s="29" t="s">
        <v>113</v>
      </c>
      <c r="I3" s="20" t="s">
        <v>114</v>
      </c>
    </row>
    <row r="4" spans="1:9" ht="15" thickBot="1" x14ac:dyDescent="0.4">
      <c r="A4" s="195" t="s">
        <v>108</v>
      </c>
      <c r="B4" s="21" t="s">
        <v>50</v>
      </c>
      <c r="C4" s="21"/>
      <c r="D4" s="21" t="s">
        <v>68</v>
      </c>
      <c r="E4" s="21">
        <v>2</v>
      </c>
      <c r="F4" s="21" t="s">
        <v>91</v>
      </c>
      <c r="G4" s="21">
        <f>5000/26/8*4</f>
        <v>96.15384615384616</v>
      </c>
      <c r="H4" s="21">
        <f>E4*C52+G4*E4</f>
        <v>432.30769230769232</v>
      </c>
      <c r="I4" s="22">
        <f>H4/2220</f>
        <v>0.19473319473319473</v>
      </c>
    </row>
    <row r="5" spans="1:9" ht="15" thickBot="1" x14ac:dyDescent="0.4">
      <c r="A5" s="196"/>
      <c r="B5" s="2" t="s">
        <v>50</v>
      </c>
      <c r="C5" s="2"/>
      <c r="D5" s="2" t="s">
        <v>68</v>
      </c>
      <c r="E5" s="2">
        <v>2</v>
      </c>
      <c r="F5" s="2"/>
      <c r="G5" s="21">
        <f>5000/26/8*1</f>
        <v>24.03846153846154</v>
      </c>
      <c r="H5" s="2">
        <f>E5*C52+G5*E5</f>
        <v>288.07692307692309</v>
      </c>
      <c r="I5" s="22">
        <f t="shared" ref="I5:I12" si="0">H5/2220</f>
        <v>0.12976437976437977</v>
      </c>
    </row>
    <row r="6" spans="1:9" ht="15" thickBot="1" x14ac:dyDescent="0.4">
      <c r="A6" s="196"/>
      <c r="B6" s="2" t="s">
        <v>51</v>
      </c>
      <c r="C6" s="2"/>
      <c r="D6" s="2" t="s">
        <v>102</v>
      </c>
      <c r="E6" s="2">
        <v>1</v>
      </c>
      <c r="F6" s="2"/>
      <c r="G6" s="21">
        <f>5000/26/8*3</f>
        <v>72.115384615384613</v>
      </c>
      <c r="H6" s="2">
        <f>E6*C47+G6*E6</f>
        <v>222.11538461538461</v>
      </c>
      <c r="I6" s="22">
        <f t="shared" si="0"/>
        <v>0.10005197505197505</v>
      </c>
    </row>
    <row r="7" spans="1:9" ht="15" thickBot="1" x14ac:dyDescent="0.4">
      <c r="A7" s="196"/>
      <c r="B7" s="2" t="s">
        <v>52</v>
      </c>
      <c r="C7" s="2"/>
      <c r="D7" s="2" t="s">
        <v>103</v>
      </c>
      <c r="E7" s="2">
        <v>1</v>
      </c>
      <c r="F7" s="2"/>
      <c r="G7" s="21">
        <f>5000/26/8*4</f>
        <v>96.15384615384616</v>
      </c>
      <c r="H7" s="2">
        <f>E7*C46+E7*G7</f>
        <v>236.15384615384616</v>
      </c>
      <c r="I7" s="22">
        <f t="shared" si="0"/>
        <v>0.10637560637560638</v>
      </c>
    </row>
    <row r="8" spans="1:9" ht="15" thickBot="1" x14ac:dyDescent="0.4">
      <c r="A8" s="196"/>
      <c r="B8" s="2" t="s">
        <v>53</v>
      </c>
      <c r="C8" s="2"/>
      <c r="D8" s="2" t="s">
        <v>103</v>
      </c>
      <c r="E8" s="2">
        <v>1</v>
      </c>
      <c r="F8" s="2"/>
      <c r="G8" s="21">
        <f>5000/26/8*4</f>
        <v>96.15384615384616</v>
      </c>
      <c r="H8" s="2">
        <f>E8*C46+E8*G8</f>
        <v>236.15384615384616</v>
      </c>
      <c r="I8" s="22">
        <f t="shared" si="0"/>
        <v>0.10637560637560638</v>
      </c>
    </row>
    <row r="9" spans="1:9" ht="15" thickBot="1" x14ac:dyDescent="0.4">
      <c r="A9" s="196"/>
      <c r="B9" s="2" t="s">
        <v>54</v>
      </c>
      <c r="C9" s="2"/>
      <c r="D9" s="2" t="s">
        <v>78</v>
      </c>
      <c r="E9" s="2">
        <v>1</v>
      </c>
      <c r="F9" s="2"/>
      <c r="G9" s="21">
        <f>5000/26/8*1</f>
        <v>24.03846153846154</v>
      </c>
      <c r="H9" s="2">
        <f>E9*C51+E9*G9</f>
        <v>74.038461538461547</v>
      </c>
      <c r="I9" s="22">
        <f t="shared" si="0"/>
        <v>3.3350658350658355E-2</v>
      </c>
    </row>
    <row r="10" spans="1:9" ht="15" thickBot="1" x14ac:dyDescent="0.4">
      <c r="A10" s="196"/>
      <c r="B10" s="2" t="s">
        <v>55</v>
      </c>
      <c r="C10" s="2"/>
      <c r="D10" s="34" t="s">
        <v>105</v>
      </c>
      <c r="E10" s="2">
        <v>1</v>
      </c>
      <c r="F10" s="2"/>
      <c r="G10" s="21">
        <f>5000/26/8*3</f>
        <v>72.115384615384613</v>
      </c>
      <c r="H10" s="2">
        <f>E10*C55+E10*G10</f>
        <v>84.115384615384613</v>
      </c>
      <c r="I10" s="22">
        <f t="shared" si="0"/>
        <v>3.7889812889812892E-2</v>
      </c>
    </row>
    <row r="11" spans="1:9" ht="15" thickBot="1" x14ac:dyDescent="0.4">
      <c r="A11" s="196"/>
      <c r="B11" s="2" t="s">
        <v>56</v>
      </c>
      <c r="C11" s="2"/>
      <c r="D11" s="2" t="s">
        <v>66</v>
      </c>
      <c r="E11" s="2">
        <v>0.5</v>
      </c>
      <c r="F11" s="2"/>
      <c r="G11" s="21">
        <f>5000/26/8*1</f>
        <v>24.03846153846154</v>
      </c>
      <c r="H11" s="2">
        <f>E11*C50+E11*G11</f>
        <v>87.019230769230774</v>
      </c>
      <c r="I11" s="22">
        <f t="shared" si="0"/>
        <v>3.9197851697851699E-2</v>
      </c>
    </row>
    <row r="12" spans="1:9" ht="15" thickBot="1" x14ac:dyDescent="0.4">
      <c r="A12" s="197"/>
      <c r="B12" s="24" t="s">
        <v>57</v>
      </c>
      <c r="C12" s="24"/>
      <c r="D12" s="24"/>
      <c r="E12" s="24">
        <v>3</v>
      </c>
      <c r="F12" s="24"/>
      <c r="G12" s="21"/>
      <c r="H12" s="24"/>
      <c r="I12" s="22">
        <f t="shared" si="0"/>
        <v>0</v>
      </c>
    </row>
    <row r="13" spans="1:9" x14ac:dyDescent="0.35">
      <c r="A13" s="195" t="s">
        <v>111</v>
      </c>
      <c r="B13" s="21" t="s">
        <v>50</v>
      </c>
      <c r="C13" s="21"/>
      <c r="D13" s="21" t="s">
        <v>68</v>
      </c>
      <c r="E13" s="21"/>
      <c r="F13" s="21"/>
      <c r="G13" s="21"/>
      <c r="H13" s="21"/>
      <c r="I13" s="22"/>
    </row>
    <row r="14" spans="1:9" x14ac:dyDescent="0.35">
      <c r="A14" s="196"/>
      <c r="B14" s="2" t="s">
        <v>50</v>
      </c>
      <c r="C14" s="2"/>
      <c r="D14" s="2" t="s">
        <v>68</v>
      </c>
      <c r="E14" s="2"/>
      <c r="F14" s="2"/>
      <c r="G14" s="2"/>
      <c r="H14" s="2"/>
      <c r="I14" s="23"/>
    </row>
    <row r="15" spans="1:9" x14ac:dyDescent="0.35">
      <c r="A15" s="196"/>
      <c r="B15" s="2" t="s">
        <v>51</v>
      </c>
      <c r="C15" s="2"/>
      <c r="D15" s="2" t="s">
        <v>102</v>
      </c>
      <c r="E15" s="2">
        <v>1</v>
      </c>
      <c r="F15" s="2"/>
      <c r="G15" s="2">
        <f>5000/26/8*3</f>
        <v>72.115384615384613</v>
      </c>
      <c r="H15" s="2">
        <f>E15*C47+G15*E15</f>
        <v>222.11538461538461</v>
      </c>
      <c r="I15" s="23">
        <f>H15/746</f>
        <v>0.29774180243349146</v>
      </c>
    </row>
    <row r="16" spans="1:9" x14ac:dyDescent="0.35">
      <c r="A16" s="196"/>
      <c r="B16" s="2" t="s">
        <v>52</v>
      </c>
      <c r="C16" s="2"/>
      <c r="D16" s="2" t="s">
        <v>103</v>
      </c>
      <c r="E16" s="2">
        <v>1</v>
      </c>
      <c r="F16" s="2"/>
      <c r="G16" s="2">
        <f>5000/26/8*4</f>
        <v>96.15384615384616</v>
      </c>
      <c r="H16" s="2">
        <f>E16*C46+G17*E16</f>
        <v>212.11538461538461</v>
      </c>
      <c r="I16" s="23">
        <f t="shared" ref="I16:I21" si="1">H16/746</f>
        <v>0.28433697669622604</v>
      </c>
    </row>
    <row r="17" spans="1:9" x14ac:dyDescent="0.35">
      <c r="A17" s="196"/>
      <c r="B17" s="2" t="s">
        <v>53</v>
      </c>
      <c r="C17" s="2"/>
      <c r="D17" s="2" t="s">
        <v>103</v>
      </c>
      <c r="E17" s="2">
        <v>1</v>
      </c>
      <c r="F17" s="2"/>
      <c r="G17" s="2">
        <f>5000/26/8*3</f>
        <v>72.115384615384613</v>
      </c>
      <c r="H17" s="2">
        <f>E17*C46+G17*E17</f>
        <v>212.11538461538461</v>
      </c>
      <c r="I17" s="23">
        <f t="shared" si="1"/>
        <v>0.28433697669622604</v>
      </c>
    </row>
    <row r="18" spans="1:9" x14ac:dyDescent="0.35">
      <c r="A18" s="196"/>
      <c r="B18" s="2" t="s">
        <v>54</v>
      </c>
      <c r="C18" s="2"/>
      <c r="D18" s="2" t="s">
        <v>103</v>
      </c>
      <c r="E18" s="2">
        <v>0.5</v>
      </c>
      <c r="F18" s="2"/>
      <c r="G18" s="2">
        <f>5000/26/8*1</f>
        <v>24.03846153846154</v>
      </c>
      <c r="H18" s="2">
        <f>E18*C46+G18*E18</f>
        <v>82.019230769230774</v>
      </c>
      <c r="I18" s="23">
        <f t="shared" si="1"/>
        <v>0.10994534955660962</v>
      </c>
    </row>
    <row r="19" spans="1:9" x14ac:dyDescent="0.35">
      <c r="A19" s="196"/>
      <c r="B19" s="2" t="s">
        <v>55</v>
      </c>
      <c r="C19" s="2"/>
      <c r="D19" s="34" t="s">
        <v>105</v>
      </c>
      <c r="E19" s="2">
        <v>0.5</v>
      </c>
      <c r="F19" s="2"/>
      <c r="G19" s="2">
        <f>5000/26/8*1</f>
        <v>24.03846153846154</v>
      </c>
      <c r="H19" s="2">
        <f>E19*C55+G19*E19</f>
        <v>18.01923076923077</v>
      </c>
      <c r="I19" s="23">
        <f t="shared" si="1"/>
        <v>2.4154464838110953E-2</v>
      </c>
    </row>
    <row r="20" spans="1:9" x14ac:dyDescent="0.35">
      <c r="A20" s="196"/>
      <c r="B20" s="2" t="s">
        <v>56</v>
      </c>
      <c r="C20" s="2"/>
      <c r="D20" s="2" t="s">
        <v>66</v>
      </c>
      <c r="E20" s="2">
        <v>0.25</v>
      </c>
      <c r="F20" s="2"/>
      <c r="G20" s="2">
        <f>5000/26/8*1</f>
        <v>24.03846153846154</v>
      </c>
      <c r="H20" s="2">
        <f>E20*C50+G20*E20</f>
        <v>43.509615384615387</v>
      </c>
      <c r="I20" s="23">
        <f t="shared" si="1"/>
        <v>5.8323881212621165E-2</v>
      </c>
    </row>
    <row r="21" spans="1:9" ht="15" thickBot="1" x14ac:dyDescent="0.4">
      <c r="A21" s="197"/>
      <c r="B21" s="24" t="s">
        <v>57</v>
      </c>
      <c r="C21" s="24"/>
      <c r="D21" s="24" t="s">
        <v>57</v>
      </c>
      <c r="E21" s="24">
        <v>2</v>
      </c>
      <c r="F21" s="24"/>
      <c r="G21" s="24">
        <f>5000/26/8*7</f>
        <v>168.26923076923077</v>
      </c>
      <c r="H21" s="24">
        <f>E21*(G21+G16+G17+G15)+C56*E21</f>
        <v>847.30769230769238</v>
      </c>
      <c r="I21" s="23">
        <f t="shared" si="1"/>
        <v>1.135801196122912</v>
      </c>
    </row>
    <row r="22" spans="1:9" ht="15" thickBot="1" x14ac:dyDescent="0.4">
      <c r="A22" s="195" t="s">
        <v>112</v>
      </c>
      <c r="B22" s="21" t="s">
        <v>50</v>
      </c>
      <c r="C22" s="21"/>
      <c r="D22" s="2" t="s">
        <v>69</v>
      </c>
      <c r="E22" s="21">
        <v>5</v>
      </c>
      <c r="F22" s="21"/>
      <c r="G22" s="21">
        <f>5000/26/8*5</f>
        <v>120.19230769230771</v>
      </c>
      <c r="H22" s="21">
        <f>E22*C54+E22*G22</f>
        <v>1500.9615384615386</v>
      </c>
      <c r="I22" s="22">
        <f>H22/11879</f>
        <v>0.12635419971896106</v>
      </c>
    </row>
    <row r="23" spans="1:9" ht="15" thickBot="1" x14ac:dyDescent="0.4">
      <c r="A23" s="196"/>
      <c r="B23" s="2" t="s">
        <v>50</v>
      </c>
      <c r="C23" s="2"/>
      <c r="D23" s="2" t="s">
        <v>69</v>
      </c>
      <c r="E23" s="2">
        <v>5</v>
      </c>
      <c r="F23" s="2"/>
      <c r="G23" s="21">
        <f>5000/26/8*3</f>
        <v>72.115384615384613</v>
      </c>
      <c r="H23" s="2">
        <f>E23*C54+E23*G23</f>
        <v>1260.5769230769231</v>
      </c>
      <c r="I23" s="22">
        <f t="shared" ref="I23:I29" si="2">H23/11879</f>
        <v>0.10611810110926198</v>
      </c>
    </row>
    <row r="24" spans="1:9" ht="15" thickBot="1" x14ac:dyDescent="0.4">
      <c r="A24" s="196"/>
      <c r="B24" s="2" t="s">
        <v>51</v>
      </c>
      <c r="C24" s="2"/>
      <c r="D24" s="2" t="s">
        <v>109</v>
      </c>
      <c r="E24" s="2">
        <v>2</v>
      </c>
      <c r="F24" s="2"/>
      <c r="G24" s="2">
        <f>5000/26/8*2</f>
        <v>48.07692307692308</v>
      </c>
      <c r="H24" s="2">
        <f>E24*C48+G24*E24</f>
        <v>396.15384615384619</v>
      </c>
      <c r="I24" s="22">
        <f t="shared" si="2"/>
        <v>3.3349090508784089E-2</v>
      </c>
    </row>
    <row r="25" spans="1:9" ht="15" thickBot="1" x14ac:dyDescent="0.4">
      <c r="A25" s="196"/>
      <c r="B25" s="2" t="s">
        <v>52</v>
      </c>
      <c r="C25" s="2"/>
      <c r="D25" s="2" t="s">
        <v>110</v>
      </c>
      <c r="E25" s="2">
        <v>3</v>
      </c>
      <c r="F25" s="2"/>
      <c r="G25" s="2">
        <f>5000/26/8*4</f>
        <v>96.15384615384616</v>
      </c>
      <c r="H25" s="2">
        <f>E25*C53+G25*E25</f>
        <v>678.46153846153845</v>
      </c>
      <c r="I25" s="22">
        <f t="shared" si="2"/>
        <v>5.7114364716014686E-2</v>
      </c>
    </row>
    <row r="26" spans="1:9" ht="15" thickBot="1" x14ac:dyDescent="0.4">
      <c r="A26" s="196"/>
      <c r="B26" s="2" t="s">
        <v>53</v>
      </c>
      <c r="C26" s="2"/>
      <c r="D26" s="2" t="s">
        <v>110</v>
      </c>
      <c r="E26" s="2">
        <v>3</v>
      </c>
      <c r="F26" s="2"/>
      <c r="G26" s="2">
        <f>5000/26/8*3</f>
        <v>72.115384615384613</v>
      </c>
      <c r="H26" s="2">
        <f>E26*C53+G26*E26</f>
        <v>606.34615384615381</v>
      </c>
      <c r="I26" s="22">
        <f t="shared" si="2"/>
        <v>5.1043535133104959E-2</v>
      </c>
    </row>
    <row r="27" spans="1:9" ht="15" thickBot="1" x14ac:dyDescent="0.4">
      <c r="A27" s="196"/>
      <c r="B27" s="2" t="s">
        <v>54</v>
      </c>
      <c r="C27" s="2"/>
      <c r="D27" s="2" t="s">
        <v>97</v>
      </c>
      <c r="E27" s="2">
        <v>2</v>
      </c>
      <c r="F27" s="2"/>
      <c r="G27" s="2">
        <f>5000/26/8*1</f>
        <v>24.03846153846154</v>
      </c>
      <c r="H27" s="2">
        <f>E27*C44+G27*E27</f>
        <v>448.07692307692309</v>
      </c>
      <c r="I27" s="22">
        <f t="shared" si="2"/>
        <v>3.7720087808479089E-2</v>
      </c>
    </row>
    <row r="28" spans="1:9" ht="15" thickBot="1" x14ac:dyDescent="0.4">
      <c r="A28" s="196"/>
      <c r="B28" s="2" t="s">
        <v>55</v>
      </c>
      <c r="C28" s="2"/>
      <c r="D28" s="34" t="s">
        <v>105</v>
      </c>
      <c r="E28" s="2">
        <v>2</v>
      </c>
      <c r="F28" s="2"/>
      <c r="G28" s="2">
        <f>5000/26/8*1</f>
        <v>24.03846153846154</v>
      </c>
      <c r="H28" s="2">
        <f>E28*C55+G28*E28</f>
        <v>72.07692307692308</v>
      </c>
      <c r="I28" s="22">
        <f t="shared" si="2"/>
        <v>6.0675918071321725E-3</v>
      </c>
    </row>
    <row r="29" spans="1:9" x14ac:dyDescent="0.35">
      <c r="A29" s="196"/>
      <c r="B29" s="2" t="s">
        <v>56</v>
      </c>
      <c r="C29" s="2"/>
      <c r="D29" s="2" t="s">
        <v>66</v>
      </c>
      <c r="E29" s="2">
        <v>0.5</v>
      </c>
      <c r="F29" s="2"/>
      <c r="G29" s="2">
        <f>5000/26/8*1</f>
        <v>24.03846153846154</v>
      </c>
      <c r="H29" s="2">
        <f>E29*C50+G29*E29</f>
        <v>87.019230769230774</v>
      </c>
      <c r="I29" s="22">
        <f t="shared" si="2"/>
        <v>7.3254676967110677E-3</v>
      </c>
    </row>
    <row r="30" spans="1:9" ht="15" thickBot="1" x14ac:dyDescent="0.4">
      <c r="A30" s="197"/>
      <c r="B30" s="24" t="s">
        <v>57</v>
      </c>
      <c r="C30" s="24"/>
      <c r="D30" s="24"/>
      <c r="E30" s="24"/>
      <c r="F30" s="24"/>
      <c r="G30" s="24"/>
      <c r="H30" s="24"/>
      <c r="I30" s="25"/>
    </row>
    <row r="31" spans="1:9" x14ac:dyDescent="0.35">
      <c r="A31" s="195" t="s">
        <v>122</v>
      </c>
      <c r="B31" s="21" t="s">
        <v>50</v>
      </c>
      <c r="C31" s="21"/>
      <c r="D31" s="2" t="s">
        <v>69</v>
      </c>
      <c r="E31" s="21">
        <v>6</v>
      </c>
      <c r="F31" s="21"/>
      <c r="G31" s="21"/>
      <c r="H31" s="21"/>
      <c r="I31" s="22"/>
    </row>
    <row r="32" spans="1:9" x14ac:dyDescent="0.35">
      <c r="A32" s="196"/>
      <c r="B32" s="2" t="s">
        <v>50</v>
      </c>
      <c r="C32" s="2"/>
      <c r="D32" s="2" t="s">
        <v>69</v>
      </c>
      <c r="E32" s="2">
        <v>6</v>
      </c>
      <c r="F32" s="2"/>
      <c r="G32" s="2">
        <f>5000/26/8*2</f>
        <v>48.07692307692308</v>
      </c>
      <c r="H32" s="2">
        <f>E32*C48+G32*E32</f>
        <v>1188.4615384615386</v>
      </c>
      <c r="I32" s="23">
        <f>H32/11560</f>
        <v>0.10280809156241683</v>
      </c>
    </row>
    <row r="33" spans="1:9" x14ac:dyDescent="0.35">
      <c r="A33" s="196"/>
      <c r="B33" s="2" t="s">
        <v>51</v>
      </c>
      <c r="C33" s="2"/>
      <c r="D33" s="2" t="s">
        <v>109</v>
      </c>
      <c r="E33" s="2">
        <v>3</v>
      </c>
      <c r="F33" s="2"/>
      <c r="G33" s="2"/>
      <c r="H33" s="2"/>
      <c r="I33" s="23">
        <f t="shared" ref="I33:I37" si="3">H33/11560</f>
        <v>0</v>
      </c>
    </row>
    <row r="34" spans="1:9" x14ac:dyDescent="0.35">
      <c r="A34" s="196"/>
      <c r="B34" s="2" t="s">
        <v>52</v>
      </c>
      <c r="C34" s="2"/>
      <c r="D34" s="2" t="s">
        <v>110</v>
      </c>
      <c r="E34" s="2"/>
      <c r="F34" s="2"/>
      <c r="G34" s="2"/>
      <c r="H34" s="2"/>
      <c r="I34" s="23">
        <f t="shared" si="3"/>
        <v>0</v>
      </c>
    </row>
    <row r="35" spans="1:9" x14ac:dyDescent="0.35">
      <c r="A35" s="196"/>
      <c r="B35" s="2" t="s">
        <v>53</v>
      </c>
      <c r="C35" s="2"/>
      <c r="D35" s="2" t="s">
        <v>110</v>
      </c>
      <c r="E35" s="2"/>
      <c r="F35" s="2"/>
      <c r="G35" s="2"/>
      <c r="H35" s="2"/>
      <c r="I35" s="23">
        <f t="shared" si="3"/>
        <v>0</v>
      </c>
    </row>
    <row r="36" spans="1:9" x14ac:dyDescent="0.35">
      <c r="A36" s="196"/>
      <c r="B36" s="2" t="s">
        <v>54</v>
      </c>
      <c r="C36" s="2"/>
      <c r="D36" s="2" t="s">
        <v>98</v>
      </c>
      <c r="E36" s="2">
        <v>2</v>
      </c>
      <c r="F36" s="2"/>
      <c r="G36" s="2">
        <f>5000/26/8*1</f>
        <v>24.03846153846154</v>
      </c>
      <c r="H36" s="2">
        <f>E36*(G36+C43)</f>
        <v>448.07692307692309</v>
      </c>
      <c r="I36" s="23">
        <f t="shared" si="3"/>
        <v>3.8760979504924145E-2</v>
      </c>
    </row>
    <row r="37" spans="1:9" x14ac:dyDescent="0.35">
      <c r="A37" s="196"/>
      <c r="B37" s="2" t="s">
        <v>55</v>
      </c>
      <c r="C37" s="2"/>
      <c r="D37" s="34" t="s">
        <v>105</v>
      </c>
      <c r="E37" s="2">
        <v>1</v>
      </c>
      <c r="F37" s="2"/>
      <c r="G37" s="2">
        <f>5000/26/8*1</f>
        <v>24.03846153846154</v>
      </c>
      <c r="H37" s="2">
        <f>E37*(G37+C55)</f>
        <v>36.03846153846154</v>
      </c>
      <c r="I37" s="23">
        <f t="shared" si="3"/>
        <v>3.1175139739153582E-3</v>
      </c>
    </row>
    <row r="38" spans="1:9" x14ac:dyDescent="0.35">
      <c r="A38" s="196"/>
      <c r="B38" s="2" t="s">
        <v>56</v>
      </c>
      <c r="C38" s="2"/>
      <c r="D38" s="2" t="s">
        <v>66</v>
      </c>
      <c r="E38" s="2"/>
      <c r="F38" s="2"/>
      <c r="G38" s="2"/>
      <c r="H38" s="2"/>
      <c r="I38" s="23"/>
    </row>
    <row r="39" spans="1:9" ht="15" thickBot="1" x14ac:dyDescent="0.4">
      <c r="A39" s="197"/>
      <c r="B39" s="24" t="s">
        <v>57</v>
      </c>
      <c r="C39" s="24"/>
      <c r="D39" s="24"/>
      <c r="E39" s="24"/>
      <c r="F39" s="24"/>
      <c r="G39" s="24"/>
      <c r="H39" s="24"/>
      <c r="I39" s="25"/>
    </row>
    <row r="42" spans="1:9" ht="15.5" x14ac:dyDescent="0.35">
      <c r="A42" s="26" t="s">
        <v>82</v>
      </c>
      <c r="B42" s="26" t="s">
        <v>63</v>
      </c>
      <c r="C42" s="26" t="s">
        <v>64</v>
      </c>
      <c r="D42" s="26" t="s">
        <v>81</v>
      </c>
    </row>
    <row r="43" spans="1:9" x14ac:dyDescent="0.35">
      <c r="A43" s="27">
        <v>800000</v>
      </c>
      <c r="B43" s="2" t="s">
        <v>98</v>
      </c>
      <c r="C43" s="2">
        <v>200</v>
      </c>
      <c r="D43" s="2" t="s">
        <v>79</v>
      </c>
      <c r="E43" s="38"/>
      <c r="F43">
        <f>20/5*12</f>
        <v>48</v>
      </c>
    </row>
    <row r="44" spans="1:9" x14ac:dyDescent="0.35">
      <c r="A44" s="27">
        <v>850000</v>
      </c>
      <c r="B44" s="2" t="s">
        <v>97</v>
      </c>
      <c r="C44" s="2">
        <v>200</v>
      </c>
      <c r="D44" s="2" t="s">
        <v>79</v>
      </c>
    </row>
    <row r="45" spans="1:9" x14ac:dyDescent="0.35">
      <c r="A45" s="27">
        <v>450000</v>
      </c>
      <c r="B45" s="2" t="s">
        <v>99</v>
      </c>
      <c r="C45" s="2">
        <v>140</v>
      </c>
      <c r="D45" s="2" t="s">
        <v>79</v>
      </c>
    </row>
    <row r="46" spans="1:9" x14ac:dyDescent="0.35">
      <c r="A46" s="27"/>
      <c r="B46" s="2" t="s">
        <v>103</v>
      </c>
      <c r="C46" s="2">
        <v>140</v>
      </c>
      <c r="D46" s="2" t="s">
        <v>79</v>
      </c>
    </row>
    <row r="47" spans="1:9" x14ac:dyDescent="0.35">
      <c r="A47" s="27">
        <f>320000+200000</f>
        <v>520000</v>
      </c>
      <c r="B47" s="2" t="s">
        <v>100</v>
      </c>
      <c r="C47" s="2">
        <f>90+60</f>
        <v>150</v>
      </c>
      <c r="D47" s="2" t="s">
        <v>79</v>
      </c>
    </row>
    <row r="48" spans="1:9" x14ac:dyDescent="0.35">
      <c r="A48" s="27">
        <f>250000+320000</f>
        <v>570000</v>
      </c>
      <c r="B48" s="2" t="s">
        <v>65</v>
      </c>
      <c r="C48" s="2">
        <v>150</v>
      </c>
      <c r="D48" s="2" t="s">
        <v>79</v>
      </c>
    </row>
    <row r="49" spans="1:4" x14ac:dyDescent="0.35">
      <c r="A49" s="27">
        <v>320000</v>
      </c>
      <c r="B49" s="2" t="s">
        <v>101</v>
      </c>
      <c r="C49" s="2">
        <v>100</v>
      </c>
      <c r="D49" s="2" t="s">
        <v>80</v>
      </c>
    </row>
    <row r="50" spans="1:4" x14ac:dyDescent="0.35">
      <c r="A50" s="27">
        <v>490000</v>
      </c>
      <c r="B50" s="2" t="s">
        <v>66</v>
      </c>
      <c r="C50" s="2">
        <v>150</v>
      </c>
      <c r="D50" s="2" t="s">
        <v>80</v>
      </c>
    </row>
    <row r="51" spans="1:4" x14ac:dyDescent="0.35">
      <c r="A51" s="27">
        <v>140000</v>
      </c>
      <c r="B51" s="2" t="s">
        <v>78</v>
      </c>
      <c r="C51" s="2">
        <v>50</v>
      </c>
      <c r="D51" s="2" t="s">
        <v>80</v>
      </c>
    </row>
    <row r="52" spans="1:4" x14ac:dyDescent="0.35">
      <c r="A52" s="27">
        <v>370000</v>
      </c>
      <c r="B52" s="2" t="s">
        <v>68</v>
      </c>
      <c r="C52" s="2">
        <v>120</v>
      </c>
      <c r="D52" s="2" t="s">
        <v>80</v>
      </c>
    </row>
    <row r="53" spans="1:4" x14ac:dyDescent="0.35">
      <c r="A53" s="27">
        <f>120000+200000</f>
        <v>320000</v>
      </c>
      <c r="B53" s="2" t="s">
        <v>67</v>
      </c>
      <c r="C53" s="2">
        <v>130</v>
      </c>
      <c r="D53" s="2" t="s">
        <v>79</v>
      </c>
    </row>
    <row r="54" spans="1:4" x14ac:dyDescent="0.35">
      <c r="A54" s="27">
        <f>200000+320000</f>
        <v>520000</v>
      </c>
      <c r="B54" s="2" t="s">
        <v>69</v>
      </c>
      <c r="C54" s="2">
        <v>180</v>
      </c>
      <c r="D54" s="2" t="s">
        <v>79</v>
      </c>
    </row>
    <row r="55" spans="1:4" x14ac:dyDescent="0.35">
      <c r="A55" s="27">
        <v>1200</v>
      </c>
      <c r="B55" s="36" t="s">
        <v>105</v>
      </c>
      <c r="C55" s="36">
        <v>12</v>
      </c>
      <c r="D55" s="2" t="s">
        <v>104</v>
      </c>
    </row>
    <row r="56" spans="1:4" x14ac:dyDescent="0.35">
      <c r="A56" s="27"/>
      <c r="B56" s="36" t="s">
        <v>106</v>
      </c>
      <c r="C56" s="36">
        <v>15</v>
      </c>
      <c r="D56" s="2"/>
    </row>
    <row r="58" spans="1:4" x14ac:dyDescent="0.35">
      <c r="A58" s="198" t="s">
        <v>83</v>
      </c>
      <c r="B58" s="28" t="s">
        <v>74</v>
      </c>
      <c r="C58" s="28" t="s">
        <v>73</v>
      </c>
      <c r="D58" s="28" t="s">
        <v>75</v>
      </c>
    </row>
    <row r="59" spans="1:4" x14ac:dyDescent="0.35">
      <c r="A59" s="198"/>
      <c r="B59" s="2" t="s">
        <v>70</v>
      </c>
      <c r="C59" s="2" t="s">
        <v>71</v>
      </c>
      <c r="D59" s="2">
        <v>34</v>
      </c>
    </row>
    <row r="60" spans="1:4" x14ac:dyDescent="0.35">
      <c r="A60" s="198"/>
      <c r="B60" s="2" t="s">
        <v>72</v>
      </c>
      <c r="C60" s="2">
        <v>300</v>
      </c>
      <c r="D60" s="2">
        <v>15</v>
      </c>
    </row>
    <row r="61" spans="1:4" x14ac:dyDescent="0.35">
      <c r="A61" s="198"/>
      <c r="B61" s="2" t="s">
        <v>76</v>
      </c>
      <c r="C61" s="2"/>
      <c r="D61" s="2">
        <v>22</v>
      </c>
    </row>
    <row r="62" spans="1:4" x14ac:dyDescent="0.35">
      <c r="A62" s="37"/>
      <c r="B62" s="35" t="s">
        <v>107</v>
      </c>
      <c r="C62" s="33"/>
      <c r="D62" s="33"/>
    </row>
    <row r="64" spans="1:4" x14ac:dyDescent="0.35">
      <c r="A64" s="198" t="s">
        <v>77</v>
      </c>
      <c r="B64" s="28" t="s">
        <v>74</v>
      </c>
      <c r="C64" s="28" t="s">
        <v>73</v>
      </c>
      <c r="D64" s="28" t="s">
        <v>75</v>
      </c>
    </row>
    <row r="65" spans="1:4" x14ac:dyDescent="0.35">
      <c r="A65" s="198"/>
      <c r="B65" s="2" t="s">
        <v>84</v>
      </c>
      <c r="C65" s="2"/>
      <c r="D65" s="2"/>
    </row>
    <row r="66" spans="1:4" x14ac:dyDescent="0.35">
      <c r="A66" s="198"/>
      <c r="B66" s="2" t="s">
        <v>85</v>
      </c>
      <c r="C66" s="2"/>
      <c r="D66" s="2"/>
    </row>
    <row r="67" spans="1:4" x14ac:dyDescent="0.35">
      <c r="A67" s="198"/>
      <c r="B67" s="2" t="s">
        <v>86</v>
      </c>
      <c r="C67" s="2"/>
      <c r="D67" s="2"/>
    </row>
    <row r="68" spans="1:4" x14ac:dyDescent="0.35">
      <c r="A68" s="198"/>
      <c r="B68" s="2"/>
      <c r="C68" s="2"/>
      <c r="D68" s="2"/>
    </row>
    <row r="71" spans="1:4" x14ac:dyDescent="0.35">
      <c r="B71" s="199" t="s">
        <v>87</v>
      </c>
      <c r="C71" s="200"/>
    </row>
    <row r="72" spans="1:4" x14ac:dyDescent="0.35">
      <c r="B72" s="2" t="s">
        <v>92</v>
      </c>
      <c r="C72" s="32">
        <v>8</v>
      </c>
    </row>
    <row r="73" spans="1:4" x14ac:dyDescent="0.35">
      <c r="B73" s="2" t="s">
        <v>94</v>
      </c>
      <c r="C73" s="32">
        <v>5000</v>
      </c>
    </row>
    <row r="74" spans="1:4" x14ac:dyDescent="0.35">
      <c r="B74" s="2" t="s">
        <v>95</v>
      </c>
      <c r="C74" s="32">
        <f>C73/26</f>
        <v>192.30769230769232</v>
      </c>
    </row>
    <row r="75" spans="1:4" x14ac:dyDescent="0.35">
      <c r="B75" s="2" t="s">
        <v>96</v>
      </c>
      <c r="C75" s="32">
        <f>C74/8</f>
        <v>24.03846153846154</v>
      </c>
    </row>
    <row r="76" spans="1:4" x14ac:dyDescent="0.35">
      <c r="B76" s="2" t="s">
        <v>93</v>
      </c>
      <c r="C76" s="32">
        <f>12*26*C74*8</f>
        <v>480000.00000000006</v>
      </c>
    </row>
  </sheetData>
  <mergeCells count="7">
    <mergeCell ref="A13:A21"/>
    <mergeCell ref="A4:A12"/>
    <mergeCell ref="A58:A61"/>
    <mergeCell ref="A64:A68"/>
    <mergeCell ref="B71:C71"/>
    <mergeCell ref="A31:A39"/>
    <mergeCell ref="A22:A30"/>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1A5B4-4DF6-4CAE-A4B8-8B0B8331047B}">
  <dimension ref="A1:W55"/>
  <sheetViews>
    <sheetView topLeftCell="I55" workbookViewId="0">
      <selection activeCell="W3" sqref="W3:W55"/>
    </sheetView>
  </sheetViews>
  <sheetFormatPr defaultColWidth="9.1796875" defaultRowHeight="14.5" x14ac:dyDescent="0.35"/>
  <cols>
    <col min="1" max="1" width="6.26953125" style="3" hidden="1" customWidth="1"/>
    <col min="2" max="2" width="14.90625" bestFit="1" customWidth="1"/>
    <col min="3" max="3" width="8" style="1" bestFit="1" customWidth="1"/>
    <col min="4" max="4" width="15" customWidth="1"/>
    <col min="5" max="5" width="25.1796875" style="98" bestFit="1" customWidth="1"/>
    <col min="6" max="6" width="27.453125" style="98" bestFit="1" customWidth="1"/>
    <col min="7" max="7" width="11.81640625" style="107" customWidth="1"/>
    <col min="8" max="8" width="16.54296875" style="107" customWidth="1"/>
    <col min="9" max="9" width="16.81640625" style="98" customWidth="1"/>
    <col min="10" max="10" width="11.1796875" style="98" customWidth="1"/>
    <col min="11" max="11" width="9.1796875" customWidth="1"/>
    <col min="21" max="21" width="10.453125" bestFit="1" customWidth="1"/>
    <col min="23" max="23" width="9.54296875" bestFit="1" customWidth="1"/>
  </cols>
  <sheetData>
    <row r="1" spans="1:23" ht="15" hidden="1" thickBot="1" x14ac:dyDescent="0.4">
      <c r="A1" s="183" t="s">
        <v>36</v>
      </c>
      <c r="B1" s="184"/>
      <c r="C1" s="184"/>
      <c r="D1" s="184"/>
      <c r="E1" s="92"/>
      <c r="F1" s="92"/>
      <c r="G1" s="99"/>
      <c r="H1" s="99"/>
      <c r="I1" s="92"/>
      <c r="J1" s="92"/>
      <c r="K1" s="185" t="s">
        <v>162</v>
      </c>
      <c r="L1" s="185"/>
      <c r="M1" s="185"/>
      <c r="N1" s="185"/>
      <c r="O1" s="185"/>
      <c r="P1" s="185"/>
      <c r="Q1" s="185"/>
      <c r="R1" s="185"/>
      <c r="S1" s="185"/>
      <c r="T1" s="185"/>
      <c r="U1" s="185"/>
      <c r="V1" s="185"/>
    </row>
    <row r="2" spans="1:23" s="130" customFormat="1" ht="44" thickBot="1" x14ac:dyDescent="0.4">
      <c r="A2" s="132" t="s">
        <v>116</v>
      </c>
      <c r="B2" s="131" t="s">
        <v>0</v>
      </c>
      <c r="C2" s="131" t="s">
        <v>24</v>
      </c>
      <c r="D2" s="133" t="s">
        <v>115</v>
      </c>
      <c r="E2" s="134" t="s">
        <v>117</v>
      </c>
      <c r="F2" s="134" t="s">
        <v>128</v>
      </c>
      <c r="G2" s="135" t="s">
        <v>129</v>
      </c>
      <c r="H2" s="135" t="s">
        <v>130</v>
      </c>
      <c r="I2" s="134" t="s">
        <v>127</v>
      </c>
      <c r="J2" s="134"/>
      <c r="K2" s="132" t="s">
        <v>37</v>
      </c>
      <c r="L2" s="131" t="s">
        <v>38</v>
      </c>
      <c r="M2" s="131" t="s">
        <v>39</v>
      </c>
      <c r="N2" s="131" t="s">
        <v>40</v>
      </c>
      <c r="O2" s="131" t="s">
        <v>41</v>
      </c>
      <c r="P2" s="131" t="s">
        <v>42</v>
      </c>
      <c r="Q2" s="131" t="s">
        <v>43</v>
      </c>
      <c r="R2" s="131" t="s">
        <v>44</v>
      </c>
      <c r="S2" s="131" t="s">
        <v>45</v>
      </c>
      <c r="T2" s="131" t="s">
        <v>46</v>
      </c>
      <c r="U2" s="131" t="s">
        <v>47</v>
      </c>
      <c r="V2" s="131" t="s">
        <v>48</v>
      </c>
    </row>
    <row r="3" spans="1:23" x14ac:dyDescent="0.35">
      <c r="A3" s="192" t="s">
        <v>10</v>
      </c>
      <c r="B3" s="39" t="s">
        <v>7</v>
      </c>
      <c r="C3" s="40">
        <v>745.86630000000002</v>
      </c>
      <c r="D3" s="39" t="s">
        <v>30</v>
      </c>
      <c r="E3" s="108" t="s">
        <v>50</v>
      </c>
      <c r="F3" s="108" t="s">
        <v>68</v>
      </c>
      <c r="G3" s="100">
        <f>Feuil2!I13</f>
        <v>0</v>
      </c>
      <c r="H3" s="100">
        <v>0</v>
      </c>
      <c r="I3" s="108"/>
      <c r="J3" s="100">
        <f>I3+H3</f>
        <v>0</v>
      </c>
      <c r="K3" s="39"/>
      <c r="L3" s="39"/>
      <c r="M3" s="39"/>
      <c r="N3" s="39"/>
      <c r="O3" s="39"/>
      <c r="P3" s="39"/>
      <c r="Q3" s="39"/>
      <c r="R3" s="39"/>
      <c r="S3" s="39"/>
      <c r="T3" s="39"/>
      <c r="U3" s="39"/>
      <c r="V3" s="41"/>
    </row>
    <row r="4" spans="1:23" x14ac:dyDescent="0.35">
      <c r="A4" s="193"/>
      <c r="B4" s="42" t="s">
        <v>8</v>
      </c>
      <c r="C4" s="43">
        <v>742.41030000000001</v>
      </c>
      <c r="D4" s="42" t="s">
        <v>30</v>
      </c>
      <c r="E4" s="94" t="s">
        <v>134</v>
      </c>
      <c r="F4" s="94" t="s">
        <v>68</v>
      </c>
      <c r="G4" s="101">
        <f>Feuil2!I14</f>
        <v>0</v>
      </c>
      <c r="H4" s="101">
        <v>0</v>
      </c>
      <c r="I4" s="94">
        <v>5000</v>
      </c>
      <c r="J4" s="101">
        <f>I4+H4</f>
        <v>5000</v>
      </c>
      <c r="K4" s="42"/>
      <c r="L4" s="42"/>
      <c r="M4" s="42"/>
      <c r="N4" s="42"/>
      <c r="O4" s="42"/>
      <c r="P4" s="42"/>
      <c r="Q4" s="42"/>
      <c r="R4" s="42"/>
      <c r="S4" s="42"/>
      <c r="T4" s="42"/>
      <c r="U4" s="42"/>
      <c r="V4" s="44"/>
    </row>
    <row r="5" spans="1:23" x14ac:dyDescent="0.35">
      <c r="A5" s="193"/>
      <c r="B5" s="42" t="s">
        <v>9</v>
      </c>
      <c r="C5" s="43">
        <v>721.72080000000005</v>
      </c>
      <c r="D5" s="42" t="s">
        <v>30</v>
      </c>
      <c r="E5" s="94" t="s">
        <v>51</v>
      </c>
      <c r="F5" s="94" t="s">
        <v>102</v>
      </c>
      <c r="G5" s="101">
        <f>Feuil2!I15</f>
        <v>0.29774180243349146</v>
      </c>
      <c r="H5" s="101">
        <f>G5*$C$13</f>
        <v>1373.5730908434732</v>
      </c>
      <c r="I5" s="94">
        <f>20*12+12</f>
        <v>252</v>
      </c>
      <c r="J5" s="101">
        <f t="shared" ref="J5:J12" si="0">I5+H5</f>
        <v>1625.5730908434732</v>
      </c>
      <c r="K5" s="42"/>
      <c r="L5" s="42"/>
      <c r="M5" s="42">
        <v>1</v>
      </c>
      <c r="N5" s="42"/>
      <c r="O5" s="42"/>
      <c r="P5" s="42"/>
      <c r="Q5" s="42"/>
      <c r="R5" s="42"/>
      <c r="S5" s="42"/>
      <c r="T5" s="42"/>
      <c r="U5" s="42"/>
      <c r="V5" s="44"/>
    </row>
    <row r="6" spans="1:23" x14ac:dyDescent="0.35">
      <c r="A6" s="193" t="s">
        <v>21</v>
      </c>
      <c r="B6" s="42" t="s">
        <v>7</v>
      </c>
      <c r="C6" s="43">
        <v>709.09960000000001</v>
      </c>
      <c r="D6" s="42" t="s">
        <v>30</v>
      </c>
      <c r="E6" s="94" t="s">
        <v>52</v>
      </c>
      <c r="F6" s="94" t="s">
        <v>103</v>
      </c>
      <c r="G6" s="101">
        <f>Feuil2!I16</f>
        <v>0.28433697669622604</v>
      </c>
      <c r="H6" s="101">
        <f t="shared" ref="H6:H11" si="1">G6*$C$13</f>
        <v>1311.7325707362345</v>
      </c>
      <c r="I6" s="94">
        <f>15*12+C13*0.001*1.3*1200</f>
        <v>7376.7523680000004</v>
      </c>
      <c r="J6" s="101">
        <f t="shared" si="0"/>
        <v>8688.4849387362356</v>
      </c>
      <c r="K6" s="42"/>
      <c r="L6" s="42"/>
      <c r="M6" s="42"/>
      <c r="N6" s="42"/>
      <c r="O6" s="42"/>
      <c r="P6" s="42"/>
      <c r="Q6" s="42"/>
      <c r="R6" s="42"/>
      <c r="S6" s="42"/>
      <c r="T6" s="42">
        <v>2</v>
      </c>
      <c r="U6" s="42"/>
      <c r="V6" s="44"/>
    </row>
    <row r="7" spans="1:23" x14ac:dyDescent="0.35">
      <c r="A7" s="193"/>
      <c r="B7" s="42" t="s">
        <v>8</v>
      </c>
      <c r="C7" s="43">
        <v>731.17529999999999</v>
      </c>
      <c r="D7" s="42" t="s">
        <v>30</v>
      </c>
      <c r="E7" s="94" t="s">
        <v>53</v>
      </c>
      <c r="F7" s="94" t="s">
        <v>103</v>
      </c>
      <c r="G7" s="101">
        <f>Feuil2!I17</f>
        <v>0.28433697669622604</v>
      </c>
      <c r="H7" s="101">
        <f t="shared" si="1"/>
        <v>1311.7325707362345</v>
      </c>
      <c r="I7" s="94">
        <f>20*12</f>
        <v>240</v>
      </c>
      <c r="J7" s="101">
        <f t="shared" si="0"/>
        <v>1551.7325707362345</v>
      </c>
      <c r="K7" s="42"/>
      <c r="L7" s="42"/>
      <c r="M7" s="42">
        <v>2</v>
      </c>
      <c r="N7" s="42"/>
      <c r="O7" s="42"/>
      <c r="P7" s="42"/>
      <c r="Q7" s="42"/>
      <c r="R7" s="42"/>
      <c r="S7" s="42"/>
      <c r="T7" s="42"/>
      <c r="U7" s="42"/>
      <c r="V7" s="44"/>
    </row>
    <row r="8" spans="1:23" x14ac:dyDescent="0.35">
      <c r="A8" s="193"/>
      <c r="B8" s="42" t="s">
        <v>9</v>
      </c>
      <c r="C8" s="43">
        <v>676.97050000000002</v>
      </c>
      <c r="D8" s="42" t="s">
        <v>30</v>
      </c>
      <c r="E8" s="94" t="s">
        <v>54</v>
      </c>
      <c r="F8" s="94" t="s">
        <v>103</v>
      </c>
      <c r="G8" s="101">
        <f>Feuil2!I18</f>
        <v>0.10994534955660962</v>
      </c>
      <c r="H8" s="101">
        <f t="shared" si="1"/>
        <v>507.21118895648596</v>
      </c>
      <c r="I8" s="94">
        <f>15*12</f>
        <v>180</v>
      </c>
      <c r="J8" s="101">
        <f t="shared" si="0"/>
        <v>687.21118895648601</v>
      </c>
      <c r="K8" s="42">
        <f>2*4</f>
        <v>8</v>
      </c>
      <c r="L8" s="42">
        <f>2*4</f>
        <v>8</v>
      </c>
      <c r="M8" s="42">
        <v>6</v>
      </c>
      <c r="N8" s="42">
        <f t="shared" ref="N8:S8" si="2">3*4</f>
        <v>12</v>
      </c>
      <c r="O8" s="42">
        <f t="shared" si="2"/>
        <v>12</v>
      </c>
      <c r="P8" s="42">
        <f t="shared" si="2"/>
        <v>12</v>
      </c>
      <c r="Q8" s="42">
        <f t="shared" si="2"/>
        <v>12</v>
      </c>
      <c r="R8" s="42">
        <f t="shared" si="2"/>
        <v>12</v>
      </c>
      <c r="S8" s="42">
        <f t="shared" si="2"/>
        <v>12</v>
      </c>
      <c r="T8" s="42">
        <v>9</v>
      </c>
      <c r="U8" s="42">
        <f>2*4</f>
        <v>8</v>
      </c>
      <c r="V8" s="44">
        <f>2*4</f>
        <v>8</v>
      </c>
    </row>
    <row r="9" spans="1:23" x14ac:dyDescent="0.35">
      <c r="A9" s="193" t="s">
        <v>23</v>
      </c>
      <c r="B9" s="42" t="s">
        <v>7</v>
      </c>
      <c r="C9" s="43">
        <v>62.52</v>
      </c>
      <c r="D9" s="42" t="s">
        <v>30</v>
      </c>
      <c r="E9" s="94" t="s">
        <v>55</v>
      </c>
      <c r="F9" s="94" t="s">
        <v>105</v>
      </c>
      <c r="G9" s="101">
        <f>Feuil2!I19</f>
        <v>2.4154464838110953E-2</v>
      </c>
      <c r="H9" s="101">
        <f t="shared" si="1"/>
        <v>111.43186027015881</v>
      </c>
      <c r="I9" s="94">
        <f>0.05*C13*35</f>
        <v>8073.2799000000014</v>
      </c>
      <c r="J9" s="101">
        <f t="shared" si="0"/>
        <v>8184.7117602701601</v>
      </c>
      <c r="K9" s="42"/>
      <c r="L9" s="42"/>
      <c r="M9" s="42">
        <v>1</v>
      </c>
      <c r="N9" s="42"/>
      <c r="O9" s="42"/>
      <c r="P9" s="42"/>
      <c r="Q9" s="42">
        <v>1</v>
      </c>
      <c r="R9" s="42"/>
      <c r="S9" s="42"/>
      <c r="T9" s="42">
        <v>1</v>
      </c>
      <c r="U9" s="42"/>
      <c r="V9" s="44">
        <v>1</v>
      </c>
    </row>
    <row r="10" spans="1:23" x14ac:dyDescent="0.35">
      <c r="A10" s="193"/>
      <c r="B10" s="42" t="s">
        <v>8</v>
      </c>
      <c r="C10" s="43">
        <v>50.04</v>
      </c>
      <c r="D10" s="42" t="s">
        <v>30</v>
      </c>
      <c r="E10" s="94" t="s">
        <v>56</v>
      </c>
      <c r="F10" s="94" t="s">
        <v>66</v>
      </c>
      <c r="G10" s="101">
        <f>Feuil2!I20</f>
        <v>5.8323881212621165E-2</v>
      </c>
      <c r="H10" s="101">
        <f t="shared" si="1"/>
        <v>269.06572450505263</v>
      </c>
      <c r="I10" s="94">
        <f>4*200</f>
        <v>800</v>
      </c>
      <c r="J10" s="101">
        <f t="shared" si="0"/>
        <v>1069.0657245050527</v>
      </c>
      <c r="K10" s="42"/>
      <c r="L10" s="42"/>
      <c r="M10" s="42"/>
      <c r="N10" s="42">
        <v>1</v>
      </c>
      <c r="O10" s="42"/>
      <c r="P10" s="42"/>
      <c r="Q10" s="42"/>
      <c r="R10" s="42"/>
      <c r="S10" s="42"/>
      <c r="T10" s="42">
        <v>1</v>
      </c>
      <c r="U10" s="42"/>
      <c r="V10" s="44"/>
    </row>
    <row r="11" spans="1:23" x14ac:dyDescent="0.35">
      <c r="A11" s="193"/>
      <c r="B11" s="42" t="s">
        <v>9</v>
      </c>
      <c r="C11" s="43">
        <v>47.66</v>
      </c>
      <c r="D11" s="42" t="s">
        <v>30</v>
      </c>
      <c r="E11" s="94" t="s">
        <v>57</v>
      </c>
      <c r="F11" s="94" t="s">
        <v>159</v>
      </c>
      <c r="G11" s="101">
        <f>Feuil2!I21</f>
        <v>1.135801196122912</v>
      </c>
      <c r="H11" s="101">
        <f t="shared" si="1"/>
        <v>5239.7948383171797</v>
      </c>
      <c r="I11" s="94">
        <f>45*C13/1000*120</f>
        <v>24911.835120000003</v>
      </c>
      <c r="J11" s="101">
        <f t="shared" si="0"/>
        <v>30151.629958317182</v>
      </c>
      <c r="K11" s="42"/>
      <c r="L11" s="42"/>
      <c r="M11" s="42"/>
      <c r="N11" s="42"/>
      <c r="O11" s="42"/>
      <c r="P11" s="42"/>
      <c r="Q11" s="42"/>
      <c r="R11" s="42"/>
      <c r="S11" s="42"/>
      <c r="T11" s="42">
        <v>1</v>
      </c>
      <c r="U11" s="42"/>
      <c r="V11" s="44"/>
    </row>
    <row r="12" spans="1:23" ht="15" thickBot="1" x14ac:dyDescent="0.4">
      <c r="A12" s="194"/>
      <c r="B12" s="46" t="s">
        <v>22</v>
      </c>
      <c r="C12" s="45">
        <v>125.84</v>
      </c>
      <c r="D12" s="46" t="s">
        <v>30</v>
      </c>
      <c r="E12" s="109"/>
      <c r="F12" s="109"/>
      <c r="G12" s="102"/>
      <c r="H12" s="102"/>
      <c r="I12" s="109"/>
      <c r="J12" s="102">
        <f t="shared" si="0"/>
        <v>0</v>
      </c>
      <c r="K12" s="46"/>
      <c r="L12" s="46"/>
      <c r="M12" s="46"/>
      <c r="N12" s="46"/>
      <c r="O12" s="46"/>
      <c r="P12" s="46"/>
      <c r="Q12" s="46"/>
      <c r="R12" s="46"/>
      <c r="S12" s="46"/>
      <c r="T12" s="46"/>
      <c r="U12" s="46"/>
      <c r="V12" s="47"/>
    </row>
    <row r="13" spans="1:23" s="81" customFormat="1" ht="15" thickBot="1" x14ac:dyDescent="0.4">
      <c r="A13" s="188" t="s">
        <v>120</v>
      </c>
      <c r="B13" s="189"/>
      <c r="C13" s="110">
        <f>SUM(C3:C12)</f>
        <v>4613.3028000000004</v>
      </c>
      <c r="D13" s="111" t="s">
        <v>30</v>
      </c>
      <c r="E13" s="96"/>
      <c r="F13" s="96"/>
      <c r="G13" s="105"/>
      <c r="H13" s="105"/>
      <c r="I13" s="96"/>
      <c r="J13" s="96"/>
      <c r="K13" s="111">
        <f>K3*$J$3+K4*$J$4+K5*$J$5+K6*$J$6+K7*$J$7+K8*$J$8+K9*$J$9+K10*$J$10+K11*$J$11+K12*$J$12</f>
        <v>5497.6895116518881</v>
      </c>
      <c r="L13" s="111">
        <f t="shared" ref="L13:V13" si="3">L3*$J$3+L4*$J$4+L5*$J$5+L6*$J$6+L7*$J$7+L8*$J$8+L9*$J$9+L10*$J$10+L11*$J$11+L12*$J$12</f>
        <v>5497.6895116518881</v>
      </c>
      <c r="M13" s="111">
        <f t="shared" si="3"/>
        <v>17037.017126325016</v>
      </c>
      <c r="N13" s="111">
        <f t="shared" si="3"/>
        <v>9315.5999919828864</v>
      </c>
      <c r="O13" s="111">
        <f t="shared" si="3"/>
        <v>8246.5342674778331</v>
      </c>
      <c r="P13" s="111">
        <f t="shared" si="3"/>
        <v>8246.5342674778331</v>
      </c>
      <c r="Q13" s="111">
        <f t="shared" si="3"/>
        <v>16431.246027747991</v>
      </c>
      <c r="R13" s="111">
        <f t="shared" si="3"/>
        <v>8246.5342674778331</v>
      </c>
      <c r="S13" s="111">
        <f t="shared" si="3"/>
        <v>8246.5342674778331</v>
      </c>
      <c r="T13" s="111">
        <f t="shared" si="3"/>
        <v>62967.278021173246</v>
      </c>
      <c r="U13" s="111">
        <f t="shared" si="3"/>
        <v>5497.6895116518881</v>
      </c>
      <c r="V13" s="112">
        <f t="shared" si="3"/>
        <v>13682.401271922048</v>
      </c>
      <c r="W13" s="81">
        <f>SUM(K13:V13)</f>
        <v>168912.7480440182</v>
      </c>
    </row>
    <row r="14" spans="1:23" x14ac:dyDescent="0.35">
      <c r="A14" s="57" t="s">
        <v>10</v>
      </c>
      <c r="B14" s="48" t="s">
        <v>31</v>
      </c>
      <c r="C14" s="49">
        <v>11879</v>
      </c>
      <c r="D14" s="48" t="s">
        <v>30</v>
      </c>
      <c r="E14" s="108" t="s">
        <v>50</v>
      </c>
      <c r="F14" s="108" t="s">
        <v>69</v>
      </c>
      <c r="G14" s="100">
        <f>Feuil2!I22</f>
        <v>0.12635419971896106</v>
      </c>
      <c r="H14" s="100">
        <f>G14*$C$22</f>
        <v>3500.0510832464529</v>
      </c>
      <c r="I14" s="108">
        <f>8000+20*12</f>
        <v>8240</v>
      </c>
      <c r="J14" s="100">
        <f>I14+H14</f>
        <v>11740.051083246453</v>
      </c>
      <c r="K14" s="48"/>
      <c r="L14" s="48"/>
      <c r="M14" s="48"/>
      <c r="N14" s="48"/>
      <c r="O14" s="48"/>
      <c r="P14" s="48"/>
      <c r="Q14" s="48"/>
      <c r="R14" s="48"/>
      <c r="S14" s="48"/>
      <c r="T14" s="48"/>
      <c r="U14" s="48"/>
      <c r="V14" s="58"/>
    </row>
    <row r="15" spans="1:23" x14ac:dyDescent="0.35">
      <c r="A15" s="59" t="s">
        <v>21</v>
      </c>
      <c r="B15" s="9" t="s">
        <v>31</v>
      </c>
      <c r="C15" s="4">
        <v>9904.8046000000013</v>
      </c>
      <c r="D15" s="9" t="s">
        <v>30</v>
      </c>
      <c r="E15" s="94" t="s">
        <v>134</v>
      </c>
      <c r="F15" s="94" t="s">
        <v>69</v>
      </c>
      <c r="G15" s="101">
        <f>Feuil2!I23</f>
        <v>0.10611810110926198</v>
      </c>
      <c r="H15" s="101">
        <f t="shared" ref="H15:H21" si="4">G15*$C$22</f>
        <v>2939.504785481166</v>
      </c>
      <c r="I15" s="94">
        <f>8000+20*12</f>
        <v>8240</v>
      </c>
      <c r="J15" s="101">
        <f>I15+H15</f>
        <v>11179.504785481166</v>
      </c>
      <c r="K15" s="9"/>
      <c r="L15" s="9"/>
      <c r="M15" s="9"/>
      <c r="N15" s="9"/>
      <c r="O15" s="9"/>
      <c r="P15" s="9"/>
      <c r="Q15" s="9"/>
      <c r="R15" s="9"/>
      <c r="S15" s="9">
        <v>1</v>
      </c>
      <c r="T15" s="9"/>
      <c r="U15" s="9"/>
      <c r="V15" s="10"/>
    </row>
    <row r="16" spans="1:23" x14ac:dyDescent="0.35">
      <c r="A16" s="59" t="s">
        <v>23</v>
      </c>
      <c r="B16" s="9" t="s">
        <v>31</v>
      </c>
      <c r="C16" s="4">
        <v>5916.5099999999984</v>
      </c>
      <c r="D16" s="9" t="s">
        <v>30</v>
      </c>
      <c r="E16" s="94" t="s">
        <v>51</v>
      </c>
      <c r="F16" s="94" t="s">
        <v>109</v>
      </c>
      <c r="G16" s="101">
        <f>Feuil2!I24</f>
        <v>3.3349090508784089E-2</v>
      </c>
      <c r="H16" s="101">
        <f t="shared" si="4"/>
        <v>923.78029871719343</v>
      </c>
      <c r="I16" s="94">
        <f>40*12+C22*0.001*1.3*700</f>
        <v>25687.286286000002</v>
      </c>
      <c r="J16" s="101">
        <f t="shared" ref="J16:J21" si="5">I16+H16</f>
        <v>26611.066584717195</v>
      </c>
      <c r="K16" s="9"/>
      <c r="L16" s="9"/>
      <c r="M16" s="9">
        <v>1</v>
      </c>
      <c r="N16" s="9"/>
      <c r="O16" s="9"/>
      <c r="P16" s="9"/>
      <c r="Q16" s="9"/>
      <c r="R16" s="9"/>
      <c r="S16" s="9">
        <v>1</v>
      </c>
      <c r="T16" s="9"/>
      <c r="U16" s="9"/>
      <c r="V16" s="10"/>
    </row>
    <row r="17" spans="1:23" x14ac:dyDescent="0.35">
      <c r="A17" s="59"/>
      <c r="B17" s="9"/>
      <c r="C17" s="4"/>
      <c r="D17" s="9"/>
      <c r="E17" s="94" t="s">
        <v>52</v>
      </c>
      <c r="F17" s="94" t="s">
        <v>110</v>
      </c>
      <c r="G17" s="101">
        <f>Feuil2!I25</f>
        <v>5.7114364716014686E-2</v>
      </c>
      <c r="H17" s="101">
        <f t="shared" si="4"/>
        <v>1582.0858708127466</v>
      </c>
      <c r="I17" s="94">
        <f>40*12</f>
        <v>480</v>
      </c>
      <c r="J17" s="101">
        <f t="shared" si="5"/>
        <v>2062.0858708127466</v>
      </c>
      <c r="K17" s="9"/>
      <c r="L17" s="9"/>
      <c r="M17" s="9"/>
      <c r="N17" s="9"/>
      <c r="O17" s="9"/>
      <c r="P17" s="9"/>
      <c r="Q17" s="9"/>
      <c r="R17" s="9"/>
      <c r="S17" s="9"/>
      <c r="T17" s="9"/>
      <c r="U17" s="9"/>
      <c r="V17" s="10"/>
    </row>
    <row r="18" spans="1:23" x14ac:dyDescent="0.35">
      <c r="A18" s="50"/>
      <c r="B18" s="4"/>
      <c r="C18" s="4"/>
      <c r="D18" s="9"/>
      <c r="E18" s="94" t="s">
        <v>53</v>
      </c>
      <c r="F18" s="94" t="s">
        <v>110</v>
      </c>
      <c r="G18" s="101">
        <f>Feuil2!I26</f>
        <v>5.1043535133104959E-2</v>
      </c>
      <c r="H18" s="101">
        <f t="shared" si="4"/>
        <v>1413.9219814831604</v>
      </c>
      <c r="I18" s="94">
        <f>40*12</f>
        <v>480</v>
      </c>
      <c r="J18" s="101">
        <f t="shared" si="5"/>
        <v>1893.9219814831604</v>
      </c>
      <c r="K18" s="9"/>
      <c r="L18" s="9"/>
      <c r="M18" s="9">
        <v>1</v>
      </c>
      <c r="N18" s="9"/>
      <c r="O18" s="9"/>
      <c r="P18" s="9"/>
      <c r="Q18" s="9"/>
      <c r="R18" s="9"/>
      <c r="S18" s="9"/>
      <c r="T18" s="9"/>
      <c r="U18" s="9"/>
      <c r="V18" s="10"/>
    </row>
    <row r="19" spans="1:23" x14ac:dyDescent="0.35">
      <c r="A19" s="50"/>
      <c r="B19" s="4"/>
      <c r="C19" s="4"/>
      <c r="D19" s="9"/>
      <c r="E19" s="94" t="s">
        <v>54</v>
      </c>
      <c r="F19" s="94" t="s">
        <v>97</v>
      </c>
      <c r="G19" s="101">
        <f>Feuil2!I27</f>
        <v>3.7720087808479089E-2</v>
      </c>
      <c r="H19" s="101">
        <f t="shared" si="4"/>
        <v>1044.8582990344953</v>
      </c>
      <c r="I19" s="94">
        <f>40*12</f>
        <v>480</v>
      </c>
      <c r="J19" s="101">
        <f t="shared" si="5"/>
        <v>1524.8582990344953</v>
      </c>
      <c r="K19" s="9">
        <v>4</v>
      </c>
      <c r="L19" s="9">
        <v>4</v>
      </c>
      <c r="M19" s="9">
        <v>4</v>
      </c>
      <c r="N19" s="9">
        <v>8</v>
      </c>
      <c r="O19" s="9">
        <v>8</v>
      </c>
      <c r="P19" s="9">
        <v>8</v>
      </c>
      <c r="Q19" s="9">
        <v>8</v>
      </c>
      <c r="R19" s="9">
        <v>8</v>
      </c>
      <c r="S19" s="9">
        <v>8</v>
      </c>
      <c r="T19" s="9">
        <v>8</v>
      </c>
      <c r="U19" s="9">
        <v>4</v>
      </c>
      <c r="V19" s="10">
        <v>4</v>
      </c>
    </row>
    <row r="20" spans="1:23" x14ac:dyDescent="0.35">
      <c r="A20" s="50"/>
      <c r="B20" s="4"/>
      <c r="C20" s="4"/>
      <c r="D20" s="9"/>
      <c r="E20" s="94" t="s">
        <v>55</v>
      </c>
      <c r="F20" s="94" t="s">
        <v>105</v>
      </c>
      <c r="G20" s="101">
        <f>Feuil2!I28</f>
        <v>6.0675918071321725E-3</v>
      </c>
      <c r="H20" s="101">
        <f t="shared" si="4"/>
        <v>168.07420192194371</v>
      </c>
      <c r="I20" s="94">
        <f>0.05*C22*35</f>
        <v>48475.55055</v>
      </c>
      <c r="J20" s="101">
        <f t="shared" si="5"/>
        <v>48643.624751921947</v>
      </c>
      <c r="K20" s="9"/>
      <c r="L20" s="9">
        <v>1</v>
      </c>
      <c r="M20" s="9"/>
      <c r="N20" s="9"/>
      <c r="O20" s="9"/>
      <c r="P20" s="9">
        <v>1</v>
      </c>
      <c r="Q20" s="9"/>
      <c r="R20" s="9"/>
      <c r="S20" s="9"/>
      <c r="T20" s="9">
        <v>1</v>
      </c>
      <c r="U20" s="9"/>
      <c r="V20" s="10"/>
    </row>
    <row r="21" spans="1:23" ht="15" thickBot="1" x14ac:dyDescent="0.4">
      <c r="A21" s="113"/>
      <c r="B21" s="51"/>
      <c r="C21" s="51"/>
      <c r="D21" s="52"/>
      <c r="E21" s="109" t="s">
        <v>56</v>
      </c>
      <c r="F21" s="109" t="s">
        <v>66</v>
      </c>
      <c r="G21" s="102">
        <f>Feuil2!I29</f>
        <v>7.3254676967110677E-3</v>
      </c>
      <c r="H21" s="102">
        <f t="shared" si="4"/>
        <v>202.91775979103397</v>
      </c>
      <c r="I21" s="109">
        <f>4*250</f>
        <v>1000</v>
      </c>
      <c r="J21" s="101">
        <f t="shared" si="5"/>
        <v>1202.9177597910339</v>
      </c>
      <c r="K21" s="52"/>
      <c r="L21" s="52"/>
      <c r="M21" s="52">
        <v>1</v>
      </c>
      <c r="N21" s="52"/>
      <c r="O21" s="52"/>
      <c r="P21" s="52"/>
      <c r="Q21" s="52"/>
      <c r="R21" s="52"/>
      <c r="S21" s="52"/>
      <c r="T21" s="52"/>
      <c r="U21" s="52">
        <v>1</v>
      </c>
      <c r="V21" s="65"/>
    </row>
    <row r="22" spans="1:23" s="81" customFormat="1" ht="15" thickBot="1" x14ac:dyDescent="0.4">
      <c r="A22" s="186" t="s">
        <v>119</v>
      </c>
      <c r="B22" s="187"/>
      <c r="C22" s="139">
        <f>SUM(C14:C16)</f>
        <v>27700.314600000002</v>
      </c>
      <c r="D22" s="86" t="s">
        <v>30</v>
      </c>
      <c r="E22" s="96"/>
      <c r="F22" s="96"/>
      <c r="G22" s="105"/>
      <c r="H22" s="105"/>
      <c r="I22" s="96"/>
      <c r="J22" s="96"/>
      <c r="K22" s="86">
        <f>K14*$J$14+K15*$J$15+K16*$J$16+K17*$J$17+K18*$J$18+K19*$J$19+K20*$J$20+K21*$J$21</f>
        <v>6099.4331961379812</v>
      </c>
      <c r="L22" s="86">
        <f t="shared" ref="L22:V22" si="6">L14*$J$14+L15*$J$15+L16*$J$16+L17*$J$17+L18*$J$18+L19*$J$19+L20*$J$20+L21*$J$21</f>
        <v>54743.057948059926</v>
      </c>
      <c r="M22" s="86">
        <f t="shared" si="6"/>
        <v>35807.339522129369</v>
      </c>
      <c r="N22" s="86">
        <f t="shared" si="6"/>
        <v>12198.866392275962</v>
      </c>
      <c r="O22" s="86">
        <f t="shared" si="6"/>
        <v>12198.866392275962</v>
      </c>
      <c r="P22" s="86">
        <f t="shared" si="6"/>
        <v>60842.491144197906</v>
      </c>
      <c r="Q22" s="86">
        <f t="shared" si="6"/>
        <v>12198.866392275962</v>
      </c>
      <c r="R22" s="86">
        <f t="shared" si="6"/>
        <v>12198.866392275962</v>
      </c>
      <c r="S22" s="86">
        <f t="shared" si="6"/>
        <v>49989.437762474321</v>
      </c>
      <c r="T22" s="86">
        <f t="shared" si="6"/>
        <v>60842.491144197906</v>
      </c>
      <c r="U22" s="86">
        <f t="shared" si="6"/>
        <v>7302.3509559290151</v>
      </c>
      <c r="V22" s="86">
        <f t="shared" si="6"/>
        <v>6099.4331961379812</v>
      </c>
      <c r="W22" s="81">
        <f>SUM(K22:V22)</f>
        <v>330521.5004383683</v>
      </c>
    </row>
    <row r="23" spans="1:23" x14ac:dyDescent="0.35">
      <c r="A23" s="74"/>
      <c r="B23" s="75" t="s">
        <v>124</v>
      </c>
      <c r="C23" s="76">
        <v>6260</v>
      </c>
      <c r="D23" s="75" t="s">
        <v>30</v>
      </c>
      <c r="E23" s="108" t="s">
        <v>135</v>
      </c>
      <c r="F23" s="108" t="s">
        <v>69</v>
      </c>
      <c r="G23" s="100">
        <f>Feuil2!I32</f>
        <v>0.10280809156241683</v>
      </c>
      <c r="H23" s="100">
        <f>G23*$C$26</f>
        <v>1188.4615384615386</v>
      </c>
      <c r="I23" s="108">
        <f>8000+40*12</f>
        <v>8480</v>
      </c>
      <c r="J23" s="100">
        <f>I23+H23</f>
        <v>9668.461538461539</v>
      </c>
      <c r="K23" s="54"/>
      <c r="L23" s="54"/>
      <c r="M23" s="54"/>
      <c r="N23" s="54">
        <v>1</v>
      </c>
      <c r="O23" s="54"/>
      <c r="P23" s="54"/>
      <c r="Q23" s="54"/>
      <c r="R23" s="54"/>
      <c r="S23" s="54"/>
      <c r="T23" s="54"/>
      <c r="U23" s="54"/>
      <c r="V23" s="55"/>
    </row>
    <row r="24" spans="1:23" x14ac:dyDescent="0.35">
      <c r="A24" s="77"/>
      <c r="B24" s="72" t="s">
        <v>124</v>
      </c>
      <c r="C24" s="73">
        <v>5300</v>
      </c>
      <c r="D24" s="72" t="s">
        <v>30</v>
      </c>
      <c r="E24" s="94" t="s">
        <v>54</v>
      </c>
      <c r="F24" s="94" t="s">
        <v>98</v>
      </c>
      <c r="G24" s="101">
        <f>Feuil2!I36</f>
        <v>3.8760979504924145E-2</v>
      </c>
      <c r="H24" s="101">
        <f t="shared" ref="H24:H25" si="7">G24*$C$26</f>
        <v>448.07692307692309</v>
      </c>
      <c r="I24" s="94">
        <f>20*12</f>
        <v>240</v>
      </c>
      <c r="J24" s="101">
        <f>I24+H24</f>
        <v>688.07692307692309</v>
      </c>
      <c r="K24" s="53">
        <v>1</v>
      </c>
      <c r="L24" s="53">
        <v>1</v>
      </c>
      <c r="M24" s="53">
        <v>1</v>
      </c>
      <c r="N24" s="53">
        <v>2</v>
      </c>
      <c r="O24" s="53">
        <v>2</v>
      </c>
      <c r="P24" s="53">
        <v>2</v>
      </c>
      <c r="Q24" s="53">
        <v>2</v>
      </c>
      <c r="R24" s="53">
        <v>2</v>
      </c>
      <c r="S24" s="53">
        <v>2</v>
      </c>
      <c r="T24" s="53">
        <v>2</v>
      </c>
      <c r="U24" s="53">
        <v>2</v>
      </c>
      <c r="V24" s="56">
        <v>1</v>
      </c>
    </row>
    <row r="25" spans="1:23" ht="15" thickBot="1" x14ac:dyDescent="0.4">
      <c r="A25" s="82"/>
      <c r="B25" s="83"/>
      <c r="C25" s="84"/>
      <c r="D25" s="83"/>
      <c r="E25" s="95" t="s">
        <v>55</v>
      </c>
      <c r="F25" s="95" t="s">
        <v>105</v>
      </c>
      <c r="G25" s="104">
        <f>Feuil2!I37</f>
        <v>3.1175139739153582E-3</v>
      </c>
      <c r="H25" s="104">
        <f t="shared" si="7"/>
        <v>36.03846153846154</v>
      </c>
      <c r="I25" s="95">
        <f>200*15</f>
        <v>3000</v>
      </c>
      <c r="J25" s="101">
        <f>I25+H25</f>
        <v>3036.0384615384614</v>
      </c>
      <c r="K25" s="60"/>
      <c r="L25" s="60"/>
      <c r="M25" s="60">
        <v>1</v>
      </c>
      <c r="N25" s="60"/>
      <c r="O25" s="60"/>
      <c r="P25" s="60"/>
      <c r="Q25" s="60"/>
      <c r="R25" s="60"/>
      <c r="S25" s="60">
        <v>1</v>
      </c>
      <c r="T25" s="60"/>
      <c r="U25" s="60"/>
      <c r="V25" s="61"/>
    </row>
    <row r="26" spans="1:23" s="81" customFormat="1" ht="15" thickBot="1" x14ac:dyDescent="0.4">
      <c r="A26" s="176" t="s">
        <v>123</v>
      </c>
      <c r="B26" s="177"/>
      <c r="C26" s="87">
        <f>C24+C23</f>
        <v>11560</v>
      </c>
      <c r="D26" s="136" t="s">
        <v>30</v>
      </c>
      <c r="E26" s="116"/>
      <c r="F26" s="96"/>
      <c r="G26" s="105"/>
      <c r="H26" s="105"/>
      <c r="I26" s="96"/>
      <c r="J26" s="96"/>
      <c r="K26" s="88">
        <f>K23*$J$23+K24*$J$24+K25*$J$25</f>
        <v>688.07692307692309</v>
      </c>
      <c r="L26" s="88">
        <f t="shared" ref="L26:V26" si="8">L23*$J$23+L24*$J$24+L25*$J$25</f>
        <v>688.07692307692309</v>
      </c>
      <c r="M26" s="88">
        <f t="shared" si="8"/>
        <v>3724.1153846153848</v>
      </c>
      <c r="N26" s="88">
        <f t="shared" si="8"/>
        <v>11044.615384615385</v>
      </c>
      <c r="O26" s="88">
        <f t="shared" si="8"/>
        <v>1376.1538461538462</v>
      </c>
      <c r="P26" s="88">
        <f t="shared" si="8"/>
        <v>1376.1538461538462</v>
      </c>
      <c r="Q26" s="88">
        <f t="shared" si="8"/>
        <v>1376.1538461538462</v>
      </c>
      <c r="R26" s="88">
        <f t="shared" si="8"/>
        <v>1376.1538461538462</v>
      </c>
      <c r="S26" s="88">
        <f t="shared" si="8"/>
        <v>4412.1923076923076</v>
      </c>
      <c r="T26" s="88">
        <f t="shared" si="8"/>
        <v>1376.1538461538462</v>
      </c>
      <c r="U26" s="88">
        <f t="shared" si="8"/>
        <v>1376.1538461538462</v>
      </c>
      <c r="V26" s="88">
        <f t="shared" si="8"/>
        <v>688.07692307692309</v>
      </c>
      <c r="W26" s="81">
        <f>SUM(K26:V26)</f>
        <v>29502.076923076929</v>
      </c>
    </row>
    <row r="27" spans="1:23" x14ac:dyDescent="0.35">
      <c r="A27" s="180" t="s">
        <v>10</v>
      </c>
      <c r="B27" s="13" t="s">
        <v>1</v>
      </c>
      <c r="C27" s="62">
        <v>163.66</v>
      </c>
      <c r="D27" s="13" t="s">
        <v>32</v>
      </c>
      <c r="E27" s="108" t="s">
        <v>50</v>
      </c>
      <c r="F27" s="108" t="s">
        <v>68</v>
      </c>
      <c r="G27" s="100">
        <f>Feuil2!I4</f>
        <v>0.19473319473319473</v>
      </c>
      <c r="H27" s="100">
        <f t="shared" ref="H27:H34" si="9">G27*$C$50</f>
        <v>2444.8382605682605</v>
      </c>
      <c r="I27" s="108">
        <f>4000+20*15</f>
        <v>4300</v>
      </c>
      <c r="J27" s="100">
        <f>I27+H27</f>
        <v>6744.83826056826</v>
      </c>
      <c r="K27" s="13"/>
      <c r="L27" s="13"/>
      <c r="M27" s="13">
        <v>1</v>
      </c>
      <c r="N27" s="13"/>
      <c r="O27" s="13"/>
      <c r="P27" s="13"/>
      <c r="Q27" s="13"/>
      <c r="R27" s="13"/>
      <c r="S27" s="13"/>
      <c r="T27" s="13"/>
      <c r="U27" s="13"/>
      <c r="V27" s="14"/>
    </row>
    <row r="28" spans="1:23" x14ac:dyDescent="0.35">
      <c r="A28" s="178"/>
      <c r="B28" s="11" t="s">
        <v>2</v>
      </c>
      <c r="C28" s="5">
        <v>216.46</v>
      </c>
      <c r="D28" s="11" t="s">
        <v>32</v>
      </c>
      <c r="E28" s="94" t="s">
        <v>135</v>
      </c>
      <c r="F28" s="94" t="s">
        <v>68</v>
      </c>
      <c r="G28" s="101">
        <f>Feuil2!I5</f>
        <v>0.12976437976437977</v>
      </c>
      <c r="H28" s="101">
        <f t="shared" si="9"/>
        <v>1629.1671327096326</v>
      </c>
      <c r="I28" s="94">
        <f>4000+20*15</f>
        <v>4300</v>
      </c>
      <c r="J28" s="101">
        <f>I28+H28</f>
        <v>5929.1671327096328</v>
      </c>
      <c r="K28" s="11"/>
      <c r="L28" s="11"/>
      <c r="M28" s="11"/>
      <c r="N28" s="11"/>
      <c r="O28" s="11"/>
      <c r="P28" s="11">
        <v>1</v>
      </c>
      <c r="Q28" s="11"/>
      <c r="R28" s="11"/>
      <c r="S28" s="11"/>
      <c r="T28" s="11"/>
      <c r="U28" s="11"/>
      <c r="V28" s="12"/>
    </row>
    <row r="29" spans="1:23" x14ac:dyDescent="0.35">
      <c r="A29" s="178"/>
      <c r="B29" s="11" t="s">
        <v>3</v>
      </c>
      <c r="C29" s="5">
        <v>198.72</v>
      </c>
      <c r="D29" s="11" t="s">
        <v>32</v>
      </c>
      <c r="E29" s="94" t="s">
        <v>51</v>
      </c>
      <c r="F29" s="94" t="s">
        <v>102</v>
      </c>
      <c r="G29" s="101">
        <f>Feuil2!I6</f>
        <v>0.10005197505197505</v>
      </c>
      <c r="H29" s="101">
        <f t="shared" si="9"/>
        <v>1256.1335369022868</v>
      </c>
      <c r="I29" s="94">
        <f>20*12+C50*0.001*1.3*1200</f>
        <v>19825.5036</v>
      </c>
      <c r="J29" s="101">
        <f t="shared" ref="J29:J34" si="10">I29+H29</f>
        <v>21081.637136902285</v>
      </c>
      <c r="K29" s="11"/>
      <c r="L29" s="11"/>
      <c r="M29" s="11">
        <v>1</v>
      </c>
      <c r="N29" s="11"/>
      <c r="O29" s="11"/>
      <c r="P29" s="11">
        <v>1</v>
      </c>
      <c r="Q29" s="11"/>
      <c r="R29" s="11"/>
      <c r="S29" s="11"/>
      <c r="T29" s="11"/>
      <c r="U29" s="11">
        <v>1</v>
      </c>
      <c r="V29" s="12"/>
    </row>
    <row r="30" spans="1:23" x14ac:dyDescent="0.35">
      <c r="A30" s="178"/>
      <c r="B30" s="11" t="s">
        <v>4</v>
      </c>
      <c r="C30" s="5">
        <v>209.5</v>
      </c>
      <c r="D30" s="11" t="s">
        <v>32</v>
      </c>
      <c r="E30" s="94" t="s">
        <v>52</v>
      </c>
      <c r="F30" s="94" t="s">
        <v>103</v>
      </c>
      <c r="G30" s="101">
        <f>Feuil2!I7</f>
        <v>0.10637560637560638</v>
      </c>
      <c r="H30" s="101">
        <f t="shared" si="9"/>
        <v>1335.5255266805266</v>
      </c>
      <c r="I30" s="94">
        <f>20*12</f>
        <v>240</v>
      </c>
      <c r="J30" s="101">
        <f t="shared" si="10"/>
        <v>1575.5255266805266</v>
      </c>
      <c r="K30" s="11"/>
      <c r="L30" s="11"/>
      <c r="M30" s="11"/>
      <c r="N30" s="11"/>
      <c r="O30" s="11"/>
      <c r="P30" s="11"/>
      <c r="Q30" s="11"/>
      <c r="R30" s="11"/>
      <c r="S30" s="11"/>
      <c r="T30" s="11"/>
      <c r="U30" s="11"/>
      <c r="V30" s="12"/>
    </row>
    <row r="31" spans="1:23" x14ac:dyDescent="0.35">
      <c r="A31" s="178"/>
      <c r="B31" s="11" t="s">
        <v>5</v>
      </c>
      <c r="C31" s="5">
        <v>206.16</v>
      </c>
      <c r="D31" s="11" t="s">
        <v>32</v>
      </c>
      <c r="E31" s="94" t="s">
        <v>53</v>
      </c>
      <c r="F31" s="94" t="s">
        <v>103</v>
      </c>
      <c r="G31" s="101">
        <f>Feuil2!I8</f>
        <v>0.10637560637560638</v>
      </c>
      <c r="H31" s="101">
        <f t="shared" si="9"/>
        <v>1335.5255266805266</v>
      </c>
      <c r="I31" s="94">
        <f>20*12</f>
        <v>240</v>
      </c>
      <c r="J31" s="101">
        <f t="shared" si="10"/>
        <v>1575.5255266805266</v>
      </c>
      <c r="K31" s="11"/>
      <c r="L31" s="11"/>
      <c r="M31" s="11"/>
      <c r="N31" s="11"/>
      <c r="O31" s="11"/>
      <c r="P31" s="11">
        <v>1</v>
      </c>
      <c r="Q31" s="11"/>
      <c r="R31" s="11"/>
      <c r="S31" s="11"/>
      <c r="T31" s="11"/>
      <c r="U31" s="11">
        <v>1</v>
      </c>
      <c r="V31" s="12"/>
    </row>
    <row r="32" spans="1:23" x14ac:dyDescent="0.35">
      <c r="A32" s="178"/>
      <c r="B32" s="11" t="s">
        <v>6</v>
      </c>
      <c r="C32" s="5">
        <v>198.93</v>
      </c>
      <c r="D32" s="11" t="s">
        <v>32</v>
      </c>
      <c r="E32" s="94" t="s">
        <v>54</v>
      </c>
      <c r="F32" s="94" t="s">
        <v>103</v>
      </c>
      <c r="G32" s="101">
        <f>Feuil2!I9</f>
        <v>3.3350658350658355E-2</v>
      </c>
      <c r="H32" s="101">
        <f t="shared" si="9"/>
        <v>418.71117896742902</v>
      </c>
      <c r="I32" s="94">
        <f>5*12+4*1200</f>
        <v>4860</v>
      </c>
      <c r="J32" s="101">
        <f t="shared" si="10"/>
        <v>5278.7111789674291</v>
      </c>
      <c r="K32" s="11">
        <v>12</v>
      </c>
      <c r="L32" s="11">
        <v>16</v>
      </c>
      <c r="M32" s="11">
        <v>20</v>
      </c>
      <c r="N32" s="11">
        <v>26</v>
      </c>
      <c r="O32" s="11">
        <v>26</v>
      </c>
      <c r="P32" s="11">
        <v>26</v>
      </c>
      <c r="Q32" s="11">
        <v>26</v>
      </c>
      <c r="R32" s="11">
        <v>26</v>
      </c>
      <c r="S32" s="11">
        <v>26</v>
      </c>
      <c r="T32" s="11">
        <v>20</v>
      </c>
      <c r="U32" s="11">
        <v>16</v>
      </c>
      <c r="V32" s="12">
        <v>12</v>
      </c>
    </row>
    <row r="33" spans="1:22" x14ac:dyDescent="0.35">
      <c r="A33" s="178"/>
      <c r="B33" s="11" t="s">
        <v>25</v>
      </c>
      <c r="C33" s="8">
        <v>418</v>
      </c>
      <c r="D33" s="11" t="s">
        <v>32</v>
      </c>
      <c r="E33" s="94" t="s">
        <v>55</v>
      </c>
      <c r="F33" s="94" t="s">
        <v>105</v>
      </c>
      <c r="G33" s="101">
        <f>Feuil2!I10</f>
        <v>3.7889812889812892E-2</v>
      </c>
      <c r="H33" s="101">
        <f t="shared" si="9"/>
        <v>475.69940176715176</v>
      </c>
      <c r="I33" s="94">
        <f>150*35</f>
        <v>5250</v>
      </c>
      <c r="J33" s="101">
        <f t="shared" si="10"/>
        <v>5725.6994017671514</v>
      </c>
      <c r="K33" s="11">
        <v>1</v>
      </c>
      <c r="L33" s="11"/>
      <c r="M33" s="11">
        <v>1</v>
      </c>
      <c r="N33" s="11"/>
      <c r="O33" s="11">
        <v>1</v>
      </c>
      <c r="P33" s="11"/>
      <c r="Q33" s="11">
        <v>1</v>
      </c>
      <c r="R33" s="11"/>
      <c r="S33" s="11">
        <v>1</v>
      </c>
      <c r="T33" s="11"/>
      <c r="U33" s="11">
        <v>1</v>
      </c>
      <c r="V33" s="12"/>
    </row>
    <row r="34" spans="1:22" x14ac:dyDescent="0.35">
      <c r="A34" s="178" t="s">
        <v>21</v>
      </c>
      <c r="B34" s="11" t="s">
        <v>11</v>
      </c>
      <c r="C34" s="5">
        <v>184.66</v>
      </c>
      <c r="D34" s="11" t="s">
        <v>32</v>
      </c>
      <c r="E34" s="94" t="s">
        <v>56</v>
      </c>
      <c r="F34" s="94" t="s">
        <v>66</v>
      </c>
      <c r="G34" s="101">
        <f>Feuil2!I11</f>
        <v>3.9197851697851699E-2</v>
      </c>
      <c r="H34" s="101">
        <f t="shared" si="9"/>
        <v>492.12158047470547</v>
      </c>
      <c r="I34" s="94">
        <f>4*700</f>
        <v>2800</v>
      </c>
      <c r="J34" s="101">
        <f t="shared" si="10"/>
        <v>3292.1215804747053</v>
      </c>
      <c r="K34" s="11"/>
      <c r="L34" s="11">
        <v>1</v>
      </c>
      <c r="M34" s="11"/>
      <c r="N34" s="11"/>
      <c r="O34" s="11">
        <v>1</v>
      </c>
      <c r="P34" s="11"/>
      <c r="Q34" s="11"/>
      <c r="R34" s="11">
        <v>1</v>
      </c>
      <c r="S34" s="11"/>
      <c r="T34" s="11"/>
      <c r="U34" s="11">
        <v>1</v>
      </c>
      <c r="V34" s="12"/>
    </row>
    <row r="35" spans="1:22" x14ac:dyDescent="0.35">
      <c r="A35" s="178"/>
      <c r="B35" s="11" t="s">
        <v>12</v>
      </c>
      <c r="C35" s="5">
        <v>139.13999999999999</v>
      </c>
      <c r="D35" s="11" t="s">
        <v>32</v>
      </c>
      <c r="E35" s="94"/>
      <c r="F35" s="94"/>
      <c r="G35" s="101"/>
      <c r="H35" s="101"/>
      <c r="I35" s="94"/>
      <c r="J35" s="94"/>
      <c r="K35" s="11"/>
      <c r="L35" s="11"/>
      <c r="M35" s="11"/>
      <c r="N35" s="11"/>
      <c r="O35" s="11"/>
      <c r="P35" s="11"/>
      <c r="Q35" s="11"/>
      <c r="R35" s="11"/>
      <c r="S35" s="11"/>
      <c r="T35" s="11"/>
      <c r="U35" s="11"/>
      <c r="V35" s="12"/>
    </row>
    <row r="36" spans="1:22" x14ac:dyDescent="0.35">
      <c r="A36" s="178"/>
      <c r="B36" s="11" t="s">
        <v>13</v>
      </c>
      <c r="C36" s="5">
        <v>210.88</v>
      </c>
      <c r="D36" s="11" t="s">
        <v>32</v>
      </c>
      <c r="E36" s="94"/>
      <c r="F36" s="94"/>
      <c r="G36" s="101"/>
      <c r="H36" s="101"/>
      <c r="I36" s="94"/>
      <c r="J36" s="94"/>
      <c r="K36" s="11"/>
      <c r="L36" s="11"/>
      <c r="M36" s="11"/>
      <c r="N36" s="11"/>
      <c r="O36" s="11"/>
      <c r="P36" s="11"/>
      <c r="Q36" s="11"/>
      <c r="R36" s="11"/>
      <c r="S36" s="11"/>
      <c r="T36" s="11"/>
      <c r="U36" s="11"/>
      <c r="V36" s="12"/>
    </row>
    <row r="37" spans="1:22" x14ac:dyDescent="0.35">
      <c r="A37" s="178"/>
      <c r="B37" s="11" t="s">
        <v>14</v>
      </c>
      <c r="C37" s="5">
        <v>296.7</v>
      </c>
      <c r="D37" s="11" t="s">
        <v>32</v>
      </c>
      <c r="E37" s="94"/>
      <c r="F37" s="94"/>
      <c r="G37" s="101"/>
      <c r="H37" s="101"/>
      <c r="I37" s="94"/>
      <c r="J37" s="94"/>
      <c r="K37" s="11"/>
      <c r="L37" s="11"/>
      <c r="M37" s="11"/>
      <c r="N37" s="11"/>
      <c r="O37" s="11"/>
      <c r="P37" s="11"/>
      <c r="Q37" s="11"/>
      <c r="R37" s="11"/>
      <c r="S37" s="11"/>
      <c r="T37" s="11"/>
      <c r="U37" s="11"/>
      <c r="V37" s="12"/>
    </row>
    <row r="38" spans="1:22" x14ac:dyDescent="0.35">
      <c r="A38" s="178"/>
      <c r="B38" s="11" t="s">
        <v>15</v>
      </c>
      <c r="C38" s="5">
        <v>301.35000000000002</v>
      </c>
      <c r="D38" s="11" t="s">
        <v>32</v>
      </c>
      <c r="E38" s="94"/>
      <c r="F38" s="94"/>
      <c r="G38" s="101"/>
      <c r="H38" s="101"/>
      <c r="I38" s="94"/>
      <c r="J38" s="94"/>
      <c r="K38" s="11"/>
      <c r="L38" s="11"/>
      <c r="M38" s="11"/>
      <c r="N38" s="11"/>
      <c r="O38" s="11"/>
      <c r="P38" s="11"/>
      <c r="Q38" s="11"/>
      <c r="R38" s="11"/>
      <c r="S38" s="11"/>
      <c r="T38" s="11"/>
      <c r="U38" s="11"/>
      <c r="V38" s="12"/>
    </row>
    <row r="39" spans="1:22" x14ac:dyDescent="0.35">
      <c r="A39" s="178"/>
      <c r="B39" s="11" t="s">
        <v>16</v>
      </c>
      <c r="C39" s="5">
        <v>271.14999999999998</v>
      </c>
      <c r="D39" s="11" t="s">
        <v>32</v>
      </c>
      <c r="E39" s="94"/>
      <c r="F39" s="94"/>
      <c r="G39" s="101"/>
      <c r="H39" s="101"/>
      <c r="I39" s="94"/>
      <c r="J39" s="94"/>
      <c r="K39" s="11"/>
      <c r="L39" s="11"/>
      <c r="M39" s="11"/>
      <c r="N39" s="11"/>
      <c r="O39" s="11"/>
      <c r="P39" s="11"/>
      <c r="Q39" s="11"/>
      <c r="R39" s="11"/>
      <c r="S39" s="11"/>
      <c r="T39" s="11"/>
      <c r="U39" s="11"/>
      <c r="V39" s="12"/>
    </row>
    <row r="40" spans="1:22" x14ac:dyDescent="0.35">
      <c r="A40" s="178"/>
      <c r="B40" s="11" t="s">
        <v>17</v>
      </c>
      <c r="C40" s="5">
        <v>331.9</v>
      </c>
      <c r="D40" s="11" t="s">
        <v>32</v>
      </c>
      <c r="E40" s="94"/>
      <c r="F40" s="94"/>
      <c r="G40" s="101"/>
      <c r="H40" s="101"/>
      <c r="I40" s="94"/>
      <c r="J40" s="94"/>
      <c r="K40" s="11"/>
      <c r="L40" s="11"/>
      <c r="M40" s="11"/>
      <c r="N40" s="11"/>
      <c r="O40" s="11"/>
      <c r="P40" s="11"/>
      <c r="Q40" s="11"/>
      <c r="R40" s="11"/>
      <c r="S40" s="11"/>
      <c r="T40" s="11"/>
      <c r="U40" s="11"/>
      <c r="V40" s="12"/>
    </row>
    <row r="41" spans="1:22" x14ac:dyDescent="0.35">
      <c r="A41" s="178"/>
      <c r="B41" s="11" t="s">
        <v>18</v>
      </c>
      <c r="C41" s="5">
        <v>204.17</v>
      </c>
      <c r="D41" s="11" t="s">
        <v>32</v>
      </c>
      <c r="E41" s="94"/>
      <c r="F41" s="94"/>
      <c r="G41" s="101"/>
      <c r="H41" s="101"/>
      <c r="I41" s="94"/>
      <c r="J41" s="94"/>
      <c r="K41" s="11"/>
      <c r="L41" s="11"/>
      <c r="M41" s="11"/>
      <c r="N41" s="11"/>
      <c r="O41" s="11"/>
      <c r="P41" s="11"/>
      <c r="Q41" s="11"/>
      <c r="R41" s="11"/>
      <c r="S41" s="11"/>
      <c r="T41" s="11"/>
      <c r="U41" s="11"/>
      <c r="V41" s="12"/>
    </row>
    <row r="42" spans="1:22" x14ac:dyDescent="0.35">
      <c r="A42" s="178" t="s">
        <v>23</v>
      </c>
      <c r="B42" s="11" t="s">
        <v>11</v>
      </c>
      <c r="C42" s="5">
        <v>463.2</v>
      </c>
      <c r="D42" s="11" t="s">
        <v>32</v>
      </c>
      <c r="E42" s="94"/>
      <c r="F42" s="94"/>
      <c r="G42" s="101"/>
      <c r="H42" s="101"/>
      <c r="I42" s="94"/>
      <c r="J42" s="94"/>
      <c r="K42" s="11"/>
      <c r="L42" s="11"/>
      <c r="M42" s="11"/>
      <c r="N42" s="11"/>
      <c r="O42" s="11"/>
      <c r="P42" s="11"/>
      <c r="Q42" s="11"/>
      <c r="R42" s="11"/>
      <c r="S42" s="11"/>
      <c r="T42" s="11"/>
      <c r="U42" s="11"/>
      <c r="V42" s="12"/>
    </row>
    <row r="43" spans="1:22" x14ac:dyDescent="0.35">
      <c r="A43" s="178"/>
      <c r="B43" s="11" t="s">
        <v>12</v>
      </c>
      <c r="C43" s="5">
        <v>268.57</v>
      </c>
      <c r="D43" s="11" t="s">
        <v>32</v>
      </c>
      <c r="E43" s="94"/>
      <c r="F43" s="94"/>
      <c r="G43" s="101"/>
      <c r="H43" s="101"/>
      <c r="I43" s="94"/>
      <c r="J43" s="94"/>
      <c r="K43" s="11"/>
      <c r="L43" s="11"/>
      <c r="M43" s="11"/>
      <c r="N43" s="11"/>
      <c r="O43" s="11"/>
      <c r="P43" s="11"/>
      <c r="Q43" s="11"/>
      <c r="R43" s="11"/>
      <c r="S43" s="11"/>
      <c r="T43" s="11"/>
      <c r="U43" s="11"/>
      <c r="V43" s="12"/>
    </row>
    <row r="44" spans="1:22" x14ac:dyDescent="0.35">
      <c r="A44" s="178"/>
      <c r="B44" s="11" t="s">
        <v>13</v>
      </c>
      <c r="C44" s="5">
        <v>383.19</v>
      </c>
      <c r="D44" s="11" t="s">
        <v>32</v>
      </c>
      <c r="E44" s="94"/>
      <c r="F44" s="94"/>
      <c r="G44" s="101"/>
      <c r="H44" s="101"/>
      <c r="I44" s="94"/>
      <c r="J44" s="94"/>
      <c r="K44" s="11"/>
      <c r="L44" s="11"/>
      <c r="M44" s="11"/>
      <c r="N44" s="11"/>
      <c r="O44" s="11"/>
      <c r="P44" s="11"/>
      <c r="Q44" s="11"/>
      <c r="R44" s="11"/>
      <c r="S44" s="11"/>
      <c r="T44" s="11"/>
      <c r="U44" s="11"/>
      <c r="V44" s="12"/>
    </row>
    <row r="45" spans="1:22" x14ac:dyDescent="0.35">
      <c r="A45" s="178"/>
      <c r="B45" s="11" t="s">
        <v>14</v>
      </c>
      <c r="C45" s="5">
        <v>430.04</v>
      </c>
      <c r="D45" s="11" t="s">
        <v>32</v>
      </c>
      <c r="E45" s="94"/>
      <c r="F45" s="94"/>
      <c r="G45" s="101"/>
      <c r="H45" s="101"/>
      <c r="I45" s="94"/>
      <c r="J45" s="94"/>
      <c r="K45" s="11"/>
      <c r="L45" s="11"/>
      <c r="M45" s="11"/>
      <c r="N45" s="11"/>
      <c r="O45" s="11"/>
      <c r="P45" s="11"/>
      <c r="Q45" s="11"/>
      <c r="R45" s="11"/>
      <c r="S45" s="11"/>
      <c r="T45" s="11"/>
      <c r="U45" s="11"/>
      <c r="V45" s="12"/>
    </row>
    <row r="46" spans="1:22" ht="15" thickBot="1" x14ac:dyDescent="0.4">
      <c r="A46" s="179"/>
      <c r="B46" s="64" t="s">
        <v>15</v>
      </c>
      <c r="C46" s="63">
        <v>487.43</v>
      </c>
      <c r="D46" s="64" t="s">
        <v>32</v>
      </c>
      <c r="E46" s="109"/>
      <c r="F46" s="109"/>
      <c r="G46" s="102"/>
      <c r="H46" s="102"/>
      <c r="I46" s="109"/>
      <c r="J46" s="109"/>
      <c r="K46" s="64"/>
      <c r="L46" s="64"/>
      <c r="M46" s="64"/>
      <c r="N46" s="64"/>
      <c r="O46" s="64"/>
      <c r="P46" s="64"/>
      <c r="Q46" s="64"/>
      <c r="R46" s="64"/>
      <c r="S46" s="64"/>
      <c r="T46" s="64"/>
      <c r="U46" s="64"/>
      <c r="V46" s="128"/>
    </row>
    <row r="47" spans="1:22" x14ac:dyDescent="0.35">
      <c r="A47" s="138" t="s">
        <v>27</v>
      </c>
      <c r="B47" s="13" t="s">
        <v>27</v>
      </c>
      <c r="C47" s="7">
        <v>664</v>
      </c>
      <c r="D47" s="13" t="s">
        <v>32</v>
      </c>
      <c r="E47" s="108"/>
      <c r="F47" s="97"/>
      <c r="G47" s="106"/>
      <c r="H47" s="106"/>
      <c r="I47" s="97"/>
      <c r="J47" s="97"/>
      <c r="K47" s="90"/>
      <c r="L47" s="90"/>
      <c r="M47" s="90"/>
      <c r="N47" s="90"/>
      <c r="O47" s="90"/>
      <c r="P47" s="90"/>
      <c r="Q47" s="90"/>
      <c r="R47" s="90"/>
      <c r="S47" s="90"/>
      <c r="T47" s="90"/>
      <c r="U47" s="90"/>
      <c r="V47" s="91"/>
    </row>
    <row r="48" spans="1:22" x14ac:dyDescent="0.35">
      <c r="A48" s="137" t="s">
        <v>28</v>
      </c>
      <c r="B48" s="11" t="s">
        <v>28</v>
      </c>
      <c r="C48" s="8">
        <v>2220</v>
      </c>
      <c r="D48" s="11" t="s">
        <v>32</v>
      </c>
      <c r="E48" s="94"/>
      <c r="F48" s="117"/>
      <c r="G48" s="118"/>
      <c r="H48" s="118"/>
      <c r="I48" s="117"/>
      <c r="J48" s="117"/>
      <c r="K48" s="119"/>
      <c r="L48" s="119"/>
      <c r="M48" s="119"/>
      <c r="N48" s="119"/>
      <c r="O48" s="119"/>
      <c r="P48" s="119"/>
      <c r="Q48" s="119"/>
      <c r="R48" s="119"/>
      <c r="S48" s="119"/>
      <c r="T48" s="119"/>
      <c r="U48" s="119"/>
      <c r="V48" s="121"/>
    </row>
    <row r="49" spans="1:23" s="85" customFormat="1" ht="15" thickBot="1" x14ac:dyDescent="0.4">
      <c r="A49" s="122" t="s">
        <v>35</v>
      </c>
      <c r="B49" s="123" t="s">
        <v>29</v>
      </c>
      <c r="C49" s="124">
        <v>4087</v>
      </c>
      <c r="D49" s="123" t="s">
        <v>33</v>
      </c>
      <c r="E49" s="125"/>
      <c r="F49" s="125"/>
      <c r="G49" s="126"/>
      <c r="H49" s="126"/>
      <c r="I49" s="125"/>
      <c r="J49" s="125"/>
      <c r="K49" s="123"/>
      <c r="L49" s="123"/>
      <c r="M49" s="123"/>
      <c r="N49" s="123"/>
      <c r="O49" s="123"/>
      <c r="P49" s="123"/>
      <c r="Q49" s="123"/>
      <c r="R49" s="123"/>
      <c r="S49" s="123"/>
      <c r="T49" s="123"/>
      <c r="U49" s="123"/>
      <c r="V49" s="127"/>
    </row>
    <row r="50" spans="1:23" s="81" customFormat="1" ht="15" thickBot="1" x14ac:dyDescent="0.4">
      <c r="A50" s="190" t="s">
        <v>118</v>
      </c>
      <c r="B50" s="191"/>
      <c r="C50" s="129">
        <f>SUM(C27:C49)</f>
        <v>12554.81</v>
      </c>
      <c r="D50" s="78" t="s">
        <v>32</v>
      </c>
      <c r="E50" s="93"/>
      <c r="F50" s="93">
        <f>C50*0.001*1.3*1200</f>
        <v>19585.5036</v>
      </c>
      <c r="G50" s="103"/>
      <c r="H50" s="103"/>
      <c r="I50" s="93"/>
      <c r="J50" s="93"/>
      <c r="K50" s="78">
        <f>K27*$J$27+K28*$J$28+K29*$J$29+K30*$J$30+K31*$J$31+K32*$J$32+K33*$J$33+K34*$J$34</f>
        <v>69070.233549376295</v>
      </c>
      <c r="L50" s="78">
        <f t="shared" ref="L50:V50" si="11">L27*$J$27+L28*$J$28+L29*$J$29+L30*$J$30+L31*$J$31+L32*$J$32+L33*$J$33+L34*$J$34</f>
        <v>87751.50044395357</v>
      </c>
      <c r="M50" s="78">
        <f t="shared" si="11"/>
        <v>139126.39837858628</v>
      </c>
      <c r="N50" s="78">
        <f t="shared" si="11"/>
        <v>137246.49065315316</v>
      </c>
      <c r="O50" s="78">
        <f t="shared" si="11"/>
        <v>146264.31163539502</v>
      </c>
      <c r="P50" s="78">
        <f t="shared" si="11"/>
        <v>165832.8204494456</v>
      </c>
      <c r="Q50" s="78">
        <f t="shared" si="11"/>
        <v>142972.1900549203</v>
      </c>
      <c r="R50" s="78">
        <f t="shared" si="11"/>
        <v>140538.61223362788</v>
      </c>
      <c r="S50" s="78">
        <f t="shared" si="11"/>
        <v>142972.1900549203</v>
      </c>
      <c r="T50" s="78">
        <f t="shared" si="11"/>
        <v>105574.22357934859</v>
      </c>
      <c r="U50" s="78">
        <f t="shared" si="11"/>
        <v>116134.36250930354</v>
      </c>
      <c r="V50" s="78">
        <f t="shared" si="11"/>
        <v>63344.534147609149</v>
      </c>
      <c r="W50" s="81">
        <f>SUM(K50:V50)</f>
        <v>1456827.8676896396</v>
      </c>
    </row>
    <row r="51" spans="1:23" x14ac:dyDescent="0.35">
      <c r="A51" s="181" t="s">
        <v>10</v>
      </c>
      <c r="B51" s="66" t="s">
        <v>19</v>
      </c>
      <c r="C51" s="67">
        <f>8336+437-24-11-17-30-5-23-40-20-8-31-17-8</f>
        <v>8539</v>
      </c>
      <c r="D51" s="66" t="s">
        <v>34</v>
      </c>
      <c r="E51" s="108" t="s">
        <v>125</v>
      </c>
      <c r="F51" s="108" t="s">
        <v>131</v>
      </c>
      <c r="G51" s="100"/>
      <c r="H51" s="100"/>
      <c r="I51" s="108">
        <f>40*15</f>
        <v>600</v>
      </c>
      <c r="J51" s="140">
        <f>I51+H51</f>
        <v>600</v>
      </c>
      <c r="K51" s="66">
        <v>1</v>
      </c>
      <c r="L51" s="66">
        <v>1</v>
      </c>
      <c r="M51" s="66">
        <v>1</v>
      </c>
      <c r="N51" s="66">
        <v>1</v>
      </c>
      <c r="O51" s="66">
        <v>1</v>
      </c>
      <c r="P51" s="66">
        <v>1</v>
      </c>
      <c r="Q51" s="66">
        <v>1</v>
      </c>
      <c r="R51" s="66">
        <v>1</v>
      </c>
      <c r="S51" s="66">
        <v>1</v>
      </c>
      <c r="T51" s="66">
        <v>1</v>
      </c>
      <c r="U51" s="66">
        <v>1</v>
      </c>
      <c r="V51" s="69">
        <v>1</v>
      </c>
    </row>
    <row r="52" spans="1:23" x14ac:dyDescent="0.35">
      <c r="A52" s="182"/>
      <c r="B52" s="15" t="s">
        <v>26</v>
      </c>
      <c r="C52" s="6">
        <f>143+166+155+84+70+105+75</f>
        <v>798</v>
      </c>
      <c r="D52" s="15" t="s">
        <v>34</v>
      </c>
      <c r="E52" s="94" t="s">
        <v>126</v>
      </c>
      <c r="F52" s="94" t="s">
        <v>132</v>
      </c>
      <c r="G52" s="101"/>
      <c r="H52" s="101"/>
      <c r="I52" s="94">
        <v>1594</v>
      </c>
      <c r="J52" s="101">
        <f>I52+H52</f>
        <v>1594</v>
      </c>
      <c r="K52" s="15"/>
      <c r="L52" s="15"/>
      <c r="M52" s="15">
        <v>1</v>
      </c>
      <c r="N52" s="15"/>
      <c r="O52" s="15"/>
      <c r="P52" s="15">
        <v>1</v>
      </c>
      <c r="Q52" s="15"/>
      <c r="R52" s="15"/>
      <c r="S52" s="15">
        <v>1</v>
      </c>
      <c r="T52" s="15"/>
      <c r="U52" s="15"/>
      <c r="V52" s="16">
        <v>1</v>
      </c>
    </row>
    <row r="53" spans="1:23" x14ac:dyDescent="0.35">
      <c r="A53" s="70" t="s">
        <v>21</v>
      </c>
      <c r="B53" s="15" t="s">
        <v>20</v>
      </c>
      <c r="C53" s="6">
        <v>937</v>
      </c>
      <c r="D53" s="15" t="s">
        <v>34</v>
      </c>
      <c r="E53" s="94"/>
      <c r="F53" s="94"/>
      <c r="G53" s="101"/>
      <c r="H53" s="101"/>
      <c r="I53" s="94"/>
      <c r="J53" s="94"/>
      <c r="K53" s="15"/>
      <c r="L53" s="15"/>
      <c r="M53" s="15"/>
      <c r="N53" s="15"/>
      <c r="O53" s="15"/>
      <c r="P53" s="15"/>
      <c r="Q53" s="15"/>
      <c r="R53" s="15"/>
      <c r="S53" s="15"/>
      <c r="T53" s="15"/>
      <c r="U53" s="15"/>
      <c r="V53" s="16"/>
    </row>
    <row r="54" spans="1:23" ht="15" thickBot="1" x14ac:dyDescent="0.4">
      <c r="A54" s="71" t="s">
        <v>23</v>
      </c>
      <c r="B54" s="17" t="s">
        <v>20</v>
      </c>
      <c r="C54" s="68">
        <v>755</v>
      </c>
      <c r="D54" s="17" t="s">
        <v>34</v>
      </c>
      <c r="E54" s="109"/>
      <c r="F54" s="109"/>
      <c r="G54" s="102"/>
      <c r="H54" s="102"/>
      <c r="I54" s="109"/>
      <c r="J54" s="109"/>
      <c r="K54" s="17"/>
      <c r="L54" s="17"/>
      <c r="M54" s="17"/>
      <c r="N54" s="17"/>
      <c r="O54" s="17"/>
      <c r="P54" s="17"/>
      <c r="Q54" s="17"/>
      <c r="R54" s="17"/>
      <c r="S54" s="17"/>
      <c r="T54" s="17"/>
      <c r="U54" s="17"/>
      <c r="V54" s="18"/>
    </row>
    <row r="55" spans="1:23" s="81" customFormat="1" ht="15" thickBot="1" x14ac:dyDescent="0.4">
      <c r="A55" s="174" t="s">
        <v>121</v>
      </c>
      <c r="B55" s="175"/>
      <c r="C55" s="79">
        <f>SUM(C51:C54)</f>
        <v>11029</v>
      </c>
      <c r="D55" s="80"/>
      <c r="E55" s="93"/>
      <c r="F55" s="93"/>
      <c r="G55" s="103"/>
      <c r="H55" s="103"/>
      <c r="I55" s="93"/>
      <c r="J55" s="93"/>
      <c r="K55" s="80">
        <f>K51*$J$51+K52*$J$52+K53*$J$53+K54*$J$54</f>
        <v>600</v>
      </c>
      <c r="L55" s="80">
        <f t="shared" ref="L55:V55" si="12">L51*$J$51+L52*$J$52+L53*$J$53+L54*$J$54</f>
        <v>600</v>
      </c>
      <c r="M55" s="80">
        <f t="shared" si="12"/>
        <v>2194</v>
      </c>
      <c r="N55" s="80">
        <f t="shared" si="12"/>
        <v>600</v>
      </c>
      <c r="O55" s="80">
        <f t="shared" si="12"/>
        <v>600</v>
      </c>
      <c r="P55" s="80">
        <f t="shared" si="12"/>
        <v>2194</v>
      </c>
      <c r="Q55" s="80">
        <f t="shared" si="12"/>
        <v>600</v>
      </c>
      <c r="R55" s="80">
        <f t="shared" si="12"/>
        <v>600</v>
      </c>
      <c r="S55" s="80">
        <f t="shared" si="12"/>
        <v>2194</v>
      </c>
      <c r="T55" s="80">
        <f t="shared" si="12"/>
        <v>600</v>
      </c>
      <c r="U55" s="80">
        <f t="shared" si="12"/>
        <v>600</v>
      </c>
      <c r="V55" s="80">
        <f t="shared" si="12"/>
        <v>2194</v>
      </c>
      <c r="W55" s="81">
        <f>SUM(K55:V55)</f>
        <v>13576</v>
      </c>
    </row>
  </sheetData>
  <mergeCells count="14">
    <mergeCell ref="A13:B13"/>
    <mergeCell ref="A1:D1"/>
    <mergeCell ref="K1:V1"/>
    <mergeCell ref="A3:A5"/>
    <mergeCell ref="A6:A8"/>
    <mergeCell ref="A9:A12"/>
    <mergeCell ref="A51:A52"/>
    <mergeCell ref="A55:B55"/>
    <mergeCell ref="A22:B22"/>
    <mergeCell ref="A26:B26"/>
    <mergeCell ref="A27:A33"/>
    <mergeCell ref="A34:A41"/>
    <mergeCell ref="A42:A46"/>
    <mergeCell ref="A50:B50"/>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6EF69-6078-4C19-832F-602D056D0A2C}">
  <dimension ref="A1:F43"/>
  <sheetViews>
    <sheetView workbookViewId="0">
      <selection activeCell="D14" sqref="D14"/>
    </sheetView>
  </sheetViews>
  <sheetFormatPr defaultRowHeight="14.5" x14ac:dyDescent="0.35"/>
  <cols>
    <col min="1" max="1" width="18.08984375" bestFit="1" customWidth="1"/>
    <col min="2" max="2" width="10.54296875" customWidth="1"/>
    <col min="3" max="3" width="14.90625" bestFit="1" customWidth="1"/>
    <col min="4" max="4" width="14.90625" customWidth="1"/>
    <col min="5" max="5" width="11.54296875" style="141" bestFit="1" customWidth="1"/>
    <col min="6" max="6" width="16.81640625" bestFit="1" customWidth="1"/>
  </cols>
  <sheetData>
    <row r="1" spans="1:6" x14ac:dyDescent="0.35">
      <c r="A1" s="157" t="s">
        <v>136</v>
      </c>
      <c r="B1" s="157" t="s">
        <v>137</v>
      </c>
      <c r="C1" s="157" t="s">
        <v>270</v>
      </c>
      <c r="D1" s="157" t="s">
        <v>138</v>
      </c>
      <c r="E1" s="158" t="s">
        <v>139</v>
      </c>
      <c r="F1" s="157" t="s">
        <v>140</v>
      </c>
    </row>
    <row r="2" spans="1:6" x14ac:dyDescent="0.35">
      <c r="A2" s="159" t="str">
        <f t="shared" ref="A2:A43" si="0">_xlfn.CONCAT(B2,C2)</f>
        <v>CDDepart1</v>
      </c>
      <c r="B2" s="160" t="s">
        <v>10</v>
      </c>
      <c r="C2" s="159" t="s">
        <v>7</v>
      </c>
      <c r="D2" s="159" t="s">
        <v>158</v>
      </c>
      <c r="E2" s="161">
        <v>745.86630000000002</v>
      </c>
      <c r="F2" s="159" t="s">
        <v>30</v>
      </c>
    </row>
    <row r="3" spans="1:6" x14ac:dyDescent="0.35">
      <c r="A3" s="159" t="str">
        <f t="shared" si="0"/>
        <v>CDDepart2</v>
      </c>
      <c r="B3" s="160" t="s">
        <v>10</v>
      </c>
      <c r="C3" s="159" t="s">
        <v>8</v>
      </c>
      <c r="D3" s="159" t="s">
        <v>158</v>
      </c>
      <c r="E3" s="161">
        <v>742.41030000000001</v>
      </c>
      <c r="F3" s="159" t="s">
        <v>30</v>
      </c>
    </row>
    <row r="4" spans="1:6" x14ac:dyDescent="0.35">
      <c r="A4" s="159" t="str">
        <f t="shared" si="0"/>
        <v>CDDepart3</v>
      </c>
      <c r="B4" s="160" t="s">
        <v>10</v>
      </c>
      <c r="C4" s="159" t="s">
        <v>9</v>
      </c>
      <c r="D4" s="159" t="s">
        <v>158</v>
      </c>
      <c r="E4" s="161">
        <v>721.72080000000005</v>
      </c>
      <c r="F4" s="159" t="s">
        <v>30</v>
      </c>
    </row>
    <row r="5" spans="1:6" x14ac:dyDescent="0.35">
      <c r="A5" s="159" t="str">
        <f t="shared" si="0"/>
        <v>WDDepart1</v>
      </c>
      <c r="B5" s="160" t="s">
        <v>21</v>
      </c>
      <c r="C5" s="159" t="s">
        <v>7</v>
      </c>
      <c r="D5" s="159" t="s">
        <v>158</v>
      </c>
      <c r="E5" s="161">
        <v>709.09960000000001</v>
      </c>
      <c r="F5" s="159" t="s">
        <v>30</v>
      </c>
    </row>
    <row r="6" spans="1:6" x14ac:dyDescent="0.35">
      <c r="A6" s="159" t="str">
        <f t="shared" si="0"/>
        <v>WDDepart2</v>
      </c>
      <c r="B6" s="160" t="s">
        <v>21</v>
      </c>
      <c r="C6" s="159" t="s">
        <v>8</v>
      </c>
      <c r="D6" s="159" t="s">
        <v>158</v>
      </c>
      <c r="E6" s="161">
        <v>731.17529999999999</v>
      </c>
      <c r="F6" s="159" t="s">
        <v>30</v>
      </c>
    </row>
    <row r="7" spans="1:6" x14ac:dyDescent="0.35">
      <c r="A7" s="159" t="str">
        <f t="shared" si="0"/>
        <v>WDDepart3</v>
      </c>
      <c r="B7" s="160" t="s">
        <v>21</v>
      </c>
      <c r="C7" s="159" t="s">
        <v>9</v>
      </c>
      <c r="D7" s="159" t="s">
        <v>158</v>
      </c>
      <c r="E7" s="161">
        <v>676.97050000000002</v>
      </c>
      <c r="F7" s="159" t="s">
        <v>30</v>
      </c>
    </row>
    <row r="8" spans="1:6" x14ac:dyDescent="0.35">
      <c r="A8" s="159" t="str">
        <f t="shared" si="0"/>
        <v>WpDepart1</v>
      </c>
      <c r="B8" s="160" t="s">
        <v>23</v>
      </c>
      <c r="C8" s="159" t="s">
        <v>7</v>
      </c>
      <c r="D8" s="159" t="s">
        <v>158</v>
      </c>
      <c r="E8" s="161">
        <v>62.52</v>
      </c>
      <c r="F8" s="159" t="s">
        <v>30</v>
      </c>
    </row>
    <row r="9" spans="1:6" x14ac:dyDescent="0.35">
      <c r="A9" s="159" t="str">
        <f t="shared" si="0"/>
        <v>WpDepart2</v>
      </c>
      <c r="B9" s="160" t="s">
        <v>23</v>
      </c>
      <c r="C9" s="159" t="s">
        <v>8</v>
      </c>
      <c r="D9" s="159" t="s">
        <v>158</v>
      </c>
      <c r="E9" s="161">
        <v>50.04</v>
      </c>
      <c r="F9" s="159" t="s">
        <v>30</v>
      </c>
    </row>
    <row r="10" spans="1:6" x14ac:dyDescent="0.35">
      <c r="A10" s="159" t="str">
        <f t="shared" si="0"/>
        <v>WpDepart3</v>
      </c>
      <c r="B10" s="160" t="s">
        <v>23</v>
      </c>
      <c r="C10" s="159" t="s">
        <v>9</v>
      </c>
      <c r="D10" s="159" t="s">
        <v>158</v>
      </c>
      <c r="E10" s="161">
        <v>47.66</v>
      </c>
      <c r="F10" s="159" t="s">
        <v>30</v>
      </c>
    </row>
    <row r="11" spans="1:6" x14ac:dyDescent="0.35">
      <c r="A11" s="159" t="str">
        <f t="shared" si="0"/>
        <v>WpDepart4</v>
      </c>
      <c r="B11" s="160" t="s">
        <v>23</v>
      </c>
      <c r="C11" s="159" t="s">
        <v>22</v>
      </c>
      <c r="D11" s="159" t="s">
        <v>158</v>
      </c>
      <c r="E11" s="161">
        <v>125.84</v>
      </c>
      <c r="F11" s="159" t="s">
        <v>30</v>
      </c>
    </row>
    <row r="12" spans="1:6" x14ac:dyDescent="0.35">
      <c r="A12" s="159" t="str">
        <f t="shared" si="0"/>
        <v>CDFairway</v>
      </c>
      <c r="B12" s="160" t="s">
        <v>10</v>
      </c>
      <c r="C12" s="159" t="s">
        <v>31</v>
      </c>
      <c r="D12" s="159" t="s">
        <v>31</v>
      </c>
      <c r="E12" s="162">
        <v>11879</v>
      </c>
      <c r="F12" s="159" t="s">
        <v>30</v>
      </c>
    </row>
    <row r="13" spans="1:6" x14ac:dyDescent="0.35">
      <c r="A13" s="159" t="str">
        <f t="shared" si="0"/>
        <v>WDFairway</v>
      </c>
      <c r="B13" s="160" t="s">
        <v>21</v>
      </c>
      <c r="C13" s="159" t="s">
        <v>31</v>
      </c>
      <c r="D13" s="159" t="s">
        <v>31</v>
      </c>
      <c r="E13" s="162">
        <v>9904.8046000000013</v>
      </c>
      <c r="F13" s="159" t="s">
        <v>30</v>
      </c>
    </row>
    <row r="14" spans="1:6" x14ac:dyDescent="0.35">
      <c r="A14" s="159" t="str">
        <f t="shared" si="0"/>
        <v>WpFairway</v>
      </c>
      <c r="B14" s="160" t="s">
        <v>23</v>
      </c>
      <c r="C14" s="159" t="s">
        <v>31</v>
      </c>
      <c r="D14" s="159" t="s">
        <v>31</v>
      </c>
      <c r="E14" s="162">
        <v>5916.5099999999984</v>
      </c>
      <c r="F14" s="159" t="s">
        <v>30</v>
      </c>
    </row>
    <row r="15" spans="1:6" x14ac:dyDescent="0.35">
      <c r="A15" s="159" t="str">
        <f t="shared" si="0"/>
        <v>CDRough</v>
      </c>
      <c r="B15" s="160" t="s">
        <v>10</v>
      </c>
      <c r="C15" s="160" t="s">
        <v>124</v>
      </c>
      <c r="D15" s="160" t="s">
        <v>124</v>
      </c>
      <c r="E15" s="161">
        <v>6260</v>
      </c>
      <c r="F15" s="160" t="s">
        <v>30</v>
      </c>
    </row>
    <row r="16" spans="1:6" x14ac:dyDescent="0.35">
      <c r="A16" s="159" t="str">
        <f t="shared" si="0"/>
        <v>WPRough</v>
      </c>
      <c r="B16" s="160" t="s">
        <v>142</v>
      </c>
      <c r="C16" s="160" t="s">
        <v>124</v>
      </c>
      <c r="D16" s="160" t="s">
        <v>124</v>
      </c>
      <c r="E16" s="161">
        <v>5300</v>
      </c>
      <c r="F16" s="160" t="s">
        <v>30</v>
      </c>
    </row>
    <row r="17" spans="1:6" x14ac:dyDescent="0.35">
      <c r="A17" s="159" t="str">
        <f t="shared" si="0"/>
        <v>CDGreen1</v>
      </c>
      <c r="B17" s="160" t="s">
        <v>10</v>
      </c>
      <c r="C17" s="159" t="s">
        <v>1</v>
      </c>
      <c r="D17" s="159" t="s">
        <v>160</v>
      </c>
      <c r="E17" s="161">
        <v>163.66</v>
      </c>
      <c r="F17" s="159" t="s">
        <v>32</v>
      </c>
    </row>
    <row r="18" spans="1:6" x14ac:dyDescent="0.35">
      <c r="A18" s="159" t="str">
        <f t="shared" si="0"/>
        <v>CDGreen2</v>
      </c>
      <c r="B18" s="160" t="s">
        <v>10</v>
      </c>
      <c r="C18" s="159" t="s">
        <v>2</v>
      </c>
      <c r="D18" s="159" t="s">
        <v>160</v>
      </c>
      <c r="E18" s="161">
        <v>216.46</v>
      </c>
      <c r="F18" s="159" t="s">
        <v>32</v>
      </c>
    </row>
    <row r="19" spans="1:6" x14ac:dyDescent="0.35">
      <c r="A19" s="159" t="str">
        <f t="shared" si="0"/>
        <v>CDGreen3</v>
      </c>
      <c r="B19" s="160" t="s">
        <v>10</v>
      </c>
      <c r="C19" s="159" t="s">
        <v>3</v>
      </c>
      <c r="D19" s="159" t="s">
        <v>160</v>
      </c>
      <c r="E19" s="161">
        <v>198.72</v>
      </c>
      <c r="F19" s="159" t="s">
        <v>32</v>
      </c>
    </row>
    <row r="20" spans="1:6" x14ac:dyDescent="0.35">
      <c r="A20" s="159" t="str">
        <f t="shared" si="0"/>
        <v>CDGreen4</v>
      </c>
      <c r="B20" s="160" t="s">
        <v>10</v>
      </c>
      <c r="C20" s="159" t="s">
        <v>4</v>
      </c>
      <c r="D20" s="159" t="s">
        <v>160</v>
      </c>
      <c r="E20" s="161">
        <v>209.5</v>
      </c>
      <c r="F20" s="159" t="s">
        <v>32</v>
      </c>
    </row>
    <row r="21" spans="1:6" x14ac:dyDescent="0.35">
      <c r="A21" s="159" t="str">
        <f t="shared" si="0"/>
        <v>CDGreen5</v>
      </c>
      <c r="B21" s="160" t="s">
        <v>10</v>
      </c>
      <c r="C21" s="159" t="s">
        <v>5</v>
      </c>
      <c r="D21" s="159" t="s">
        <v>160</v>
      </c>
      <c r="E21" s="161">
        <v>206.16</v>
      </c>
      <c r="F21" s="159" t="s">
        <v>32</v>
      </c>
    </row>
    <row r="22" spans="1:6" x14ac:dyDescent="0.35">
      <c r="A22" s="159" t="str">
        <f t="shared" si="0"/>
        <v>CDGreen6</v>
      </c>
      <c r="B22" s="160" t="s">
        <v>10</v>
      </c>
      <c r="C22" s="159" t="s">
        <v>6</v>
      </c>
      <c r="D22" s="159" t="s">
        <v>160</v>
      </c>
      <c r="E22" s="161">
        <v>198.93</v>
      </c>
      <c r="F22" s="159" t="s">
        <v>32</v>
      </c>
    </row>
    <row r="23" spans="1:6" x14ac:dyDescent="0.35">
      <c r="A23" s="159" t="str">
        <f t="shared" si="0"/>
        <v xml:space="preserve">CDdepart_Prince </v>
      </c>
      <c r="B23" s="160" t="s">
        <v>10</v>
      </c>
      <c r="C23" s="159" t="s">
        <v>141</v>
      </c>
      <c r="D23" s="159" t="s">
        <v>160</v>
      </c>
      <c r="E23" s="162">
        <v>418</v>
      </c>
      <c r="F23" s="159" t="s">
        <v>32</v>
      </c>
    </row>
    <row r="24" spans="1:6" x14ac:dyDescent="0.35">
      <c r="A24" s="159" t="str">
        <f t="shared" si="0"/>
        <v>WDgreen1</v>
      </c>
      <c r="B24" s="160" t="s">
        <v>21</v>
      </c>
      <c r="C24" s="159" t="s">
        <v>11</v>
      </c>
      <c r="D24" s="159" t="s">
        <v>160</v>
      </c>
      <c r="E24" s="161">
        <v>184.66</v>
      </c>
      <c r="F24" s="159" t="s">
        <v>32</v>
      </c>
    </row>
    <row r="25" spans="1:6" x14ac:dyDescent="0.35">
      <c r="A25" s="159" t="str">
        <f t="shared" si="0"/>
        <v>WDgreen2</v>
      </c>
      <c r="B25" s="160" t="s">
        <v>21</v>
      </c>
      <c r="C25" s="159" t="s">
        <v>12</v>
      </c>
      <c r="D25" s="159" t="s">
        <v>160</v>
      </c>
      <c r="E25" s="161">
        <v>139.13999999999999</v>
      </c>
      <c r="F25" s="159" t="s">
        <v>32</v>
      </c>
    </row>
    <row r="26" spans="1:6" x14ac:dyDescent="0.35">
      <c r="A26" s="159" t="str">
        <f t="shared" si="0"/>
        <v>WDgreen3</v>
      </c>
      <c r="B26" s="160" t="s">
        <v>21</v>
      </c>
      <c r="C26" s="159" t="s">
        <v>13</v>
      </c>
      <c r="D26" s="159" t="s">
        <v>160</v>
      </c>
      <c r="E26" s="161">
        <v>210.88</v>
      </c>
      <c r="F26" s="159" t="s">
        <v>32</v>
      </c>
    </row>
    <row r="27" spans="1:6" x14ac:dyDescent="0.35">
      <c r="A27" s="159" t="str">
        <f t="shared" si="0"/>
        <v>WDgreen4</v>
      </c>
      <c r="B27" s="160" t="s">
        <v>21</v>
      </c>
      <c r="C27" s="159" t="s">
        <v>14</v>
      </c>
      <c r="D27" s="159" t="s">
        <v>160</v>
      </c>
      <c r="E27" s="161">
        <v>296.7</v>
      </c>
      <c r="F27" s="159" t="s">
        <v>32</v>
      </c>
    </row>
    <row r="28" spans="1:6" x14ac:dyDescent="0.35">
      <c r="A28" s="159" t="str">
        <f t="shared" si="0"/>
        <v>WDgreen5</v>
      </c>
      <c r="B28" s="160" t="s">
        <v>21</v>
      </c>
      <c r="C28" s="159" t="s">
        <v>15</v>
      </c>
      <c r="D28" s="159" t="s">
        <v>160</v>
      </c>
      <c r="E28" s="161">
        <v>301.35000000000002</v>
      </c>
      <c r="F28" s="159" t="s">
        <v>32</v>
      </c>
    </row>
    <row r="29" spans="1:6" x14ac:dyDescent="0.35">
      <c r="A29" s="159" t="str">
        <f t="shared" si="0"/>
        <v>WDgreen6</v>
      </c>
      <c r="B29" s="160" t="s">
        <v>21</v>
      </c>
      <c r="C29" s="159" t="s">
        <v>16</v>
      </c>
      <c r="D29" s="159" t="s">
        <v>160</v>
      </c>
      <c r="E29" s="161">
        <v>271.14999999999998</v>
      </c>
      <c r="F29" s="159" t="s">
        <v>32</v>
      </c>
    </row>
    <row r="30" spans="1:6" x14ac:dyDescent="0.35">
      <c r="A30" s="159" t="str">
        <f t="shared" si="0"/>
        <v>WDgreen7</v>
      </c>
      <c r="B30" s="160" t="s">
        <v>21</v>
      </c>
      <c r="C30" s="159" t="s">
        <v>17</v>
      </c>
      <c r="D30" s="159" t="s">
        <v>160</v>
      </c>
      <c r="E30" s="161">
        <v>331.9</v>
      </c>
      <c r="F30" s="159" t="s">
        <v>32</v>
      </c>
    </row>
    <row r="31" spans="1:6" x14ac:dyDescent="0.35">
      <c r="A31" s="159" t="str">
        <f t="shared" si="0"/>
        <v>WDgreen8</v>
      </c>
      <c r="B31" s="160" t="s">
        <v>21</v>
      </c>
      <c r="C31" s="159" t="s">
        <v>18</v>
      </c>
      <c r="D31" s="159" t="s">
        <v>160</v>
      </c>
      <c r="E31" s="161">
        <v>204.17</v>
      </c>
      <c r="F31" s="159" t="s">
        <v>32</v>
      </c>
    </row>
    <row r="32" spans="1:6" x14ac:dyDescent="0.35">
      <c r="A32" s="159" t="str">
        <f t="shared" si="0"/>
        <v>Wpgreen1</v>
      </c>
      <c r="B32" s="160" t="s">
        <v>23</v>
      </c>
      <c r="C32" s="159" t="s">
        <v>11</v>
      </c>
      <c r="D32" s="159" t="s">
        <v>160</v>
      </c>
      <c r="E32" s="161">
        <v>463.2</v>
      </c>
      <c r="F32" s="159" t="s">
        <v>32</v>
      </c>
    </row>
    <row r="33" spans="1:6" x14ac:dyDescent="0.35">
      <c r="A33" s="159" t="str">
        <f t="shared" si="0"/>
        <v>Wpgreen2</v>
      </c>
      <c r="B33" s="160" t="s">
        <v>23</v>
      </c>
      <c r="C33" s="159" t="s">
        <v>12</v>
      </c>
      <c r="D33" s="159" t="s">
        <v>160</v>
      </c>
      <c r="E33" s="161">
        <v>268.57</v>
      </c>
      <c r="F33" s="159" t="s">
        <v>32</v>
      </c>
    </row>
    <row r="34" spans="1:6" x14ac:dyDescent="0.35">
      <c r="A34" s="159" t="str">
        <f t="shared" si="0"/>
        <v>Wpgreen3</v>
      </c>
      <c r="B34" s="160" t="s">
        <v>23</v>
      </c>
      <c r="C34" s="159" t="s">
        <v>13</v>
      </c>
      <c r="D34" s="159" t="s">
        <v>160</v>
      </c>
      <c r="E34" s="161">
        <v>383.19</v>
      </c>
      <c r="F34" s="159" t="s">
        <v>32</v>
      </c>
    </row>
    <row r="35" spans="1:6" x14ac:dyDescent="0.35">
      <c r="A35" s="159" t="str">
        <f t="shared" si="0"/>
        <v>Wpgreen4</v>
      </c>
      <c r="B35" s="160" t="s">
        <v>23</v>
      </c>
      <c r="C35" s="159" t="s">
        <v>14</v>
      </c>
      <c r="D35" s="159" t="s">
        <v>160</v>
      </c>
      <c r="E35" s="161">
        <v>430.04</v>
      </c>
      <c r="F35" s="159" t="s">
        <v>32</v>
      </c>
    </row>
    <row r="36" spans="1:6" x14ac:dyDescent="0.35">
      <c r="A36" s="159" t="str">
        <f t="shared" si="0"/>
        <v>Wpgreen5</v>
      </c>
      <c r="B36" s="160" t="s">
        <v>23</v>
      </c>
      <c r="C36" s="159" t="s">
        <v>15</v>
      </c>
      <c r="D36" s="159" t="s">
        <v>160</v>
      </c>
      <c r="E36" s="161">
        <v>487.43</v>
      </c>
      <c r="F36" s="159" t="s">
        <v>32</v>
      </c>
    </row>
    <row r="37" spans="1:6" x14ac:dyDescent="0.35">
      <c r="A37" s="159" t="str">
        <f t="shared" si="0"/>
        <v>CPCP</v>
      </c>
      <c r="B37" s="160" t="s">
        <v>27</v>
      </c>
      <c r="C37" s="159" t="s">
        <v>27</v>
      </c>
      <c r="D37" s="159" t="s">
        <v>160</v>
      </c>
      <c r="E37" s="162">
        <v>664</v>
      </c>
      <c r="F37" s="159" t="s">
        <v>32</v>
      </c>
    </row>
    <row r="38" spans="1:6" x14ac:dyDescent="0.35">
      <c r="A38" s="159" t="str">
        <f t="shared" si="0"/>
        <v>PGPG</v>
      </c>
      <c r="B38" s="160" t="s">
        <v>28</v>
      </c>
      <c r="C38" s="159" t="s">
        <v>28</v>
      </c>
      <c r="D38" s="159" t="s">
        <v>160</v>
      </c>
      <c r="E38" s="162">
        <v>2220</v>
      </c>
      <c r="F38" s="159" t="s">
        <v>32</v>
      </c>
    </row>
    <row r="39" spans="1:6" x14ac:dyDescent="0.35">
      <c r="A39" s="159" t="str">
        <f t="shared" si="0"/>
        <v xml:space="preserve">GGazonnière </v>
      </c>
      <c r="B39" s="163" t="s">
        <v>35</v>
      </c>
      <c r="C39" s="164" t="s">
        <v>29</v>
      </c>
      <c r="D39" s="159" t="s">
        <v>160</v>
      </c>
      <c r="E39" s="165">
        <v>4087</v>
      </c>
      <c r="F39" s="164" t="s">
        <v>33</v>
      </c>
    </row>
    <row r="40" spans="1:6" x14ac:dyDescent="0.35">
      <c r="A40" s="159" t="str">
        <f t="shared" si="0"/>
        <v>CDBig bunke</v>
      </c>
      <c r="B40" s="160" t="s">
        <v>10</v>
      </c>
      <c r="C40" s="159" t="s">
        <v>19</v>
      </c>
      <c r="D40" s="159" t="s">
        <v>161</v>
      </c>
      <c r="E40" s="162">
        <f>8336+437-24-11-17-30-5-23-40-20-8-31-17-8</f>
        <v>8539</v>
      </c>
      <c r="F40" s="159" t="s">
        <v>34</v>
      </c>
    </row>
    <row r="41" spans="1:6" x14ac:dyDescent="0.35">
      <c r="A41" s="159" t="str">
        <f t="shared" si="0"/>
        <v>CDsmal  bunke</v>
      </c>
      <c r="B41" s="160" t="s">
        <v>10</v>
      </c>
      <c r="C41" s="159" t="s">
        <v>26</v>
      </c>
      <c r="D41" s="159" t="s">
        <v>161</v>
      </c>
      <c r="E41" s="162">
        <f>143+166+155+84+70+105+75</f>
        <v>798</v>
      </c>
      <c r="F41" s="159" t="s">
        <v>34</v>
      </c>
    </row>
    <row r="42" spans="1:6" x14ac:dyDescent="0.35">
      <c r="A42" s="159" t="str">
        <f t="shared" si="0"/>
        <v>WDTotal Smal bunkr</v>
      </c>
      <c r="B42" s="160" t="s">
        <v>21</v>
      </c>
      <c r="C42" s="159" t="s">
        <v>20</v>
      </c>
      <c r="D42" s="159" t="s">
        <v>161</v>
      </c>
      <c r="E42" s="162">
        <v>937</v>
      </c>
      <c r="F42" s="159" t="s">
        <v>34</v>
      </c>
    </row>
    <row r="43" spans="1:6" x14ac:dyDescent="0.35">
      <c r="A43" s="159" t="str">
        <f t="shared" si="0"/>
        <v>WpTotal Smal bunkr</v>
      </c>
      <c r="B43" s="160" t="s">
        <v>23</v>
      </c>
      <c r="C43" s="159" t="s">
        <v>20</v>
      </c>
      <c r="D43" s="159" t="s">
        <v>161</v>
      </c>
      <c r="E43" s="162">
        <v>755</v>
      </c>
      <c r="F43" s="159" t="s">
        <v>34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1956D-622E-4CA8-9DE4-2E138D476FC2}">
  <dimension ref="A1:B12"/>
  <sheetViews>
    <sheetView workbookViewId="0">
      <selection activeCell="B13" sqref="B13"/>
    </sheetView>
  </sheetViews>
  <sheetFormatPr defaultRowHeight="14.5" x14ac:dyDescent="0.35"/>
  <cols>
    <col min="1" max="1" width="12.08984375" bestFit="1" customWidth="1"/>
    <col min="2" max="2" width="23.6328125" bestFit="1" customWidth="1"/>
  </cols>
  <sheetData>
    <row r="1" spans="1:2" x14ac:dyDescent="0.35">
      <c r="A1" s="35" t="s">
        <v>143</v>
      </c>
      <c r="B1" s="35" t="s">
        <v>144</v>
      </c>
    </row>
    <row r="2" spans="1:2" x14ac:dyDescent="0.35">
      <c r="A2" s="35" t="s">
        <v>145</v>
      </c>
      <c r="B2" s="35" t="s">
        <v>50</v>
      </c>
    </row>
    <row r="3" spans="1:2" x14ac:dyDescent="0.35">
      <c r="A3" s="35" t="s">
        <v>146</v>
      </c>
      <c r="B3" s="35" t="s">
        <v>134</v>
      </c>
    </row>
    <row r="4" spans="1:2" x14ac:dyDescent="0.35">
      <c r="A4" s="35" t="s">
        <v>147</v>
      </c>
      <c r="B4" s="35" t="s">
        <v>282</v>
      </c>
    </row>
    <row r="5" spans="1:2" x14ac:dyDescent="0.35">
      <c r="A5" s="35" t="s">
        <v>148</v>
      </c>
      <c r="B5" s="35" t="s">
        <v>283</v>
      </c>
    </row>
    <row r="6" spans="1:2" x14ac:dyDescent="0.35">
      <c r="A6" s="35" t="s">
        <v>149</v>
      </c>
      <c r="B6" s="35" t="s">
        <v>284</v>
      </c>
    </row>
    <row r="7" spans="1:2" x14ac:dyDescent="0.35">
      <c r="A7" s="35" t="s">
        <v>150</v>
      </c>
      <c r="B7" s="35" t="s">
        <v>285</v>
      </c>
    </row>
    <row r="8" spans="1:2" x14ac:dyDescent="0.35">
      <c r="A8" s="35" t="s">
        <v>151</v>
      </c>
      <c r="B8" s="35" t="s">
        <v>286</v>
      </c>
    </row>
    <row r="9" spans="1:2" x14ac:dyDescent="0.35">
      <c r="A9" s="35" t="s">
        <v>152</v>
      </c>
      <c r="B9" s="35" t="s">
        <v>287</v>
      </c>
    </row>
    <row r="10" spans="1:2" x14ac:dyDescent="0.35">
      <c r="A10" s="35" t="s">
        <v>153</v>
      </c>
      <c r="B10" s="35" t="s">
        <v>288</v>
      </c>
    </row>
    <row r="11" spans="1:2" x14ac:dyDescent="0.35">
      <c r="A11" s="35" t="s">
        <v>154</v>
      </c>
      <c r="B11" s="35" t="s">
        <v>289</v>
      </c>
    </row>
    <row r="12" spans="1:2" x14ac:dyDescent="0.35">
      <c r="A12" s="35" t="s">
        <v>155</v>
      </c>
      <c r="B12" s="35" t="s">
        <v>290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C5638-7ABA-4FA8-AF06-43605869CE47}">
  <dimension ref="A1:C31"/>
  <sheetViews>
    <sheetView workbookViewId="0">
      <selection activeCell="C29" sqref="C29"/>
    </sheetView>
  </sheetViews>
  <sheetFormatPr defaultRowHeight="14.5" x14ac:dyDescent="0.35"/>
  <cols>
    <col min="1" max="1" width="10.81640625" bestFit="1" customWidth="1"/>
    <col min="3" max="3" width="25.7265625" bestFit="1" customWidth="1"/>
  </cols>
  <sheetData>
    <row r="1" spans="1:3" x14ac:dyDescent="0.35">
      <c r="A1" s="35" t="s">
        <v>156</v>
      </c>
      <c r="B1" s="35" t="s">
        <v>138</v>
      </c>
      <c r="C1" s="35" t="s">
        <v>157</v>
      </c>
    </row>
    <row r="2" spans="1:3" x14ac:dyDescent="0.35">
      <c r="A2" s="35" t="s">
        <v>145</v>
      </c>
      <c r="B2" s="35" t="s">
        <v>158</v>
      </c>
      <c r="C2" s="35" t="s">
        <v>68</v>
      </c>
    </row>
    <row r="3" spans="1:3" x14ac:dyDescent="0.35">
      <c r="A3" s="35" t="s">
        <v>146</v>
      </c>
      <c r="B3" s="35" t="s">
        <v>158</v>
      </c>
      <c r="C3" s="35" t="s">
        <v>68</v>
      </c>
    </row>
    <row r="4" spans="1:3" x14ac:dyDescent="0.35">
      <c r="A4" s="35" t="s">
        <v>147</v>
      </c>
      <c r="B4" s="35" t="s">
        <v>158</v>
      </c>
      <c r="C4" s="35" t="s">
        <v>102</v>
      </c>
    </row>
    <row r="5" spans="1:3" x14ac:dyDescent="0.35">
      <c r="A5" s="35" t="s">
        <v>148</v>
      </c>
      <c r="B5" s="35" t="s">
        <v>158</v>
      </c>
      <c r="C5" s="35" t="s">
        <v>103</v>
      </c>
    </row>
    <row r="6" spans="1:3" x14ac:dyDescent="0.35">
      <c r="A6" s="35" t="s">
        <v>149</v>
      </c>
      <c r="B6" s="35" t="s">
        <v>158</v>
      </c>
      <c r="C6" s="35" t="s">
        <v>103</v>
      </c>
    </row>
    <row r="7" spans="1:3" x14ac:dyDescent="0.35">
      <c r="A7" s="35" t="s">
        <v>150</v>
      </c>
      <c r="B7" s="35" t="s">
        <v>158</v>
      </c>
      <c r="C7" s="35" t="s">
        <v>103</v>
      </c>
    </row>
    <row r="8" spans="1:3" x14ac:dyDescent="0.35">
      <c r="A8" s="35" t="s">
        <v>151</v>
      </c>
      <c r="B8" s="35" t="s">
        <v>158</v>
      </c>
      <c r="C8" s="35" t="s">
        <v>105</v>
      </c>
    </row>
    <row r="9" spans="1:3" x14ac:dyDescent="0.35">
      <c r="A9" s="35" t="s">
        <v>152</v>
      </c>
      <c r="B9" s="35" t="s">
        <v>158</v>
      </c>
      <c r="C9" s="35" t="s">
        <v>66</v>
      </c>
    </row>
    <row r="10" spans="1:3" x14ac:dyDescent="0.35">
      <c r="A10" s="35" t="s">
        <v>153</v>
      </c>
      <c r="B10" s="35" t="s">
        <v>158</v>
      </c>
      <c r="C10" s="35" t="s">
        <v>159</v>
      </c>
    </row>
    <row r="11" spans="1:3" x14ac:dyDescent="0.35">
      <c r="A11" s="35" t="s">
        <v>145</v>
      </c>
      <c r="B11" s="35" t="s">
        <v>31</v>
      </c>
      <c r="C11" s="35" t="s">
        <v>69</v>
      </c>
    </row>
    <row r="12" spans="1:3" x14ac:dyDescent="0.35">
      <c r="A12" s="35" t="s">
        <v>146</v>
      </c>
      <c r="B12" s="35" t="s">
        <v>31</v>
      </c>
      <c r="C12" s="35" t="s">
        <v>69</v>
      </c>
    </row>
    <row r="13" spans="1:3" x14ac:dyDescent="0.35">
      <c r="A13" s="35" t="s">
        <v>147</v>
      </c>
      <c r="B13" s="35" t="s">
        <v>31</v>
      </c>
      <c r="C13" s="35" t="s">
        <v>109</v>
      </c>
    </row>
    <row r="14" spans="1:3" x14ac:dyDescent="0.35">
      <c r="A14" s="35" t="s">
        <v>148</v>
      </c>
      <c r="B14" s="35" t="s">
        <v>31</v>
      </c>
      <c r="C14" s="35" t="s">
        <v>110</v>
      </c>
    </row>
    <row r="15" spans="1:3" x14ac:dyDescent="0.35">
      <c r="A15" s="35" t="s">
        <v>149</v>
      </c>
      <c r="B15" s="35" t="s">
        <v>31</v>
      </c>
      <c r="C15" s="35" t="s">
        <v>110</v>
      </c>
    </row>
    <row r="16" spans="1:3" x14ac:dyDescent="0.35">
      <c r="A16" s="35" t="s">
        <v>150</v>
      </c>
      <c r="B16" s="35" t="s">
        <v>31</v>
      </c>
      <c r="C16" s="35" t="s">
        <v>97</v>
      </c>
    </row>
    <row r="17" spans="1:3" x14ac:dyDescent="0.35">
      <c r="A17" s="35" t="s">
        <v>151</v>
      </c>
      <c r="B17" s="35" t="s">
        <v>31</v>
      </c>
      <c r="C17" s="35" t="s">
        <v>105</v>
      </c>
    </row>
    <row r="18" spans="1:3" x14ac:dyDescent="0.35">
      <c r="A18" s="35" t="s">
        <v>152</v>
      </c>
      <c r="B18" s="35" t="s">
        <v>31</v>
      </c>
      <c r="C18" s="35" t="s">
        <v>66</v>
      </c>
    </row>
    <row r="19" spans="1:3" x14ac:dyDescent="0.35">
      <c r="A19" s="35" t="s">
        <v>146</v>
      </c>
      <c r="B19" s="35" t="s">
        <v>124</v>
      </c>
      <c r="C19" s="35" t="s">
        <v>69</v>
      </c>
    </row>
    <row r="20" spans="1:3" x14ac:dyDescent="0.35">
      <c r="A20" s="35" t="s">
        <v>150</v>
      </c>
      <c r="B20" s="35" t="s">
        <v>124</v>
      </c>
      <c r="C20" s="35" t="s">
        <v>98</v>
      </c>
    </row>
    <row r="21" spans="1:3" x14ac:dyDescent="0.35">
      <c r="A21" s="35" t="s">
        <v>151</v>
      </c>
      <c r="B21" s="35" t="s">
        <v>124</v>
      </c>
      <c r="C21" s="35" t="s">
        <v>105</v>
      </c>
    </row>
    <row r="22" spans="1:3" x14ac:dyDescent="0.35">
      <c r="A22" s="35" t="s">
        <v>145</v>
      </c>
      <c r="B22" s="35" t="s">
        <v>160</v>
      </c>
      <c r="C22" s="35" t="s">
        <v>68</v>
      </c>
    </row>
    <row r="23" spans="1:3" x14ac:dyDescent="0.35">
      <c r="A23" s="35" t="s">
        <v>146</v>
      </c>
      <c r="B23" s="35" t="s">
        <v>160</v>
      </c>
      <c r="C23" s="35" t="s">
        <v>68</v>
      </c>
    </row>
    <row r="24" spans="1:3" x14ac:dyDescent="0.35">
      <c r="A24" s="35" t="s">
        <v>147</v>
      </c>
      <c r="B24" s="35" t="s">
        <v>160</v>
      </c>
      <c r="C24" s="35" t="s">
        <v>102</v>
      </c>
    </row>
    <row r="25" spans="1:3" x14ac:dyDescent="0.35">
      <c r="A25" s="35" t="s">
        <v>148</v>
      </c>
      <c r="B25" s="35" t="s">
        <v>160</v>
      </c>
      <c r="C25" s="35" t="s">
        <v>103</v>
      </c>
    </row>
    <row r="26" spans="1:3" x14ac:dyDescent="0.35">
      <c r="A26" s="35" t="s">
        <v>149</v>
      </c>
      <c r="B26" s="35" t="s">
        <v>160</v>
      </c>
      <c r="C26" s="35" t="s">
        <v>103</v>
      </c>
    </row>
    <row r="27" spans="1:3" x14ac:dyDescent="0.35">
      <c r="A27" s="35" t="s">
        <v>150</v>
      </c>
      <c r="B27" s="35" t="s">
        <v>160</v>
      </c>
      <c r="C27" s="35" t="s">
        <v>103</v>
      </c>
    </row>
    <row r="28" spans="1:3" x14ac:dyDescent="0.35">
      <c r="A28" s="35" t="s">
        <v>151</v>
      </c>
      <c r="B28" s="35" t="s">
        <v>160</v>
      </c>
      <c r="C28" s="35" t="s">
        <v>105</v>
      </c>
    </row>
    <row r="29" spans="1:3" x14ac:dyDescent="0.35">
      <c r="A29" s="35" t="s">
        <v>152</v>
      </c>
      <c r="B29" s="35" t="s">
        <v>160</v>
      </c>
      <c r="C29" s="35" t="s">
        <v>66</v>
      </c>
    </row>
    <row r="30" spans="1:3" x14ac:dyDescent="0.35">
      <c r="A30" s="35" t="s">
        <v>154</v>
      </c>
      <c r="B30" s="35" t="s">
        <v>161</v>
      </c>
      <c r="C30" s="35" t="s">
        <v>131</v>
      </c>
    </row>
    <row r="31" spans="1:3" x14ac:dyDescent="0.35">
      <c r="A31" s="35" t="s">
        <v>155</v>
      </c>
      <c r="B31" s="35" t="s">
        <v>161</v>
      </c>
      <c r="C31" s="35" t="s">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8E140-D0D5-42C6-929D-28F730DA4E5E}">
  <dimension ref="A1:J104"/>
  <sheetViews>
    <sheetView topLeftCell="A91" workbookViewId="0">
      <selection activeCell="H11" sqref="H11"/>
    </sheetView>
  </sheetViews>
  <sheetFormatPr defaultRowHeight="14.5" x14ac:dyDescent="0.35"/>
  <cols>
    <col min="2" max="2" width="9.90625" style="170" bestFit="1" customWidth="1"/>
    <col min="4" max="5" width="14.08984375" customWidth="1"/>
    <col min="6" max="6" width="11.54296875" style="142" customWidth="1"/>
    <col min="7" max="7" width="23.6328125" bestFit="1" customWidth="1"/>
    <col min="8" max="8" width="14.81640625" style="167" bestFit="1" customWidth="1"/>
    <col min="9" max="9" width="15.81640625" style="167" bestFit="1" customWidth="1"/>
  </cols>
  <sheetData>
    <row r="1" spans="1:10" x14ac:dyDescent="0.35">
      <c r="A1" t="s">
        <v>164</v>
      </c>
      <c r="B1" s="170" t="s">
        <v>291</v>
      </c>
      <c r="C1" t="s">
        <v>138</v>
      </c>
      <c r="D1" t="s">
        <v>165</v>
      </c>
      <c r="E1" t="s">
        <v>281</v>
      </c>
      <c r="F1" s="142" t="s">
        <v>166</v>
      </c>
      <c r="G1" t="s">
        <v>144</v>
      </c>
      <c r="H1" s="167" t="s">
        <v>278</v>
      </c>
      <c r="I1" s="167" t="s">
        <v>279</v>
      </c>
      <c r="J1" t="s">
        <v>305</v>
      </c>
    </row>
    <row r="2" spans="1:10" x14ac:dyDescent="0.35">
      <c r="A2" t="s">
        <v>167</v>
      </c>
      <c r="B2" s="171">
        <v>45292</v>
      </c>
      <c r="C2" t="s">
        <v>158</v>
      </c>
      <c r="D2" s="35" t="s">
        <v>150</v>
      </c>
      <c r="E2" s="35" t="str">
        <f>_xlfn.CONCAT(Table3[[#This Row],[ID_Operation]],Table3[[#This Row],[Zone]])</f>
        <v>OP06Depart</v>
      </c>
      <c r="F2" s="142">
        <v>8</v>
      </c>
      <c r="G2" t="str">
        <f>VLOOKUP(Table3[[#This Row],[ID_Operation]],Operation!$A$2:$B$12,2,)</f>
        <v xml:space="preserve">Tonte  </v>
      </c>
      <c r="H2" s="167">
        <f>VLOOKUP(Table3[[#This Row],[ID_Cout]],Table2[],4,FALSE)</f>
        <v>687.21118895648601</v>
      </c>
      <c r="I2" s="167">
        <f>Table3[[#This Row],[Cout]]*Table3[[#This Row],[Frequence]]</f>
        <v>5497.6895116518881</v>
      </c>
      <c r="J2">
        <f>SUMIFS(Table1[Surface],Table1[Zone],Table3[[#This Row],[Zone]])</f>
        <v>4613.3028000000004</v>
      </c>
    </row>
    <row r="3" spans="1:10" x14ac:dyDescent="0.35">
      <c r="A3" t="s">
        <v>168</v>
      </c>
      <c r="B3" s="171">
        <v>45293</v>
      </c>
      <c r="C3" t="s">
        <v>31</v>
      </c>
      <c r="D3" s="35" t="s">
        <v>150</v>
      </c>
      <c r="E3" s="35" t="str">
        <f>_xlfn.CONCAT(Table3[[#This Row],[ID_Operation]],Table3[[#This Row],[Zone]])</f>
        <v>OP06Fairway</v>
      </c>
      <c r="F3" s="142">
        <v>4</v>
      </c>
      <c r="G3" t="str">
        <f>VLOOKUP(Table3[[#This Row],[ID_Operation]],Operation!$A$2:$B$12,2,)</f>
        <v xml:space="preserve">Tonte  </v>
      </c>
      <c r="H3" s="167">
        <f>VLOOKUP(Table3[[#This Row],[ID_Cout]],Table2[],4,FALSE)</f>
        <v>1524.8582990344953</v>
      </c>
      <c r="I3" s="167">
        <f>Table3[[#This Row],[Cout]]*Table3[[#This Row],[Frequence]]</f>
        <v>6099.4331961379812</v>
      </c>
      <c r="J3">
        <f>SUMIFS(Table1[Surface],Table1[Zone],Table3[[#This Row],[Zone]])</f>
        <v>27700.314600000002</v>
      </c>
    </row>
    <row r="4" spans="1:10" x14ac:dyDescent="0.35">
      <c r="A4" t="s">
        <v>169</v>
      </c>
      <c r="B4" s="171">
        <v>45294</v>
      </c>
      <c r="C4" t="s">
        <v>124</v>
      </c>
      <c r="D4" s="35" t="s">
        <v>150</v>
      </c>
      <c r="E4" s="35" t="str">
        <f>_xlfn.CONCAT(Table3[[#This Row],[ID_Operation]],Table3[[#This Row],[Zone]])</f>
        <v>OP06Rough</v>
      </c>
      <c r="F4" s="142">
        <v>1</v>
      </c>
      <c r="G4" t="str">
        <f>VLOOKUP(Table3[[#This Row],[ID_Operation]],Operation!$A$2:$B$12,2,)</f>
        <v xml:space="preserve">Tonte  </v>
      </c>
      <c r="H4" s="167">
        <f>VLOOKUP(Table3[[#This Row],[ID_Cout]],Table2[],4,FALSE)</f>
        <v>688.07692307692309</v>
      </c>
      <c r="I4" s="167">
        <f>Table3[[#This Row],[Cout]]*Table3[[#This Row],[Frequence]]</f>
        <v>688.07692307692309</v>
      </c>
      <c r="J4">
        <f>SUMIFS(Table1[Surface],Table1[Zone],Table3[[#This Row],[Zone]])</f>
        <v>11560</v>
      </c>
    </row>
    <row r="5" spans="1:10" x14ac:dyDescent="0.35">
      <c r="A5" t="s">
        <v>170</v>
      </c>
      <c r="B5" s="171">
        <v>45295</v>
      </c>
      <c r="C5" t="s">
        <v>160</v>
      </c>
      <c r="D5" s="35" t="s">
        <v>150</v>
      </c>
      <c r="E5" s="35" t="str">
        <f>_xlfn.CONCAT(Table3[[#This Row],[ID_Operation]],Table3[[#This Row],[Zone]])</f>
        <v>OP06Green</v>
      </c>
      <c r="F5" s="142">
        <v>12</v>
      </c>
      <c r="G5" t="str">
        <f>VLOOKUP(Table3[[#This Row],[ID_Operation]],Operation!$A$2:$B$12,2,)</f>
        <v xml:space="preserve">Tonte  </v>
      </c>
      <c r="H5" s="167">
        <f>VLOOKUP(Table3[[#This Row],[ID_Cout]],Table2[],4,FALSE)</f>
        <v>5278.7111789674291</v>
      </c>
      <c r="I5" s="167">
        <f>Table3[[#This Row],[Cout]]*Table3[[#This Row],[Frequence]]</f>
        <v>63344.534147609149</v>
      </c>
      <c r="J5">
        <f>SUMIFS(Table1[Surface],Table1[Zone],Table3[[#This Row],[Zone]])</f>
        <v>12554.81</v>
      </c>
    </row>
    <row r="6" spans="1:10" x14ac:dyDescent="0.35">
      <c r="A6" t="s">
        <v>171</v>
      </c>
      <c r="B6" s="171">
        <v>45296</v>
      </c>
      <c r="C6" t="s">
        <v>160</v>
      </c>
      <c r="D6" s="35" t="s">
        <v>151</v>
      </c>
      <c r="E6" s="35" t="str">
        <f>_xlfn.CONCAT(Table3[[#This Row],[ID_Operation]],Table3[[#This Row],[Zone]])</f>
        <v>OP07Green</v>
      </c>
      <c r="F6" s="142">
        <v>1</v>
      </c>
      <c r="G6" t="str">
        <f>VLOOKUP(Table3[[#This Row],[ID_Operation]],Operation!$A$2:$B$12,2,)</f>
        <v xml:space="preserve">Fertilisation </v>
      </c>
      <c r="H6" s="167">
        <f>VLOOKUP(Table3[[#This Row],[ID_Cout]],Table2[],4,FALSE)</f>
        <v>5725.6994017671514</v>
      </c>
      <c r="I6" s="167">
        <f>Table3[[#This Row],[Cout]]*Table3[[#This Row],[Frequence]]</f>
        <v>5725.6994017671514</v>
      </c>
      <c r="J6">
        <v>0</v>
      </c>
    </row>
    <row r="7" spans="1:10" x14ac:dyDescent="0.35">
      <c r="A7" t="s">
        <v>172</v>
      </c>
      <c r="B7" s="171">
        <v>45297</v>
      </c>
      <c r="C7" t="s">
        <v>161</v>
      </c>
      <c r="D7" s="35" t="s">
        <v>154</v>
      </c>
      <c r="E7" s="35" t="str">
        <f>_xlfn.CONCAT(Table3[[#This Row],[ID_Operation]],Table3[[#This Row],[Zone]])</f>
        <v>OP10Bunker</v>
      </c>
      <c r="F7" s="142">
        <v>1</v>
      </c>
      <c r="G7" t="str">
        <f>VLOOKUP(Table3[[#This Row],[ID_Operation]],Operation!$A$2:$B$12,2,)</f>
        <v xml:space="preserve">Ratissage </v>
      </c>
      <c r="H7" s="167">
        <f>VLOOKUP(Table3[[#This Row],[ID_Cout]],Table2[],4,FALSE)</f>
        <v>600</v>
      </c>
      <c r="I7" s="167">
        <f>Table3[[#This Row],[Cout]]*Table3[[#This Row],[Frequence]]</f>
        <v>600</v>
      </c>
      <c r="J7">
        <f>SUMIFS(Table1[Surface],Table1[Zone],Table3[[#This Row],[Zone]])</f>
        <v>11029</v>
      </c>
    </row>
    <row r="8" spans="1:10" x14ac:dyDescent="0.35">
      <c r="A8" t="s">
        <v>173</v>
      </c>
      <c r="B8" s="171">
        <v>45323</v>
      </c>
      <c r="C8" t="s">
        <v>158</v>
      </c>
      <c r="D8" s="35" t="s">
        <v>150</v>
      </c>
      <c r="E8" s="35" t="str">
        <f>_xlfn.CONCAT(Table3[[#This Row],[ID_Operation]],Table3[[#This Row],[Zone]])</f>
        <v>OP06Depart</v>
      </c>
      <c r="F8" s="142">
        <v>8</v>
      </c>
      <c r="G8" t="str">
        <f>VLOOKUP(Table3[[#This Row],[ID_Operation]],Operation!$A$2:$B$12,2,)</f>
        <v xml:space="preserve">Tonte  </v>
      </c>
      <c r="H8" s="167">
        <f>VLOOKUP(Table3[[#This Row],[ID_Cout]],Table2[],4,FALSE)</f>
        <v>687.21118895648601</v>
      </c>
      <c r="I8" s="167">
        <f>Table3[[#This Row],[Cout]]*Table3[[#This Row],[Frequence]]</f>
        <v>5497.6895116518881</v>
      </c>
      <c r="J8">
        <v>0</v>
      </c>
    </row>
    <row r="9" spans="1:10" x14ac:dyDescent="0.35">
      <c r="A9" t="s">
        <v>174</v>
      </c>
      <c r="B9" s="171">
        <v>45324</v>
      </c>
      <c r="C9" t="s">
        <v>31</v>
      </c>
      <c r="D9" s="35" t="s">
        <v>150</v>
      </c>
      <c r="E9" s="35" t="str">
        <f>_xlfn.CONCAT(Table3[[#This Row],[ID_Operation]],Table3[[#This Row],[Zone]])</f>
        <v>OP06Fairway</v>
      </c>
      <c r="F9" s="142">
        <v>4</v>
      </c>
      <c r="G9" t="str">
        <f>VLOOKUP(Table3[[#This Row],[ID_Operation]],Operation!$A$2:$B$12,2,)</f>
        <v xml:space="preserve">Tonte  </v>
      </c>
      <c r="H9" s="167">
        <f>VLOOKUP(Table3[[#This Row],[ID_Cout]],Table2[],4,FALSE)</f>
        <v>1524.8582990344953</v>
      </c>
      <c r="I9" s="167">
        <f>Table3[[#This Row],[Cout]]*Table3[[#This Row],[Frequence]]</f>
        <v>6099.4331961379812</v>
      </c>
      <c r="J9">
        <v>0</v>
      </c>
    </row>
    <row r="10" spans="1:10" x14ac:dyDescent="0.35">
      <c r="A10" t="s">
        <v>175</v>
      </c>
      <c r="B10" s="171">
        <v>45325</v>
      </c>
      <c r="C10" t="s">
        <v>31</v>
      </c>
      <c r="D10" s="35" t="s">
        <v>151</v>
      </c>
      <c r="E10" s="35" t="str">
        <f>_xlfn.CONCAT(Table3[[#This Row],[ID_Operation]],Table3[[#This Row],[Zone]])</f>
        <v>OP07Fairway</v>
      </c>
      <c r="F10" s="143">
        <v>1</v>
      </c>
      <c r="G10" t="str">
        <f>VLOOKUP(Table3[[#This Row],[ID_Operation]],Operation!$A$2:$B$12,2,)</f>
        <v xml:space="preserve">Fertilisation </v>
      </c>
      <c r="H10" s="167">
        <f>VLOOKUP(Table3[[#This Row],[ID_Cout]],Table2[],4,FALSE)</f>
        <v>48643.624751921947</v>
      </c>
      <c r="I10" s="167">
        <f>Table3[[#This Row],[Cout]]*Table3[[#This Row],[Frequence]]</f>
        <v>48643.624751921947</v>
      </c>
      <c r="J10">
        <v>0</v>
      </c>
    </row>
    <row r="11" spans="1:10" x14ac:dyDescent="0.35">
      <c r="A11" t="s">
        <v>176</v>
      </c>
      <c r="B11" s="171">
        <v>45326</v>
      </c>
      <c r="C11" t="s">
        <v>124</v>
      </c>
      <c r="D11" s="35" t="s">
        <v>150</v>
      </c>
      <c r="E11" s="35" t="str">
        <f>_xlfn.CONCAT(Table3[[#This Row],[ID_Operation]],Table3[[#This Row],[Zone]])</f>
        <v>OP06Rough</v>
      </c>
      <c r="F11" s="142">
        <v>1</v>
      </c>
      <c r="G11" t="str">
        <f>VLOOKUP(Table3[[#This Row],[ID_Operation]],Operation!$A$2:$B$12,2,)</f>
        <v xml:space="preserve">Tonte  </v>
      </c>
      <c r="H11" s="167">
        <f>VLOOKUP(Table3[[#This Row],[ID_Cout]],Table2[],4,FALSE)</f>
        <v>688.07692307692309</v>
      </c>
      <c r="I11" s="167">
        <f>Table3[[#This Row],[Cout]]*Table3[[#This Row],[Frequence]]</f>
        <v>688.07692307692309</v>
      </c>
      <c r="J11">
        <v>0</v>
      </c>
    </row>
    <row r="12" spans="1:10" x14ac:dyDescent="0.35">
      <c r="A12" t="s">
        <v>177</v>
      </c>
      <c r="B12" s="171">
        <v>45327</v>
      </c>
      <c r="C12" t="s">
        <v>160</v>
      </c>
      <c r="D12" s="35" t="s">
        <v>150</v>
      </c>
      <c r="E12" s="35" t="str">
        <f>_xlfn.CONCAT(Table3[[#This Row],[ID_Operation]],Table3[[#This Row],[Zone]])</f>
        <v>OP06Green</v>
      </c>
      <c r="F12" s="142">
        <v>16</v>
      </c>
      <c r="G12" t="str">
        <f>VLOOKUP(Table3[[#This Row],[ID_Operation]],Operation!$A$2:$B$12,2,)</f>
        <v xml:space="preserve">Tonte  </v>
      </c>
      <c r="H12" s="167">
        <f>VLOOKUP(Table3[[#This Row],[ID_Cout]],Table2[],4,FALSE)</f>
        <v>5278.7111789674291</v>
      </c>
      <c r="I12" s="167">
        <f>Table3[[#This Row],[Cout]]*Table3[[#This Row],[Frequence]]</f>
        <v>84459.378863478865</v>
      </c>
      <c r="J12">
        <v>0</v>
      </c>
    </row>
    <row r="13" spans="1:10" x14ac:dyDescent="0.35">
      <c r="A13" t="s">
        <v>178</v>
      </c>
      <c r="B13" s="171">
        <v>45328</v>
      </c>
      <c r="C13" t="s">
        <v>160</v>
      </c>
      <c r="D13" s="35" t="s">
        <v>152</v>
      </c>
      <c r="E13" s="35" t="str">
        <f>_xlfn.CONCAT(Table3[[#This Row],[ID_Operation]],Table3[[#This Row],[Zone]])</f>
        <v>OP08Green</v>
      </c>
      <c r="F13" s="142">
        <v>1</v>
      </c>
      <c r="G13" t="str">
        <f>VLOOKUP(Table3[[#This Row],[ID_Operation]],Operation!$A$2:$B$12,2,)</f>
        <v xml:space="preserve">Traitement phytosanitaire </v>
      </c>
      <c r="H13" s="167">
        <f>VLOOKUP(Table3[[#This Row],[ID_Cout]],Table2[],4,FALSE)</f>
        <v>3292.1215804747053</v>
      </c>
      <c r="I13" s="167">
        <f>Table3[[#This Row],[Cout]]*Table3[[#This Row],[Frequence]]</f>
        <v>3292.1215804747053</v>
      </c>
      <c r="J13">
        <v>0</v>
      </c>
    </row>
    <row r="14" spans="1:10" x14ac:dyDescent="0.35">
      <c r="A14" t="s">
        <v>179</v>
      </c>
      <c r="B14" s="171">
        <v>45329</v>
      </c>
      <c r="C14" t="s">
        <v>161</v>
      </c>
      <c r="D14" s="35" t="s">
        <v>154</v>
      </c>
      <c r="E14" s="35" t="str">
        <f>_xlfn.CONCAT(Table3[[#This Row],[ID_Operation]],Table3[[#This Row],[Zone]])</f>
        <v>OP10Bunker</v>
      </c>
      <c r="F14" s="142">
        <v>1</v>
      </c>
      <c r="G14" t="str">
        <f>VLOOKUP(Table3[[#This Row],[ID_Operation]],Operation!$A$2:$B$12,2,)</f>
        <v xml:space="preserve">Ratissage </v>
      </c>
      <c r="H14" s="167">
        <f>VLOOKUP(Table3[[#This Row],[ID_Cout]],Table2[],4,FALSE)</f>
        <v>600</v>
      </c>
      <c r="I14" s="167">
        <f>Table3[[#This Row],[Cout]]*Table3[[#This Row],[Frequence]]</f>
        <v>600</v>
      </c>
      <c r="J14">
        <v>0</v>
      </c>
    </row>
    <row r="15" spans="1:10" x14ac:dyDescent="0.35">
      <c r="A15" t="s">
        <v>180</v>
      </c>
      <c r="B15" s="171">
        <v>45352</v>
      </c>
      <c r="C15" t="s">
        <v>158</v>
      </c>
      <c r="D15" s="35" t="s">
        <v>147</v>
      </c>
      <c r="E15" s="35" t="str">
        <f>_xlfn.CONCAT(Table3[[#This Row],[ID_Operation]],Table3[[#This Row],[Zone]])</f>
        <v>OP03Depart</v>
      </c>
      <c r="F15" s="142">
        <v>1</v>
      </c>
      <c r="G15" t="str">
        <f>VLOOKUP(Table3[[#This Row],[ID_Operation]],Operation!$A$2:$B$12,2,)</f>
        <v xml:space="preserve">Sablage </v>
      </c>
      <c r="H15" s="167">
        <f>VLOOKUP(Table3[[#This Row],[ID_Cout]],Table2[],4,FALSE)</f>
        <v>1625.5730908434732</v>
      </c>
      <c r="I15" s="167">
        <f>Table3[[#This Row],[Cout]]*Table3[[#This Row],[Frequence]]</f>
        <v>1625.5730908434732</v>
      </c>
      <c r="J15">
        <v>0</v>
      </c>
    </row>
    <row r="16" spans="1:10" x14ac:dyDescent="0.35">
      <c r="A16" t="s">
        <v>181</v>
      </c>
      <c r="B16" s="171">
        <v>45353</v>
      </c>
      <c r="C16" t="s">
        <v>158</v>
      </c>
      <c r="D16" s="35" t="s">
        <v>149</v>
      </c>
      <c r="E16" s="35" t="str">
        <f>_xlfn.CONCAT(Table3[[#This Row],[ID_Operation]],Table3[[#This Row],[Zone]])</f>
        <v>OP05Depart</v>
      </c>
      <c r="F16" s="142">
        <v>2</v>
      </c>
      <c r="G16" t="str">
        <f>VLOOKUP(Table3[[#This Row],[ID_Operation]],Operation!$A$2:$B$12,2,)</f>
        <v>Verticutte</v>
      </c>
      <c r="H16" s="167">
        <f>VLOOKUP(Table3[[#This Row],[ID_Cout]],Table2[],4,FALSE)</f>
        <v>1551.7325707362345</v>
      </c>
      <c r="I16" s="167">
        <f>Table3[[#This Row],[Cout]]*Table3[[#This Row],[Frequence]]</f>
        <v>3103.465141472469</v>
      </c>
      <c r="J16">
        <v>0</v>
      </c>
    </row>
    <row r="17" spans="1:10" x14ac:dyDescent="0.35">
      <c r="A17" t="s">
        <v>182</v>
      </c>
      <c r="B17" s="171">
        <v>45354</v>
      </c>
      <c r="C17" t="s">
        <v>158</v>
      </c>
      <c r="D17" s="35" t="s">
        <v>150</v>
      </c>
      <c r="E17" s="35" t="str">
        <f>_xlfn.CONCAT(Table3[[#This Row],[ID_Operation]],Table3[[#This Row],[Zone]])</f>
        <v>OP06Depart</v>
      </c>
      <c r="F17" s="142">
        <v>6</v>
      </c>
      <c r="G17" t="str">
        <f>VLOOKUP(Table3[[#This Row],[ID_Operation]],Operation!$A$2:$B$12,2,)</f>
        <v xml:space="preserve">Tonte  </v>
      </c>
      <c r="H17" s="167">
        <f>VLOOKUP(Table3[[#This Row],[ID_Cout]],Table2[],4,FALSE)</f>
        <v>687.21118895648601</v>
      </c>
      <c r="I17" s="167">
        <f>Table3[[#This Row],[Cout]]*Table3[[#This Row],[Frequence]]</f>
        <v>4123.2671337389165</v>
      </c>
      <c r="J17">
        <v>0</v>
      </c>
    </row>
    <row r="18" spans="1:10" x14ac:dyDescent="0.35">
      <c r="A18" t="s">
        <v>183</v>
      </c>
      <c r="B18" s="171">
        <v>45355</v>
      </c>
      <c r="C18" t="s">
        <v>158</v>
      </c>
      <c r="D18" s="35" t="s">
        <v>151</v>
      </c>
      <c r="E18" s="35" t="str">
        <f>_xlfn.CONCAT(Table3[[#This Row],[ID_Operation]],Table3[[#This Row],[Zone]])</f>
        <v>OP07Depart</v>
      </c>
      <c r="F18" s="142">
        <v>1</v>
      </c>
      <c r="G18" t="str">
        <f>VLOOKUP(Table3[[#This Row],[ID_Operation]],Operation!$A$2:$B$12,2,)</f>
        <v xml:space="preserve">Fertilisation </v>
      </c>
      <c r="H18" s="167">
        <f>VLOOKUP(Table3[[#This Row],[ID_Cout]],Table2[],4,FALSE)</f>
        <v>8184.7117602701601</v>
      </c>
      <c r="I18" s="167">
        <f>Table3[[#This Row],[Cout]]*Table3[[#This Row],[Frequence]]</f>
        <v>8184.7117602701601</v>
      </c>
      <c r="J18">
        <v>0</v>
      </c>
    </row>
    <row r="19" spans="1:10" x14ac:dyDescent="0.35">
      <c r="A19" t="s">
        <v>184</v>
      </c>
      <c r="B19" s="171">
        <v>45356</v>
      </c>
      <c r="C19" t="s">
        <v>31</v>
      </c>
      <c r="D19" s="35" t="s">
        <v>147</v>
      </c>
      <c r="E19" s="35" t="str">
        <f>_xlfn.CONCAT(Table3[[#This Row],[ID_Operation]],Table3[[#This Row],[Zone]])</f>
        <v>OP03Fairway</v>
      </c>
      <c r="F19" s="142">
        <v>1</v>
      </c>
      <c r="G19" t="str">
        <f>VLOOKUP(Table3[[#This Row],[ID_Operation]],Operation!$A$2:$B$12,2,)</f>
        <v xml:space="preserve">Sablage </v>
      </c>
      <c r="H19" s="167">
        <f>VLOOKUP(Table3[[#This Row],[ID_Cout]],Table2[],4,FALSE)</f>
        <v>26611.066584717195</v>
      </c>
      <c r="I19" s="167">
        <f>Table3[[#This Row],[Cout]]*Table3[[#This Row],[Frequence]]</f>
        <v>26611.066584717195</v>
      </c>
      <c r="J19">
        <v>0</v>
      </c>
    </row>
    <row r="20" spans="1:10" x14ac:dyDescent="0.35">
      <c r="A20" t="s">
        <v>185</v>
      </c>
      <c r="B20" s="171">
        <v>45357</v>
      </c>
      <c r="C20" t="s">
        <v>31</v>
      </c>
      <c r="D20" s="35" t="s">
        <v>149</v>
      </c>
      <c r="E20" s="35" t="str">
        <f>_xlfn.CONCAT(Table3[[#This Row],[ID_Operation]],Table3[[#This Row],[Zone]])</f>
        <v>OP05Fairway</v>
      </c>
      <c r="F20" s="142">
        <v>1</v>
      </c>
      <c r="G20" t="str">
        <f>VLOOKUP(Table3[[#This Row],[ID_Operation]],Operation!$A$2:$B$12,2,)</f>
        <v>Verticutte</v>
      </c>
      <c r="H20" s="167">
        <f>VLOOKUP(Table3[[#This Row],[ID_Cout]],Table2[],4,FALSE)</f>
        <v>1893.9219814831604</v>
      </c>
      <c r="I20" s="167">
        <f>Table3[[#This Row],[Cout]]*Table3[[#This Row],[Frequence]]</f>
        <v>1893.9219814831604</v>
      </c>
      <c r="J20">
        <v>0</v>
      </c>
    </row>
    <row r="21" spans="1:10" x14ac:dyDescent="0.35">
      <c r="A21" t="s">
        <v>186</v>
      </c>
      <c r="B21" s="171">
        <v>45358</v>
      </c>
      <c r="C21" t="s">
        <v>31</v>
      </c>
      <c r="D21" s="35" t="s">
        <v>150</v>
      </c>
      <c r="E21" s="35" t="str">
        <f>_xlfn.CONCAT(Table3[[#This Row],[ID_Operation]],Table3[[#This Row],[Zone]])</f>
        <v>OP06Fairway</v>
      </c>
      <c r="F21" s="142">
        <v>4</v>
      </c>
      <c r="G21" t="str">
        <f>VLOOKUP(Table3[[#This Row],[ID_Operation]],Operation!$A$2:$B$12,2,)</f>
        <v xml:space="preserve">Tonte  </v>
      </c>
      <c r="H21" s="167">
        <f>VLOOKUP(Table3[[#This Row],[ID_Cout]],Table2[],4,FALSE)</f>
        <v>1524.8582990344953</v>
      </c>
      <c r="I21" s="167">
        <f>Table3[[#This Row],[Cout]]*Table3[[#This Row],[Frequence]]</f>
        <v>6099.4331961379812</v>
      </c>
      <c r="J21">
        <v>0</v>
      </c>
    </row>
    <row r="22" spans="1:10" x14ac:dyDescent="0.35">
      <c r="A22" t="s">
        <v>187</v>
      </c>
      <c r="B22" s="171">
        <v>45359</v>
      </c>
      <c r="C22" t="s">
        <v>31</v>
      </c>
      <c r="D22" s="35" t="s">
        <v>152</v>
      </c>
      <c r="E22" s="35" t="str">
        <f>_xlfn.CONCAT(Table3[[#This Row],[ID_Operation]],Table3[[#This Row],[Zone]])</f>
        <v>OP08Fairway</v>
      </c>
      <c r="F22" s="142">
        <v>1</v>
      </c>
      <c r="G22" t="str">
        <f>VLOOKUP(Table3[[#This Row],[ID_Operation]],Operation!$A$2:$B$12,2,)</f>
        <v xml:space="preserve">Traitement phytosanitaire </v>
      </c>
      <c r="H22" s="167">
        <f>VLOOKUP(Table3[[#This Row],[ID_Cout]],Table2[],4,FALSE)</f>
        <v>1202.9177597910339</v>
      </c>
      <c r="I22" s="167">
        <f>Table3[[#This Row],[Cout]]*Table3[[#This Row],[Frequence]]</f>
        <v>1202.9177597910339</v>
      </c>
      <c r="J22">
        <v>0</v>
      </c>
    </row>
    <row r="23" spans="1:10" x14ac:dyDescent="0.35">
      <c r="A23" t="s">
        <v>188</v>
      </c>
      <c r="B23" s="171">
        <v>45360</v>
      </c>
      <c r="C23" t="s">
        <v>124</v>
      </c>
      <c r="D23" s="35" t="s">
        <v>150</v>
      </c>
      <c r="E23" s="35" t="str">
        <f>_xlfn.CONCAT(Table3[[#This Row],[ID_Operation]],Table3[[#This Row],[Zone]])</f>
        <v>OP06Rough</v>
      </c>
      <c r="F23" s="142">
        <v>1</v>
      </c>
      <c r="G23" t="str">
        <f>VLOOKUP(Table3[[#This Row],[ID_Operation]],Operation!$A$2:$B$12,2,)</f>
        <v xml:space="preserve">Tonte  </v>
      </c>
      <c r="H23" s="167">
        <f>VLOOKUP(Table3[[#This Row],[ID_Cout]],Table2[],4,FALSE)</f>
        <v>688.07692307692309</v>
      </c>
      <c r="I23" s="167">
        <f>Table3[[#This Row],[Cout]]*Table3[[#This Row],[Frequence]]</f>
        <v>688.07692307692309</v>
      </c>
      <c r="J23">
        <v>0</v>
      </c>
    </row>
    <row r="24" spans="1:10" x14ac:dyDescent="0.35">
      <c r="A24" t="s">
        <v>189</v>
      </c>
      <c r="B24" s="171">
        <v>45361</v>
      </c>
      <c r="C24" t="s">
        <v>124</v>
      </c>
      <c r="D24" s="35" t="s">
        <v>151</v>
      </c>
      <c r="E24" s="35" t="str">
        <f>_xlfn.CONCAT(Table3[[#This Row],[ID_Operation]],Table3[[#This Row],[Zone]])</f>
        <v>OP07Rough</v>
      </c>
      <c r="F24" s="142">
        <v>1</v>
      </c>
      <c r="G24" t="str">
        <f>VLOOKUP(Table3[[#This Row],[ID_Operation]],Operation!$A$2:$B$12,2,)</f>
        <v xml:space="preserve">Fertilisation </v>
      </c>
      <c r="H24" s="167">
        <f>VLOOKUP(Table3[[#This Row],[ID_Cout]],Table2[],4,FALSE)</f>
        <v>3036.0384615384614</v>
      </c>
      <c r="I24" s="167">
        <f>Table3[[#This Row],[Cout]]*Table3[[#This Row],[Frequence]]</f>
        <v>3036.0384615384614</v>
      </c>
      <c r="J24">
        <v>0</v>
      </c>
    </row>
    <row r="25" spans="1:10" x14ac:dyDescent="0.35">
      <c r="A25" t="s">
        <v>190</v>
      </c>
      <c r="B25" s="171">
        <v>45362</v>
      </c>
      <c r="C25" t="s">
        <v>160</v>
      </c>
      <c r="D25" s="35" t="s">
        <v>145</v>
      </c>
      <c r="E25" s="35" t="str">
        <f>_xlfn.CONCAT(Table3[[#This Row],[ID_Operation]],Table3[[#This Row],[Zone]])</f>
        <v>OP01Green</v>
      </c>
      <c r="F25" s="142">
        <v>1</v>
      </c>
      <c r="G25" t="str">
        <f>VLOOKUP(Table3[[#This Row],[ID_Operation]],Operation!$A$2:$B$12,2,)</f>
        <v xml:space="preserve">Aération par louchet creux </v>
      </c>
      <c r="H25" s="167">
        <f>VLOOKUP(Table3[[#This Row],[ID_Cout]],Table2[],4,FALSE)</f>
        <v>6744.83826056826</v>
      </c>
      <c r="I25" s="167">
        <f>Table3[[#This Row],[Cout]]*Table3[[#This Row],[Frequence]]</f>
        <v>6744.83826056826</v>
      </c>
      <c r="J25">
        <v>0</v>
      </c>
    </row>
    <row r="26" spans="1:10" x14ac:dyDescent="0.35">
      <c r="A26" t="s">
        <v>191</v>
      </c>
      <c r="B26" s="171">
        <v>45363</v>
      </c>
      <c r="C26" t="s">
        <v>160</v>
      </c>
      <c r="D26" s="35" t="s">
        <v>147</v>
      </c>
      <c r="E26" s="35" t="str">
        <f>_xlfn.CONCAT(Table3[[#This Row],[ID_Operation]],Table3[[#This Row],[Zone]])</f>
        <v>OP03Green</v>
      </c>
      <c r="F26" s="142">
        <v>1</v>
      </c>
      <c r="G26" t="str">
        <f>VLOOKUP(Table3[[#This Row],[ID_Operation]],Operation!$A$2:$B$12,2,)</f>
        <v xml:space="preserve">Sablage </v>
      </c>
      <c r="H26" s="167">
        <f>VLOOKUP(Table3[[#This Row],[ID_Cout]],Table2[],4,FALSE)</f>
        <v>21081.637136902285</v>
      </c>
      <c r="I26" s="167">
        <f>Table3[[#This Row],[Cout]]*Table3[[#This Row],[Frequence]]</f>
        <v>21081.637136902285</v>
      </c>
      <c r="J26">
        <v>0</v>
      </c>
    </row>
    <row r="27" spans="1:10" x14ac:dyDescent="0.35">
      <c r="A27" t="s">
        <v>192</v>
      </c>
      <c r="B27" s="171">
        <v>45364</v>
      </c>
      <c r="C27" t="s">
        <v>160</v>
      </c>
      <c r="D27" s="35" t="s">
        <v>150</v>
      </c>
      <c r="E27" s="35" t="str">
        <f>_xlfn.CONCAT(Table3[[#This Row],[ID_Operation]],Table3[[#This Row],[Zone]])</f>
        <v>OP06Green</v>
      </c>
      <c r="F27" s="142">
        <v>20</v>
      </c>
      <c r="G27" t="str">
        <f>VLOOKUP(Table3[[#This Row],[ID_Operation]],Operation!$A$2:$B$12,2,)</f>
        <v xml:space="preserve">Tonte  </v>
      </c>
      <c r="H27" s="167">
        <f>VLOOKUP(Table3[[#This Row],[ID_Cout]],Table2[],4,FALSE)</f>
        <v>5278.7111789674291</v>
      </c>
      <c r="I27" s="167">
        <f>Table3[[#This Row],[Cout]]*Table3[[#This Row],[Frequence]]</f>
        <v>105574.22357934859</v>
      </c>
      <c r="J27">
        <v>0</v>
      </c>
    </row>
    <row r="28" spans="1:10" x14ac:dyDescent="0.35">
      <c r="A28" t="s">
        <v>193</v>
      </c>
      <c r="B28" s="171">
        <v>45365</v>
      </c>
      <c r="C28" t="s">
        <v>160</v>
      </c>
      <c r="D28" s="35" t="s">
        <v>151</v>
      </c>
      <c r="E28" s="35" t="str">
        <f>_xlfn.CONCAT(Table3[[#This Row],[ID_Operation]],Table3[[#This Row],[Zone]])</f>
        <v>OP07Green</v>
      </c>
      <c r="F28" s="142">
        <v>1</v>
      </c>
      <c r="G28" t="str">
        <f>VLOOKUP(Table3[[#This Row],[ID_Operation]],Operation!$A$2:$B$12,2,)</f>
        <v xml:space="preserve">Fertilisation </v>
      </c>
      <c r="H28" s="167">
        <f>VLOOKUP(Table3[[#This Row],[ID_Cout]],Table2[],4,FALSE)</f>
        <v>5725.6994017671514</v>
      </c>
      <c r="I28" s="167">
        <f>Table3[[#This Row],[Cout]]*Table3[[#This Row],[Frequence]]</f>
        <v>5725.6994017671514</v>
      </c>
      <c r="J28">
        <v>0</v>
      </c>
    </row>
    <row r="29" spans="1:10" x14ac:dyDescent="0.35">
      <c r="A29" t="s">
        <v>194</v>
      </c>
      <c r="B29" s="171">
        <v>45366</v>
      </c>
      <c r="C29" t="s">
        <v>161</v>
      </c>
      <c r="D29" s="35" t="s">
        <v>154</v>
      </c>
      <c r="E29" s="35" t="str">
        <f>_xlfn.CONCAT(Table3[[#This Row],[ID_Operation]],Table3[[#This Row],[Zone]])</f>
        <v>OP10Bunker</v>
      </c>
      <c r="F29" s="142">
        <v>1</v>
      </c>
      <c r="G29" t="str">
        <f>VLOOKUP(Table3[[#This Row],[ID_Operation]],Operation!$A$2:$B$12,2,)</f>
        <v xml:space="preserve">Ratissage </v>
      </c>
      <c r="H29" s="167">
        <f>VLOOKUP(Table3[[#This Row],[ID_Cout]],Table2[],4,FALSE)</f>
        <v>600</v>
      </c>
      <c r="I29" s="167">
        <f>Table3[[#This Row],[Cout]]*Table3[[#This Row],[Frequence]]</f>
        <v>600</v>
      </c>
      <c r="J29">
        <v>0</v>
      </c>
    </row>
    <row r="30" spans="1:10" x14ac:dyDescent="0.35">
      <c r="A30" t="s">
        <v>195</v>
      </c>
      <c r="B30" s="171">
        <v>45367</v>
      </c>
      <c r="C30" t="s">
        <v>161</v>
      </c>
      <c r="D30" s="35" t="s">
        <v>155</v>
      </c>
      <c r="E30" s="35" t="str">
        <f>_xlfn.CONCAT(Table3[[#This Row],[ID_Operation]],Table3[[#This Row],[Zone]])</f>
        <v>OP11Bunker</v>
      </c>
      <c r="F30" s="142">
        <v>1</v>
      </c>
      <c r="G30" t="str">
        <f>VLOOKUP(Table3[[#This Row],[ID_Operation]],Operation!$A$2:$B$12,2,)</f>
        <v xml:space="preserve">Désherbage </v>
      </c>
      <c r="H30" s="167">
        <f>VLOOKUP(Table3[[#This Row],[ID_Cout]],Table2[],4,FALSE)</f>
        <v>1594</v>
      </c>
      <c r="I30" s="167">
        <f>Table3[[#This Row],[Cout]]*Table3[[#This Row],[Frequence]]</f>
        <v>1594</v>
      </c>
      <c r="J30">
        <v>0</v>
      </c>
    </row>
    <row r="31" spans="1:10" x14ac:dyDescent="0.35">
      <c r="A31" t="s">
        <v>196</v>
      </c>
      <c r="B31" s="171">
        <v>45383</v>
      </c>
      <c r="C31" t="s">
        <v>158</v>
      </c>
      <c r="D31" s="35" t="s">
        <v>150</v>
      </c>
      <c r="E31" s="35" t="str">
        <f>_xlfn.CONCAT(Table3[[#This Row],[ID_Operation]],Table3[[#This Row],[Zone]])</f>
        <v>OP06Depart</v>
      </c>
      <c r="F31" s="142">
        <v>12</v>
      </c>
      <c r="G31" t="str">
        <f>VLOOKUP(Table3[[#This Row],[ID_Operation]],Operation!$A$2:$B$12,2,)</f>
        <v xml:space="preserve">Tonte  </v>
      </c>
      <c r="H31" s="167">
        <f>VLOOKUP(Table3[[#This Row],[ID_Cout]],Table2[],4,FALSE)</f>
        <v>687.21118895648601</v>
      </c>
      <c r="I31" s="167">
        <f>Table3[[#This Row],[Cout]]*Table3[[#This Row],[Frequence]]</f>
        <v>8246.5342674778331</v>
      </c>
      <c r="J31">
        <v>0</v>
      </c>
    </row>
    <row r="32" spans="1:10" x14ac:dyDescent="0.35">
      <c r="A32" t="s">
        <v>197</v>
      </c>
      <c r="B32" s="171">
        <v>45384</v>
      </c>
      <c r="C32" t="s">
        <v>158</v>
      </c>
      <c r="D32" s="35" t="s">
        <v>153</v>
      </c>
      <c r="E32" s="35" t="str">
        <f>_xlfn.CONCAT(Table3[[#This Row],[ID_Operation]],Table3[[#This Row],[Zone]])</f>
        <v>OP09Depart</v>
      </c>
      <c r="F32" s="142">
        <v>1</v>
      </c>
      <c r="G32" t="str">
        <f>VLOOKUP(Table3[[#This Row],[ID_Operation]],Operation!$A$2:$B$12,2,)</f>
        <v xml:space="preserve">Sursemis </v>
      </c>
      <c r="H32" s="167">
        <f>VLOOKUP(Table3[[#This Row],[ID_Cout]],Table2[],4,FALSE)</f>
        <v>30151.629958317182</v>
      </c>
      <c r="I32" s="167">
        <f>Table3[[#This Row],[Cout]]*Table3[[#This Row],[Frequence]]</f>
        <v>30151.629958317182</v>
      </c>
      <c r="J32">
        <v>0</v>
      </c>
    </row>
    <row r="33" spans="1:10" x14ac:dyDescent="0.35">
      <c r="A33" t="s">
        <v>198</v>
      </c>
      <c r="B33" s="171">
        <v>45385</v>
      </c>
      <c r="C33" t="s">
        <v>31</v>
      </c>
      <c r="D33" s="35" t="s">
        <v>150</v>
      </c>
      <c r="E33" s="35" t="str">
        <f>_xlfn.CONCAT(Table3[[#This Row],[ID_Operation]],Table3[[#This Row],[Zone]])</f>
        <v>OP06Fairway</v>
      </c>
      <c r="F33" s="142">
        <v>8</v>
      </c>
      <c r="G33" t="str">
        <f>VLOOKUP(Table3[[#This Row],[ID_Operation]],Operation!$A$2:$B$12,2,)</f>
        <v xml:space="preserve">Tonte  </v>
      </c>
      <c r="H33" s="167">
        <f>VLOOKUP(Table3[[#This Row],[ID_Cout]],Table2[],4,FALSE)</f>
        <v>1524.8582990344953</v>
      </c>
      <c r="I33" s="167">
        <f>Table3[[#This Row],[Cout]]*Table3[[#This Row],[Frequence]]</f>
        <v>12198.866392275962</v>
      </c>
      <c r="J33">
        <v>0</v>
      </c>
    </row>
    <row r="34" spans="1:10" x14ac:dyDescent="0.35">
      <c r="A34" t="s">
        <v>199</v>
      </c>
      <c r="B34" s="171">
        <v>45386</v>
      </c>
      <c r="C34" t="s">
        <v>124</v>
      </c>
      <c r="D34" s="35" t="s">
        <v>146</v>
      </c>
      <c r="E34" s="35" t="str">
        <f>_xlfn.CONCAT(Table3[[#This Row],[ID_Operation]],Table3[[#This Row],[Zone]])</f>
        <v>OP02Rough</v>
      </c>
      <c r="F34" s="142">
        <v>1</v>
      </c>
      <c r="G34" t="str">
        <f>VLOOKUP(Table3[[#This Row],[ID_Operation]],Operation!$A$2:$B$12,2,)</f>
        <v xml:space="preserve">Aération par louchet plein  </v>
      </c>
      <c r="H34" s="167">
        <f>VLOOKUP(Table3[[#This Row],[ID_Cout]],Table2[],4,FALSE)</f>
        <v>9668.461538461539</v>
      </c>
      <c r="I34" s="167">
        <f>Table3[[#This Row],[Cout]]*Table3[[#This Row],[Frequence]]</f>
        <v>9668.461538461539</v>
      </c>
      <c r="J34">
        <v>0</v>
      </c>
    </row>
    <row r="35" spans="1:10" x14ac:dyDescent="0.35">
      <c r="A35" t="s">
        <v>200</v>
      </c>
      <c r="B35" s="171">
        <v>45387</v>
      </c>
      <c r="C35" t="s">
        <v>124</v>
      </c>
      <c r="D35" s="35" t="s">
        <v>150</v>
      </c>
      <c r="E35" s="35" t="str">
        <f>_xlfn.CONCAT(Table3[[#This Row],[ID_Operation]],Table3[[#This Row],[Zone]])</f>
        <v>OP06Rough</v>
      </c>
      <c r="F35" s="142">
        <v>2</v>
      </c>
      <c r="G35" t="str">
        <f>VLOOKUP(Table3[[#This Row],[ID_Operation]],Operation!$A$2:$B$12,2,)</f>
        <v xml:space="preserve">Tonte  </v>
      </c>
      <c r="H35" s="167">
        <f>VLOOKUP(Table3[[#This Row],[ID_Cout]],Table2[],4,FALSE)</f>
        <v>688.07692307692309</v>
      </c>
      <c r="I35" s="167">
        <f>Table3[[#This Row],[Cout]]*Table3[[#This Row],[Frequence]]</f>
        <v>1376.1538461538462</v>
      </c>
      <c r="J35">
        <v>0</v>
      </c>
    </row>
    <row r="36" spans="1:10" x14ac:dyDescent="0.35">
      <c r="A36" t="s">
        <v>201</v>
      </c>
      <c r="B36" s="171">
        <v>45388</v>
      </c>
      <c r="C36" t="s">
        <v>160</v>
      </c>
      <c r="D36" s="35" t="s">
        <v>150</v>
      </c>
      <c r="E36" s="35" t="str">
        <f>_xlfn.CONCAT(Table3[[#This Row],[ID_Operation]],Table3[[#This Row],[Zone]])</f>
        <v>OP06Green</v>
      </c>
      <c r="F36" s="142">
        <v>26</v>
      </c>
      <c r="G36" t="str">
        <f>VLOOKUP(Table3[[#This Row],[ID_Operation]],Operation!$A$2:$B$12,2,)</f>
        <v xml:space="preserve">Tonte  </v>
      </c>
      <c r="H36" s="167">
        <f>VLOOKUP(Table3[[#This Row],[ID_Cout]],Table2[],4,FALSE)</f>
        <v>5278.7111789674291</v>
      </c>
      <c r="I36" s="167">
        <f>Table3[[#This Row],[Cout]]*Table3[[#This Row],[Frequence]]</f>
        <v>137246.49065315316</v>
      </c>
      <c r="J36">
        <v>0</v>
      </c>
    </row>
    <row r="37" spans="1:10" x14ac:dyDescent="0.35">
      <c r="A37" t="s">
        <v>202</v>
      </c>
      <c r="B37" s="171">
        <v>45389</v>
      </c>
      <c r="C37" t="s">
        <v>161</v>
      </c>
      <c r="D37" s="35" t="s">
        <v>154</v>
      </c>
      <c r="E37" s="35" t="str">
        <f>_xlfn.CONCAT(Table3[[#This Row],[ID_Operation]],Table3[[#This Row],[Zone]])</f>
        <v>OP10Bunker</v>
      </c>
      <c r="F37" s="142">
        <v>1</v>
      </c>
      <c r="G37" t="str">
        <f>VLOOKUP(Table3[[#This Row],[ID_Operation]],Operation!$A$2:$B$12,2,)</f>
        <v xml:space="preserve">Ratissage </v>
      </c>
      <c r="H37" s="167">
        <f>VLOOKUP(Table3[[#This Row],[ID_Cout]],Table2[],4,FALSE)</f>
        <v>600</v>
      </c>
      <c r="I37" s="167">
        <f>Table3[[#This Row],[Cout]]*Table3[[#This Row],[Frequence]]</f>
        <v>600</v>
      </c>
      <c r="J37">
        <v>0</v>
      </c>
    </row>
    <row r="38" spans="1:10" x14ac:dyDescent="0.35">
      <c r="A38" t="s">
        <v>203</v>
      </c>
      <c r="B38" s="171">
        <v>45413</v>
      </c>
      <c r="C38" t="s">
        <v>158</v>
      </c>
      <c r="D38" s="35" t="s">
        <v>150</v>
      </c>
      <c r="E38" s="35" t="str">
        <f>_xlfn.CONCAT(Table3[[#This Row],[ID_Operation]],Table3[[#This Row],[Zone]])</f>
        <v>OP06Depart</v>
      </c>
      <c r="F38" s="142">
        <v>12</v>
      </c>
      <c r="G38" t="str">
        <f>VLOOKUP(Table3[[#This Row],[ID_Operation]],Operation!$A$2:$B$12,2,)</f>
        <v xml:space="preserve">Tonte  </v>
      </c>
      <c r="H38" s="167">
        <f>VLOOKUP(Table3[[#This Row],[ID_Cout]],Table2[],4,FALSE)</f>
        <v>687.21118895648601</v>
      </c>
      <c r="I38" s="167">
        <f>Table3[[#This Row],[Cout]]*Table3[[#This Row],[Frequence]]</f>
        <v>8246.5342674778331</v>
      </c>
      <c r="J38">
        <v>0</v>
      </c>
    </row>
    <row r="39" spans="1:10" x14ac:dyDescent="0.35">
      <c r="A39" t="s">
        <v>204</v>
      </c>
      <c r="B39" s="171">
        <v>45414</v>
      </c>
      <c r="C39" t="s">
        <v>31</v>
      </c>
      <c r="D39" s="35" t="s">
        <v>150</v>
      </c>
      <c r="E39" s="35" t="str">
        <f>_xlfn.CONCAT(Table3[[#This Row],[ID_Operation]],Table3[[#This Row],[Zone]])</f>
        <v>OP06Fairway</v>
      </c>
      <c r="F39" s="142">
        <v>8</v>
      </c>
      <c r="G39" t="str">
        <f>VLOOKUP(Table3[[#This Row],[ID_Operation]],Operation!$A$2:$B$12,2,)</f>
        <v xml:space="preserve">Tonte  </v>
      </c>
      <c r="H39" s="167">
        <f>VLOOKUP(Table3[[#This Row],[ID_Cout]],Table2[],4,FALSE)</f>
        <v>1524.8582990344953</v>
      </c>
      <c r="I39" s="167">
        <f>Table3[[#This Row],[Cout]]*Table3[[#This Row],[Frequence]]</f>
        <v>12198.866392275962</v>
      </c>
      <c r="J39">
        <v>0</v>
      </c>
    </row>
    <row r="40" spans="1:10" x14ac:dyDescent="0.35">
      <c r="A40" t="s">
        <v>205</v>
      </c>
      <c r="B40" s="171">
        <v>45415</v>
      </c>
      <c r="C40" t="s">
        <v>124</v>
      </c>
      <c r="D40" s="35" t="s">
        <v>150</v>
      </c>
      <c r="E40" s="35" t="str">
        <f>_xlfn.CONCAT(Table3[[#This Row],[ID_Operation]],Table3[[#This Row],[Zone]])</f>
        <v>OP06Rough</v>
      </c>
      <c r="F40" s="142">
        <v>2</v>
      </c>
      <c r="G40" t="str">
        <f>VLOOKUP(Table3[[#This Row],[ID_Operation]],Operation!$A$2:$B$12,2,)</f>
        <v xml:space="preserve">Tonte  </v>
      </c>
      <c r="H40" s="167">
        <f>VLOOKUP(Table3[[#This Row],[ID_Cout]],Table2[],4,FALSE)</f>
        <v>688.07692307692309</v>
      </c>
      <c r="I40" s="167">
        <f>Table3[[#This Row],[Cout]]*Table3[[#This Row],[Frequence]]</f>
        <v>1376.1538461538462</v>
      </c>
      <c r="J40">
        <v>0</v>
      </c>
    </row>
    <row r="41" spans="1:10" x14ac:dyDescent="0.35">
      <c r="A41" t="s">
        <v>206</v>
      </c>
      <c r="B41" s="171">
        <v>45416</v>
      </c>
      <c r="C41" t="s">
        <v>160</v>
      </c>
      <c r="D41" s="35" t="s">
        <v>150</v>
      </c>
      <c r="E41" s="35" t="str">
        <f>_xlfn.CONCAT(Table3[[#This Row],[ID_Operation]],Table3[[#This Row],[Zone]])</f>
        <v>OP06Green</v>
      </c>
      <c r="F41" s="142">
        <v>26</v>
      </c>
      <c r="G41" t="str">
        <f>VLOOKUP(Table3[[#This Row],[ID_Operation]],Operation!$A$2:$B$12,2,)</f>
        <v xml:space="preserve">Tonte  </v>
      </c>
      <c r="H41" s="167">
        <f>VLOOKUP(Table3[[#This Row],[ID_Cout]],Table2[],4,FALSE)</f>
        <v>5278.7111789674291</v>
      </c>
      <c r="I41" s="167">
        <f>Table3[[#This Row],[Cout]]*Table3[[#This Row],[Frequence]]</f>
        <v>137246.49065315316</v>
      </c>
      <c r="J41">
        <v>0</v>
      </c>
    </row>
    <row r="42" spans="1:10" x14ac:dyDescent="0.35">
      <c r="A42" t="s">
        <v>207</v>
      </c>
      <c r="B42" s="171">
        <v>45417</v>
      </c>
      <c r="C42" t="s">
        <v>160</v>
      </c>
      <c r="D42" s="35" t="s">
        <v>151</v>
      </c>
      <c r="E42" s="35" t="str">
        <f>_xlfn.CONCAT(Table3[[#This Row],[ID_Operation]],Table3[[#This Row],[Zone]])</f>
        <v>OP07Green</v>
      </c>
      <c r="F42" s="142">
        <v>1</v>
      </c>
      <c r="G42" t="str">
        <f>VLOOKUP(Table3[[#This Row],[ID_Operation]],Operation!$A$2:$B$12,2,)</f>
        <v xml:space="preserve">Fertilisation </v>
      </c>
      <c r="H42" s="167">
        <f>VLOOKUP(Table3[[#This Row],[ID_Cout]],Table2[],4,FALSE)</f>
        <v>5725.6994017671514</v>
      </c>
      <c r="I42" s="167">
        <f>Table3[[#This Row],[Cout]]*Table3[[#This Row],[Frequence]]</f>
        <v>5725.6994017671514</v>
      </c>
      <c r="J42">
        <v>0</v>
      </c>
    </row>
    <row r="43" spans="1:10" x14ac:dyDescent="0.35">
      <c r="A43" t="s">
        <v>208</v>
      </c>
      <c r="B43" s="171">
        <v>45418</v>
      </c>
      <c r="C43" t="s">
        <v>160</v>
      </c>
      <c r="D43" s="35" t="s">
        <v>152</v>
      </c>
      <c r="E43" s="35" t="str">
        <f>_xlfn.CONCAT(Table3[[#This Row],[ID_Operation]],Table3[[#This Row],[Zone]])</f>
        <v>OP08Green</v>
      </c>
      <c r="F43" s="142">
        <v>1</v>
      </c>
      <c r="G43" t="str">
        <f>VLOOKUP(Table3[[#This Row],[ID_Operation]],Operation!$A$2:$B$12,2,)</f>
        <v xml:space="preserve">Traitement phytosanitaire </v>
      </c>
      <c r="H43" s="167">
        <f>VLOOKUP(Table3[[#This Row],[ID_Cout]],Table2[],4,FALSE)</f>
        <v>3292.1215804747053</v>
      </c>
      <c r="I43" s="167">
        <f>Table3[[#This Row],[Cout]]*Table3[[#This Row],[Frequence]]</f>
        <v>3292.1215804747053</v>
      </c>
      <c r="J43">
        <v>0</v>
      </c>
    </row>
    <row r="44" spans="1:10" x14ac:dyDescent="0.35">
      <c r="A44" t="s">
        <v>209</v>
      </c>
      <c r="B44" s="171">
        <v>45419</v>
      </c>
      <c r="C44" t="s">
        <v>161</v>
      </c>
      <c r="D44" s="35" t="s">
        <v>154</v>
      </c>
      <c r="E44" s="35" t="str">
        <f>_xlfn.CONCAT(Table3[[#This Row],[ID_Operation]],Table3[[#This Row],[Zone]])</f>
        <v>OP10Bunker</v>
      </c>
      <c r="F44" s="142">
        <v>1</v>
      </c>
      <c r="G44" t="str">
        <f>VLOOKUP(Table3[[#This Row],[ID_Operation]],Operation!$A$2:$B$12,2,)</f>
        <v xml:space="preserve">Ratissage </v>
      </c>
      <c r="H44" s="167">
        <f>VLOOKUP(Table3[[#This Row],[ID_Cout]],Table2[],4,FALSE)</f>
        <v>600</v>
      </c>
      <c r="I44" s="167">
        <f>Table3[[#This Row],[Cout]]*Table3[[#This Row],[Frequence]]</f>
        <v>600</v>
      </c>
      <c r="J44">
        <v>0</v>
      </c>
    </row>
    <row r="45" spans="1:10" x14ac:dyDescent="0.35">
      <c r="A45" t="s">
        <v>210</v>
      </c>
      <c r="B45" s="171">
        <v>45444</v>
      </c>
      <c r="C45" t="s">
        <v>158</v>
      </c>
      <c r="D45" s="35" t="s">
        <v>150</v>
      </c>
      <c r="E45" s="35" t="str">
        <f>_xlfn.CONCAT(Table3[[#This Row],[ID_Operation]],Table3[[#This Row],[Zone]])</f>
        <v>OP06Depart</v>
      </c>
      <c r="F45" s="142">
        <v>12</v>
      </c>
      <c r="G45" t="str">
        <f>VLOOKUP(Table3[[#This Row],[ID_Operation]],Operation!$A$2:$B$12,2,)</f>
        <v xml:space="preserve">Tonte  </v>
      </c>
      <c r="H45" s="167">
        <f>VLOOKUP(Table3[[#This Row],[ID_Cout]],Table2[],4,FALSE)</f>
        <v>687.21118895648601</v>
      </c>
      <c r="I45" s="167">
        <f>Table3[[#This Row],[Cout]]*Table3[[#This Row],[Frequence]]</f>
        <v>8246.5342674778331</v>
      </c>
      <c r="J45">
        <v>0</v>
      </c>
    </row>
    <row r="46" spans="1:10" x14ac:dyDescent="0.35">
      <c r="A46" t="s">
        <v>211</v>
      </c>
      <c r="B46" s="171">
        <v>45445</v>
      </c>
      <c r="C46" t="s">
        <v>31</v>
      </c>
      <c r="D46" s="35" t="s">
        <v>150</v>
      </c>
      <c r="E46" s="35" t="str">
        <f>_xlfn.CONCAT(Table3[[#This Row],[ID_Operation]],Table3[[#This Row],[Zone]])</f>
        <v>OP06Fairway</v>
      </c>
      <c r="F46" s="142">
        <v>8</v>
      </c>
      <c r="G46" t="str">
        <f>VLOOKUP(Table3[[#This Row],[ID_Operation]],Operation!$A$2:$B$12,2,)</f>
        <v xml:space="preserve">Tonte  </v>
      </c>
      <c r="H46" s="167">
        <f>VLOOKUP(Table3[[#This Row],[ID_Cout]],Table2[],4,FALSE)</f>
        <v>1524.8582990344953</v>
      </c>
      <c r="I46" s="167">
        <f>Table3[[#This Row],[Cout]]*Table3[[#This Row],[Frequence]]</f>
        <v>12198.866392275962</v>
      </c>
      <c r="J46">
        <v>0</v>
      </c>
    </row>
    <row r="47" spans="1:10" x14ac:dyDescent="0.35">
      <c r="A47" t="s">
        <v>212</v>
      </c>
      <c r="B47" s="171">
        <v>45446</v>
      </c>
      <c r="C47" t="s">
        <v>31</v>
      </c>
      <c r="D47" s="35" t="s">
        <v>151</v>
      </c>
      <c r="E47" s="35" t="str">
        <f>_xlfn.CONCAT(Table3[[#This Row],[ID_Operation]],Table3[[#This Row],[Zone]])</f>
        <v>OP07Fairway</v>
      </c>
      <c r="F47" s="143">
        <v>1</v>
      </c>
      <c r="G47" t="str">
        <f>VLOOKUP(Table3[[#This Row],[ID_Operation]],Operation!$A$2:$B$12,2,)</f>
        <v xml:space="preserve">Fertilisation </v>
      </c>
      <c r="H47" s="167">
        <f>VLOOKUP(Table3[[#This Row],[ID_Cout]],Table2[],4,FALSE)</f>
        <v>48643.624751921947</v>
      </c>
      <c r="I47" s="167">
        <f>Table3[[#This Row],[Cout]]*Table3[[#This Row],[Frequence]]</f>
        <v>48643.624751921947</v>
      </c>
      <c r="J47">
        <v>0</v>
      </c>
    </row>
    <row r="48" spans="1:10" x14ac:dyDescent="0.35">
      <c r="A48" t="s">
        <v>213</v>
      </c>
      <c r="B48" s="171">
        <v>45447</v>
      </c>
      <c r="C48" t="s">
        <v>124</v>
      </c>
      <c r="D48" s="35" t="s">
        <v>150</v>
      </c>
      <c r="E48" s="35" t="str">
        <f>_xlfn.CONCAT(Table3[[#This Row],[ID_Operation]],Table3[[#This Row],[Zone]])</f>
        <v>OP06Rough</v>
      </c>
      <c r="F48" s="142">
        <v>2</v>
      </c>
      <c r="G48" t="str">
        <f>VLOOKUP(Table3[[#This Row],[ID_Operation]],Operation!$A$2:$B$12,2,)</f>
        <v xml:space="preserve">Tonte  </v>
      </c>
      <c r="H48" s="167">
        <f>VLOOKUP(Table3[[#This Row],[ID_Cout]],Table2[],4,FALSE)</f>
        <v>688.07692307692309</v>
      </c>
      <c r="I48" s="167">
        <f>Table3[[#This Row],[Cout]]*Table3[[#This Row],[Frequence]]</f>
        <v>1376.1538461538462</v>
      </c>
      <c r="J48">
        <v>0</v>
      </c>
    </row>
    <row r="49" spans="1:10" x14ac:dyDescent="0.35">
      <c r="A49" t="s">
        <v>214</v>
      </c>
      <c r="B49" s="171">
        <v>45448</v>
      </c>
      <c r="C49" t="s">
        <v>160</v>
      </c>
      <c r="D49" s="35" t="s">
        <v>146</v>
      </c>
      <c r="E49" s="35" t="str">
        <f>_xlfn.CONCAT(Table3[[#This Row],[ID_Operation]],Table3[[#This Row],[Zone]])</f>
        <v>OP02Green</v>
      </c>
      <c r="F49" s="143">
        <v>1</v>
      </c>
      <c r="G49" t="str">
        <f>VLOOKUP(Table3[[#This Row],[ID_Operation]],Operation!$A$2:$B$12,2,)</f>
        <v xml:space="preserve">Aération par louchet plein  </v>
      </c>
      <c r="H49" s="167">
        <f>VLOOKUP(Table3[[#This Row],[ID_Cout]],Table2[],4,FALSE)</f>
        <v>5929.1671327096328</v>
      </c>
      <c r="I49" s="167">
        <f>Table3[[#This Row],[Cout]]*Table3[[#This Row],[Frequence]]</f>
        <v>5929.1671327096328</v>
      </c>
      <c r="J49">
        <v>0</v>
      </c>
    </row>
    <row r="50" spans="1:10" x14ac:dyDescent="0.35">
      <c r="A50" t="s">
        <v>215</v>
      </c>
      <c r="B50" s="171">
        <v>45449</v>
      </c>
      <c r="C50" t="s">
        <v>160</v>
      </c>
      <c r="D50" s="35" t="s">
        <v>147</v>
      </c>
      <c r="E50" s="35" t="str">
        <f>_xlfn.CONCAT(Table3[[#This Row],[ID_Operation]],Table3[[#This Row],[Zone]])</f>
        <v>OP03Green</v>
      </c>
      <c r="F50" s="143">
        <v>1</v>
      </c>
      <c r="G50" t="str">
        <f>VLOOKUP(Table3[[#This Row],[ID_Operation]],Operation!$A$2:$B$12,2,)</f>
        <v xml:space="preserve">Sablage </v>
      </c>
      <c r="H50" s="167">
        <f>VLOOKUP(Table3[[#This Row],[ID_Cout]],Table2[],4,FALSE)</f>
        <v>21081.637136902285</v>
      </c>
      <c r="I50" s="167">
        <f>Table3[[#This Row],[Cout]]*Table3[[#This Row],[Frequence]]</f>
        <v>21081.637136902285</v>
      </c>
      <c r="J50">
        <v>0</v>
      </c>
    </row>
    <row r="51" spans="1:10" x14ac:dyDescent="0.35">
      <c r="A51" t="s">
        <v>216</v>
      </c>
      <c r="B51" s="171">
        <v>45450</v>
      </c>
      <c r="C51" t="s">
        <v>160</v>
      </c>
      <c r="D51" s="35" t="s">
        <v>149</v>
      </c>
      <c r="E51" s="35" t="str">
        <f>_xlfn.CONCAT(Table3[[#This Row],[ID_Operation]],Table3[[#This Row],[Zone]])</f>
        <v>OP05Green</v>
      </c>
      <c r="F51" s="143">
        <v>1</v>
      </c>
      <c r="G51" t="str">
        <f>VLOOKUP(Table3[[#This Row],[ID_Operation]],Operation!$A$2:$B$12,2,)</f>
        <v>Verticutte</v>
      </c>
      <c r="H51" s="167">
        <f>VLOOKUP(Table3[[#This Row],[ID_Cout]],Table2[],4,FALSE)</f>
        <v>1575.5255266805266</v>
      </c>
      <c r="I51" s="167">
        <f>Table3[[#This Row],[Cout]]*Table3[[#This Row],[Frequence]]</f>
        <v>1575.5255266805266</v>
      </c>
      <c r="J51">
        <v>0</v>
      </c>
    </row>
    <row r="52" spans="1:10" x14ac:dyDescent="0.35">
      <c r="A52" t="s">
        <v>217</v>
      </c>
      <c r="B52" s="171">
        <v>45451</v>
      </c>
      <c r="C52" t="s">
        <v>160</v>
      </c>
      <c r="D52" s="35" t="s">
        <v>150</v>
      </c>
      <c r="E52" s="35" t="str">
        <f>_xlfn.CONCAT(Table3[[#This Row],[ID_Operation]],Table3[[#This Row],[Zone]])</f>
        <v>OP06Green</v>
      </c>
      <c r="F52" s="143">
        <v>26</v>
      </c>
      <c r="G52" t="str">
        <f>VLOOKUP(Table3[[#This Row],[ID_Operation]],Operation!$A$2:$B$12,2,)</f>
        <v xml:space="preserve">Tonte  </v>
      </c>
      <c r="H52" s="167">
        <f>VLOOKUP(Table3[[#This Row],[ID_Cout]],Table2[],4,FALSE)</f>
        <v>5278.7111789674291</v>
      </c>
      <c r="I52" s="167">
        <f>Table3[[#This Row],[Cout]]*Table3[[#This Row],[Frequence]]</f>
        <v>137246.49065315316</v>
      </c>
      <c r="J52">
        <v>0</v>
      </c>
    </row>
    <row r="53" spans="1:10" x14ac:dyDescent="0.35">
      <c r="A53" t="s">
        <v>218</v>
      </c>
      <c r="B53" s="171">
        <v>45452</v>
      </c>
      <c r="C53" t="s">
        <v>161</v>
      </c>
      <c r="D53" s="35" t="s">
        <v>154</v>
      </c>
      <c r="E53" s="35" t="str">
        <f>_xlfn.CONCAT(Table3[[#This Row],[ID_Operation]],Table3[[#This Row],[Zone]])</f>
        <v>OP10Bunker</v>
      </c>
      <c r="F53" s="143">
        <v>1</v>
      </c>
      <c r="G53" t="str">
        <f>VLOOKUP(Table3[[#This Row],[ID_Operation]],Operation!$A$2:$B$12,2,)</f>
        <v xml:space="preserve">Ratissage </v>
      </c>
      <c r="H53" s="167">
        <f>VLOOKUP(Table3[[#This Row],[ID_Cout]],Table2[],4,FALSE)</f>
        <v>600</v>
      </c>
      <c r="I53" s="167">
        <f>Table3[[#This Row],[Cout]]*Table3[[#This Row],[Frequence]]</f>
        <v>600</v>
      </c>
      <c r="J53">
        <v>0</v>
      </c>
    </row>
    <row r="54" spans="1:10" x14ac:dyDescent="0.35">
      <c r="A54" t="s">
        <v>219</v>
      </c>
      <c r="B54" s="171">
        <v>45453</v>
      </c>
      <c r="C54" t="s">
        <v>161</v>
      </c>
      <c r="D54" s="35" t="s">
        <v>155</v>
      </c>
      <c r="E54" s="35" t="str">
        <f>_xlfn.CONCAT(Table3[[#This Row],[ID_Operation]],Table3[[#This Row],[Zone]])</f>
        <v>OP11Bunker</v>
      </c>
      <c r="F54" s="143">
        <v>1</v>
      </c>
      <c r="G54" t="str">
        <f>VLOOKUP(Table3[[#This Row],[ID_Operation]],Operation!$A$2:$B$12,2,)</f>
        <v xml:space="preserve">Désherbage </v>
      </c>
      <c r="H54" s="167">
        <f>VLOOKUP(Table3[[#This Row],[ID_Cout]],Table2[],4,FALSE)</f>
        <v>1594</v>
      </c>
      <c r="I54" s="167">
        <f>Table3[[#This Row],[Cout]]*Table3[[#This Row],[Frequence]]</f>
        <v>1594</v>
      </c>
      <c r="J54">
        <v>0</v>
      </c>
    </row>
    <row r="55" spans="1:10" x14ac:dyDescent="0.35">
      <c r="A55" t="s">
        <v>220</v>
      </c>
      <c r="B55" s="171">
        <v>45474</v>
      </c>
      <c r="C55" t="s">
        <v>158</v>
      </c>
      <c r="D55" s="35" t="s">
        <v>150</v>
      </c>
      <c r="E55" s="35" t="str">
        <f>_xlfn.CONCAT(Table3[[#This Row],[ID_Operation]],Table3[[#This Row],[Zone]])</f>
        <v>OP06Depart</v>
      </c>
      <c r="F55" s="143">
        <v>12</v>
      </c>
      <c r="G55" t="str">
        <f>VLOOKUP(Table3[[#This Row],[ID_Operation]],Operation!$A$2:$B$12,2,)</f>
        <v xml:space="preserve">Tonte  </v>
      </c>
      <c r="H55" s="167">
        <f>VLOOKUP(Table3[[#This Row],[ID_Cout]],Table2[],4,FALSE)</f>
        <v>687.21118895648601</v>
      </c>
      <c r="I55" s="167">
        <f>Table3[[#This Row],[Cout]]*Table3[[#This Row],[Frequence]]</f>
        <v>8246.5342674778331</v>
      </c>
      <c r="J55">
        <v>0</v>
      </c>
    </row>
    <row r="56" spans="1:10" x14ac:dyDescent="0.35">
      <c r="A56" t="s">
        <v>221</v>
      </c>
      <c r="B56" s="171">
        <v>45475</v>
      </c>
      <c r="C56" t="s">
        <v>158</v>
      </c>
      <c r="D56" s="35" t="s">
        <v>151</v>
      </c>
      <c r="E56" s="35" t="str">
        <f>_xlfn.CONCAT(Table3[[#This Row],[ID_Operation]],Table3[[#This Row],[Zone]])</f>
        <v>OP07Depart</v>
      </c>
      <c r="F56" s="143">
        <v>1</v>
      </c>
      <c r="G56" t="str">
        <f>VLOOKUP(Table3[[#This Row],[ID_Operation]],Operation!$A$2:$B$12,2,)</f>
        <v xml:space="preserve">Fertilisation </v>
      </c>
      <c r="H56" s="167">
        <f>VLOOKUP(Table3[[#This Row],[ID_Cout]],Table2[],4,FALSE)</f>
        <v>8184.7117602701601</v>
      </c>
      <c r="I56" s="167">
        <f>Table3[[#This Row],[Cout]]*Table3[[#This Row],[Frequence]]</f>
        <v>8184.7117602701601</v>
      </c>
      <c r="J56">
        <v>0</v>
      </c>
    </row>
    <row r="57" spans="1:10" x14ac:dyDescent="0.35">
      <c r="A57" t="s">
        <v>222</v>
      </c>
      <c r="B57" s="171">
        <v>45476</v>
      </c>
      <c r="C57" t="s">
        <v>31</v>
      </c>
      <c r="D57" s="35" t="s">
        <v>150</v>
      </c>
      <c r="E57" s="35" t="str">
        <f>_xlfn.CONCAT(Table3[[#This Row],[ID_Operation]],Table3[[#This Row],[Zone]])</f>
        <v>OP06Fairway</v>
      </c>
      <c r="F57" s="142">
        <v>8</v>
      </c>
      <c r="G57" t="str">
        <f>VLOOKUP(Table3[[#This Row],[ID_Operation]],Operation!$A$2:$B$12,2,)</f>
        <v xml:space="preserve">Tonte  </v>
      </c>
      <c r="H57" s="167">
        <f>VLOOKUP(Table3[[#This Row],[ID_Cout]],Table2[],4,FALSE)</f>
        <v>1524.8582990344953</v>
      </c>
      <c r="I57" s="167">
        <f>Table3[[#This Row],[Cout]]*Table3[[#This Row],[Frequence]]</f>
        <v>12198.866392275962</v>
      </c>
      <c r="J57">
        <v>0</v>
      </c>
    </row>
    <row r="58" spans="1:10" x14ac:dyDescent="0.35">
      <c r="A58" t="s">
        <v>223</v>
      </c>
      <c r="B58" s="171">
        <v>45477</v>
      </c>
      <c r="C58" t="s">
        <v>124</v>
      </c>
      <c r="D58" s="35" t="s">
        <v>150</v>
      </c>
      <c r="E58" s="35" t="str">
        <f>_xlfn.CONCAT(Table3[[#This Row],[ID_Operation]],Table3[[#This Row],[Zone]])</f>
        <v>OP06Rough</v>
      </c>
      <c r="F58" s="142">
        <v>2</v>
      </c>
      <c r="G58" t="str">
        <f>VLOOKUP(Table3[[#This Row],[ID_Operation]],Operation!$A$2:$B$12,2,)</f>
        <v xml:space="preserve">Tonte  </v>
      </c>
      <c r="H58" s="167">
        <f>VLOOKUP(Table3[[#This Row],[ID_Cout]],Table2[],4,FALSE)</f>
        <v>688.07692307692309</v>
      </c>
      <c r="I58" s="167">
        <f>Table3[[#This Row],[Cout]]*Table3[[#This Row],[Frequence]]</f>
        <v>1376.1538461538462</v>
      </c>
      <c r="J58">
        <v>0</v>
      </c>
    </row>
    <row r="59" spans="1:10" x14ac:dyDescent="0.35">
      <c r="A59" t="s">
        <v>224</v>
      </c>
      <c r="B59" s="171">
        <v>45478</v>
      </c>
      <c r="C59" t="s">
        <v>160</v>
      </c>
      <c r="D59" s="35" t="s">
        <v>150</v>
      </c>
      <c r="E59" s="35" t="str">
        <f>_xlfn.CONCAT(Table3[[#This Row],[ID_Operation]],Table3[[#This Row],[Zone]])</f>
        <v>OP06Green</v>
      </c>
      <c r="F59" s="143">
        <v>26</v>
      </c>
      <c r="G59" t="str">
        <f>VLOOKUP(Table3[[#This Row],[ID_Operation]],Operation!$A$2:$B$12,2,)</f>
        <v xml:space="preserve">Tonte  </v>
      </c>
      <c r="H59" s="167">
        <f>VLOOKUP(Table3[[#This Row],[ID_Cout]],Table2[],4,FALSE)</f>
        <v>5278.7111789674291</v>
      </c>
      <c r="I59" s="167">
        <f>Table3[[#This Row],[Cout]]*Table3[[#This Row],[Frequence]]</f>
        <v>137246.49065315316</v>
      </c>
      <c r="J59">
        <v>0</v>
      </c>
    </row>
    <row r="60" spans="1:10" x14ac:dyDescent="0.35">
      <c r="A60" t="s">
        <v>225</v>
      </c>
      <c r="B60" s="171">
        <v>45479</v>
      </c>
      <c r="C60" t="s">
        <v>160</v>
      </c>
      <c r="D60" s="35" t="s">
        <v>151</v>
      </c>
      <c r="E60" s="35" t="str">
        <f>_xlfn.CONCAT(Table3[[#This Row],[ID_Operation]],Table3[[#This Row],[Zone]])</f>
        <v>OP07Green</v>
      </c>
      <c r="F60" s="143">
        <v>1</v>
      </c>
      <c r="G60" t="str">
        <f>VLOOKUP(Table3[[#This Row],[ID_Operation]],Operation!$A$2:$B$12,2,)</f>
        <v xml:space="preserve">Fertilisation </v>
      </c>
      <c r="H60" s="167">
        <f>VLOOKUP(Table3[[#This Row],[ID_Cout]],Table2[],4,FALSE)</f>
        <v>5725.6994017671514</v>
      </c>
      <c r="I60" s="167">
        <f>Table3[[#This Row],[Cout]]*Table3[[#This Row],[Frequence]]</f>
        <v>5725.6994017671514</v>
      </c>
      <c r="J60">
        <v>0</v>
      </c>
    </row>
    <row r="61" spans="1:10" x14ac:dyDescent="0.35">
      <c r="A61" t="s">
        <v>226</v>
      </c>
      <c r="B61" s="171">
        <v>45480</v>
      </c>
      <c r="C61" t="s">
        <v>161</v>
      </c>
      <c r="D61" s="35" t="s">
        <v>154</v>
      </c>
      <c r="E61" s="35" t="str">
        <f>_xlfn.CONCAT(Table3[[#This Row],[ID_Operation]],Table3[[#This Row],[Zone]])</f>
        <v>OP10Bunker</v>
      </c>
      <c r="F61" s="143">
        <v>1</v>
      </c>
      <c r="G61" t="str">
        <f>VLOOKUP(Table3[[#This Row],[ID_Operation]],Operation!$A$2:$B$12,2,)</f>
        <v xml:space="preserve">Ratissage </v>
      </c>
      <c r="H61" s="167">
        <f>VLOOKUP(Table3[[#This Row],[ID_Cout]],Table2[],4,FALSE)</f>
        <v>600</v>
      </c>
      <c r="I61" s="167">
        <f>Table3[[#This Row],[Cout]]*Table3[[#This Row],[Frequence]]</f>
        <v>600</v>
      </c>
      <c r="J61">
        <v>0</v>
      </c>
    </row>
    <row r="62" spans="1:10" x14ac:dyDescent="0.35">
      <c r="A62" t="s">
        <v>227</v>
      </c>
      <c r="B62" s="171">
        <v>45505</v>
      </c>
      <c r="C62" t="s">
        <v>158</v>
      </c>
      <c r="D62" s="35" t="s">
        <v>150</v>
      </c>
      <c r="E62" s="35" t="str">
        <f>_xlfn.CONCAT(Table3[[#This Row],[ID_Operation]],Table3[[#This Row],[Zone]])</f>
        <v>OP06Depart</v>
      </c>
      <c r="F62" s="143">
        <v>12</v>
      </c>
      <c r="G62" t="str">
        <f>VLOOKUP(Table3[[#This Row],[ID_Operation]],Operation!$A$2:$B$12,2,)</f>
        <v xml:space="preserve">Tonte  </v>
      </c>
      <c r="H62" s="167">
        <f>VLOOKUP(Table3[[#This Row],[ID_Cout]],Table2[],4,FALSE)</f>
        <v>687.21118895648601</v>
      </c>
      <c r="I62" s="167">
        <f>Table3[[#This Row],[Cout]]*Table3[[#This Row],[Frequence]]</f>
        <v>8246.5342674778331</v>
      </c>
      <c r="J62">
        <v>0</v>
      </c>
    </row>
    <row r="63" spans="1:10" x14ac:dyDescent="0.35">
      <c r="A63" t="s">
        <v>228</v>
      </c>
      <c r="B63" s="171">
        <v>45506</v>
      </c>
      <c r="C63" t="s">
        <v>31</v>
      </c>
      <c r="D63" s="35" t="s">
        <v>150</v>
      </c>
      <c r="E63" s="35" t="str">
        <f>_xlfn.CONCAT(Table3[[#This Row],[ID_Operation]],Table3[[#This Row],[Zone]])</f>
        <v>OP06Fairway</v>
      </c>
      <c r="F63" s="142">
        <v>8</v>
      </c>
      <c r="G63" t="str">
        <f>VLOOKUP(Table3[[#This Row],[ID_Operation]],Operation!$A$2:$B$12,2,)</f>
        <v xml:space="preserve">Tonte  </v>
      </c>
      <c r="H63" s="167">
        <f>VLOOKUP(Table3[[#This Row],[ID_Cout]],Table2[],4,FALSE)</f>
        <v>1524.8582990344953</v>
      </c>
      <c r="I63" s="167">
        <f>Table3[[#This Row],[Cout]]*Table3[[#This Row],[Frequence]]</f>
        <v>12198.866392275962</v>
      </c>
      <c r="J63">
        <v>0</v>
      </c>
    </row>
    <row r="64" spans="1:10" x14ac:dyDescent="0.35">
      <c r="A64" t="s">
        <v>229</v>
      </c>
      <c r="B64" s="171">
        <v>45507</v>
      </c>
      <c r="C64" t="s">
        <v>124</v>
      </c>
      <c r="D64" s="35" t="s">
        <v>150</v>
      </c>
      <c r="E64" s="35" t="str">
        <f>_xlfn.CONCAT(Table3[[#This Row],[ID_Operation]],Table3[[#This Row],[Zone]])</f>
        <v>OP06Rough</v>
      </c>
      <c r="F64" s="142">
        <v>2</v>
      </c>
      <c r="G64" t="str">
        <f>VLOOKUP(Table3[[#This Row],[ID_Operation]],Operation!$A$2:$B$12,2,)</f>
        <v xml:space="preserve">Tonte  </v>
      </c>
      <c r="H64" s="167">
        <f>VLOOKUP(Table3[[#This Row],[ID_Cout]],Table2[],4,FALSE)</f>
        <v>688.07692307692309</v>
      </c>
      <c r="I64" s="167">
        <f>Table3[[#This Row],[Cout]]*Table3[[#This Row],[Frequence]]</f>
        <v>1376.1538461538462</v>
      </c>
      <c r="J64">
        <v>0</v>
      </c>
    </row>
    <row r="65" spans="1:10" x14ac:dyDescent="0.35">
      <c r="A65" t="s">
        <v>230</v>
      </c>
      <c r="B65" s="171">
        <v>45508</v>
      </c>
      <c r="C65" t="s">
        <v>160</v>
      </c>
      <c r="D65" s="35" t="s">
        <v>150</v>
      </c>
      <c r="E65" s="35" t="str">
        <f>_xlfn.CONCAT(Table3[[#This Row],[ID_Operation]],Table3[[#This Row],[Zone]])</f>
        <v>OP06Green</v>
      </c>
      <c r="F65" s="143">
        <v>26</v>
      </c>
      <c r="G65" t="str">
        <f>VLOOKUP(Table3[[#This Row],[ID_Operation]],Operation!$A$2:$B$12,2,)</f>
        <v xml:space="preserve">Tonte  </v>
      </c>
      <c r="H65" s="167">
        <f>VLOOKUP(Table3[[#This Row],[ID_Cout]],Table2[],4,FALSE)</f>
        <v>5278.7111789674291</v>
      </c>
      <c r="I65" s="167">
        <f>Table3[[#This Row],[Cout]]*Table3[[#This Row],[Frequence]]</f>
        <v>137246.49065315316</v>
      </c>
      <c r="J65">
        <v>0</v>
      </c>
    </row>
    <row r="66" spans="1:10" x14ac:dyDescent="0.35">
      <c r="A66" t="s">
        <v>231</v>
      </c>
      <c r="B66" s="171">
        <v>45509</v>
      </c>
      <c r="C66" t="s">
        <v>160</v>
      </c>
      <c r="D66" s="35" t="s">
        <v>152</v>
      </c>
      <c r="E66" s="35" t="str">
        <f>_xlfn.CONCAT(Table3[[#This Row],[ID_Operation]],Table3[[#This Row],[Zone]])</f>
        <v>OP08Green</v>
      </c>
      <c r="F66" s="143">
        <v>1</v>
      </c>
      <c r="G66" t="str">
        <f>VLOOKUP(Table3[[#This Row],[ID_Operation]],Operation!$A$2:$B$12,2,)</f>
        <v xml:space="preserve">Traitement phytosanitaire </v>
      </c>
      <c r="H66" s="167">
        <f>VLOOKUP(Table3[[#This Row],[ID_Cout]],Table2[],4,FALSE)</f>
        <v>3292.1215804747053</v>
      </c>
      <c r="I66" s="167">
        <f>Table3[[#This Row],[Cout]]*Table3[[#This Row],[Frequence]]</f>
        <v>3292.1215804747053</v>
      </c>
      <c r="J66">
        <v>0</v>
      </c>
    </row>
    <row r="67" spans="1:10" x14ac:dyDescent="0.35">
      <c r="A67" t="s">
        <v>232</v>
      </c>
      <c r="B67" s="171">
        <v>45510</v>
      </c>
      <c r="C67" t="s">
        <v>161</v>
      </c>
      <c r="D67" s="35" t="s">
        <v>154</v>
      </c>
      <c r="E67" s="35" t="str">
        <f>_xlfn.CONCAT(Table3[[#This Row],[ID_Operation]],Table3[[#This Row],[Zone]])</f>
        <v>OP10Bunker</v>
      </c>
      <c r="F67" s="143">
        <v>1</v>
      </c>
      <c r="G67" t="str">
        <f>VLOOKUP(Table3[[#This Row],[ID_Operation]],Operation!$A$2:$B$12,2,)</f>
        <v xml:space="preserve">Ratissage </v>
      </c>
      <c r="H67" s="167">
        <f>VLOOKUP(Table3[[#This Row],[ID_Cout]],Table2[],4,FALSE)</f>
        <v>600</v>
      </c>
      <c r="I67" s="167">
        <f>Table3[[#This Row],[Cout]]*Table3[[#This Row],[Frequence]]</f>
        <v>600</v>
      </c>
      <c r="J67">
        <v>0</v>
      </c>
    </row>
    <row r="68" spans="1:10" x14ac:dyDescent="0.35">
      <c r="A68" t="s">
        <v>233</v>
      </c>
      <c r="B68" s="171">
        <v>45536</v>
      </c>
      <c r="C68" t="s">
        <v>158</v>
      </c>
      <c r="D68" s="35" t="s">
        <v>150</v>
      </c>
      <c r="E68" s="35" t="str">
        <f>_xlfn.CONCAT(Table3[[#This Row],[ID_Operation]],Table3[[#This Row],[Zone]])</f>
        <v>OP06Depart</v>
      </c>
      <c r="F68" s="143">
        <v>12</v>
      </c>
      <c r="G68" t="str">
        <f>VLOOKUP(Table3[[#This Row],[ID_Operation]],Operation!$A$2:$B$12,2,)</f>
        <v xml:space="preserve">Tonte  </v>
      </c>
      <c r="H68" s="167">
        <f>VLOOKUP(Table3[[#This Row],[ID_Cout]],Table2[],4,FALSE)</f>
        <v>687.21118895648601</v>
      </c>
      <c r="I68" s="167">
        <f>Table3[[#This Row],[Cout]]*Table3[[#This Row],[Frequence]]</f>
        <v>8246.5342674778331</v>
      </c>
      <c r="J68">
        <v>0</v>
      </c>
    </row>
    <row r="69" spans="1:10" x14ac:dyDescent="0.35">
      <c r="A69" t="s">
        <v>234</v>
      </c>
      <c r="B69" s="171">
        <v>45537</v>
      </c>
      <c r="C69" t="s">
        <v>31</v>
      </c>
      <c r="D69" s="35" t="s">
        <v>146</v>
      </c>
      <c r="E69" s="35" t="str">
        <f>_xlfn.CONCAT(Table3[[#This Row],[ID_Operation]],Table3[[#This Row],[Zone]])</f>
        <v>OP02Fairway</v>
      </c>
      <c r="F69" s="143">
        <v>1</v>
      </c>
      <c r="G69" t="str">
        <f>VLOOKUP(Table3[[#This Row],[ID_Operation]],Operation!$A$2:$B$12,2,)</f>
        <v xml:space="preserve">Aération par louchet plein  </v>
      </c>
      <c r="H69" s="167">
        <f>VLOOKUP(Table3[[#This Row],[ID_Cout]],Table2[],4,FALSE)</f>
        <v>11179.504785481166</v>
      </c>
      <c r="I69" s="167">
        <f>Table3[[#This Row],[Cout]]*Table3[[#This Row],[Frequence]]</f>
        <v>11179.504785481166</v>
      </c>
      <c r="J69">
        <v>0</v>
      </c>
    </row>
    <row r="70" spans="1:10" x14ac:dyDescent="0.35">
      <c r="A70" t="s">
        <v>235</v>
      </c>
      <c r="B70" s="171">
        <v>45538</v>
      </c>
      <c r="C70" t="s">
        <v>31</v>
      </c>
      <c r="D70" s="35" t="s">
        <v>147</v>
      </c>
      <c r="E70" s="35" t="str">
        <f>_xlfn.CONCAT(Table3[[#This Row],[ID_Operation]],Table3[[#This Row],[Zone]])</f>
        <v>OP03Fairway</v>
      </c>
      <c r="F70" s="143">
        <v>1</v>
      </c>
      <c r="G70" t="str">
        <f>VLOOKUP(Table3[[#This Row],[ID_Operation]],Operation!$A$2:$B$12,2,)</f>
        <v xml:space="preserve">Sablage </v>
      </c>
      <c r="H70" s="167">
        <f>VLOOKUP(Table3[[#This Row],[ID_Cout]],Table2[],4,FALSE)</f>
        <v>26611.066584717195</v>
      </c>
      <c r="I70" s="167">
        <f>Table3[[#This Row],[Cout]]*Table3[[#This Row],[Frequence]]</f>
        <v>26611.066584717195</v>
      </c>
      <c r="J70">
        <v>0</v>
      </c>
    </row>
    <row r="71" spans="1:10" x14ac:dyDescent="0.35">
      <c r="A71" t="s">
        <v>236</v>
      </c>
      <c r="B71" s="171">
        <v>45539</v>
      </c>
      <c r="C71" t="s">
        <v>31</v>
      </c>
      <c r="D71" s="35" t="s">
        <v>150</v>
      </c>
      <c r="E71" s="35" t="str">
        <f>_xlfn.CONCAT(Table3[[#This Row],[ID_Operation]],Table3[[#This Row],[Zone]])</f>
        <v>OP06Fairway</v>
      </c>
      <c r="F71" s="143">
        <v>8</v>
      </c>
      <c r="G71" t="str">
        <f>VLOOKUP(Table3[[#This Row],[ID_Operation]],Operation!$A$2:$B$12,2,)</f>
        <v xml:space="preserve">Tonte  </v>
      </c>
      <c r="H71" s="167">
        <f>VLOOKUP(Table3[[#This Row],[ID_Cout]],Table2[],4,FALSE)</f>
        <v>1524.8582990344953</v>
      </c>
      <c r="I71" s="167">
        <f>Table3[[#This Row],[Cout]]*Table3[[#This Row],[Frequence]]</f>
        <v>12198.866392275962</v>
      </c>
      <c r="J71">
        <v>0</v>
      </c>
    </row>
    <row r="72" spans="1:10" x14ac:dyDescent="0.35">
      <c r="A72" t="s">
        <v>237</v>
      </c>
      <c r="B72" s="171">
        <v>45540</v>
      </c>
      <c r="C72" t="s">
        <v>124</v>
      </c>
      <c r="D72" s="35" t="s">
        <v>150</v>
      </c>
      <c r="E72" s="35" t="str">
        <f>_xlfn.CONCAT(Table3[[#This Row],[ID_Operation]],Table3[[#This Row],[Zone]])</f>
        <v>OP06Rough</v>
      </c>
      <c r="F72" s="143">
        <v>2</v>
      </c>
      <c r="G72" t="str">
        <f>VLOOKUP(Table3[[#This Row],[ID_Operation]],Operation!$A$2:$B$12,2,)</f>
        <v xml:space="preserve">Tonte  </v>
      </c>
      <c r="H72" s="167">
        <f>VLOOKUP(Table3[[#This Row],[ID_Cout]],Table2[],4,FALSE)</f>
        <v>688.07692307692309</v>
      </c>
      <c r="I72" s="167">
        <f>Table3[[#This Row],[Cout]]*Table3[[#This Row],[Frequence]]</f>
        <v>1376.1538461538462</v>
      </c>
      <c r="J72">
        <v>0</v>
      </c>
    </row>
    <row r="73" spans="1:10" x14ac:dyDescent="0.35">
      <c r="A73" t="s">
        <v>238</v>
      </c>
      <c r="B73" s="171">
        <v>45541</v>
      </c>
      <c r="C73" t="s">
        <v>124</v>
      </c>
      <c r="D73" s="35" t="s">
        <v>151</v>
      </c>
      <c r="E73" s="35" t="str">
        <f>_xlfn.CONCAT(Table3[[#This Row],[ID_Operation]],Table3[[#This Row],[Zone]])</f>
        <v>OP07Rough</v>
      </c>
      <c r="F73" s="143">
        <v>1</v>
      </c>
      <c r="G73" t="str">
        <f>VLOOKUP(Table3[[#This Row],[ID_Operation]],Operation!$A$2:$B$12,2,)</f>
        <v xml:space="preserve">Fertilisation </v>
      </c>
      <c r="H73" s="167">
        <f>VLOOKUP(Table3[[#This Row],[ID_Cout]],Table2[],4,FALSE)</f>
        <v>3036.0384615384614</v>
      </c>
      <c r="I73" s="167">
        <f>Table3[[#This Row],[Cout]]*Table3[[#This Row],[Frequence]]</f>
        <v>3036.0384615384614</v>
      </c>
      <c r="J73">
        <v>0</v>
      </c>
    </row>
    <row r="74" spans="1:10" x14ac:dyDescent="0.35">
      <c r="A74" t="s">
        <v>239</v>
      </c>
      <c r="B74" s="171">
        <v>45542</v>
      </c>
      <c r="C74" t="s">
        <v>160</v>
      </c>
      <c r="D74" s="35" t="s">
        <v>150</v>
      </c>
      <c r="E74" s="35" t="str">
        <f>_xlfn.CONCAT(Table3[[#This Row],[ID_Operation]],Table3[[#This Row],[Zone]])</f>
        <v>OP06Green</v>
      </c>
      <c r="F74" s="143">
        <v>26</v>
      </c>
      <c r="G74" t="str">
        <f>VLOOKUP(Table3[[#This Row],[ID_Operation]],Operation!$A$2:$B$12,2,)</f>
        <v xml:space="preserve">Tonte  </v>
      </c>
      <c r="H74" s="167">
        <f>VLOOKUP(Table3[[#This Row],[ID_Cout]],Table2[],4,FALSE)</f>
        <v>5278.7111789674291</v>
      </c>
      <c r="I74" s="167">
        <f>Table3[[#This Row],[Cout]]*Table3[[#This Row],[Frequence]]</f>
        <v>137246.49065315316</v>
      </c>
      <c r="J74">
        <v>0</v>
      </c>
    </row>
    <row r="75" spans="1:10" x14ac:dyDescent="0.35">
      <c r="A75" t="s">
        <v>240</v>
      </c>
      <c r="B75" s="171">
        <v>45543</v>
      </c>
      <c r="C75" t="s">
        <v>160</v>
      </c>
      <c r="D75" s="35" t="s">
        <v>151</v>
      </c>
      <c r="E75" s="35" t="str">
        <f>_xlfn.CONCAT(Table3[[#This Row],[ID_Operation]],Table3[[#This Row],[Zone]])</f>
        <v>OP07Green</v>
      </c>
      <c r="F75" s="143">
        <v>1</v>
      </c>
      <c r="G75" t="str">
        <f>VLOOKUP(Table3[[#This Row],[ID_Operation]],Operation!$A$2:$B$12,2,)</f>
        <v xml:space="preserve">Fertilisation </v>
      </c>
      <c r="H75" s="167">
        <f>VLOOKUP(Table3[[#This Row],[ID_Cout]],Table2[],4,FALSE)</f>
        <v>5725.6994017671514</v>
      </c>
      <c r="I75" s="167">
        <f>Table3[[#This Row],[Cout]]*Table3[[#This Row],[Frequence]]</f>
        <v>5725.6994017671514</v>
      </c>
      <c r="J75">
        <v>0</v>
      </c>
    </row>
    <row r="76" spans="1:10" x14ac:dyDescent="0.35">
      <c r="A76" t="s">
        <v>241</v>
      </c>
      <c r="B76" s="171">
        <v>45544</v>
      </c>
      <c r="C76" t="s">
        <v>161</v>
      </c>
      <c r="D76" s="35" t="s">
        <v>154</v>
      </c>
      <c r="E76" s="35" t="str">
        <f>_xlfn.CONCAT(Table3[[#This Row],[ID_Operation]],Table3[[#This Row],[Zone]])</f>
        <v>OP10Bunker</v>
      </c>
      <c r="F76" s="143">
        <v>1</v>
      </c>
      <c r="G76" t="str">
        <f>VLOOKUP(Table3[[#This Row],[ID_Operation]],Operation!$A$2:$B$12,2,)</f>
        <v xml:space="preserve">Ratissage </v>
      </c>
      <c r="H76" s="167">
        <f>VLOOKUP(Table3[[#This Row],[ID_Cout]],Table2[],4,FALSE)</f>
        <v>600</v>
      </c>
      <c r="I76" s="167">
        <f>Table3[[#This Row],[Cout]]*Table3[[#This Row],[Frequence]]</f>
        <v>600</v>
      </c>
      <c r="J76">
        <v>0</v>
      </c>
    </row>
    <row r="77" spans="1:10" x14ac:dyDescent="0.35">
      <c r="A77" t="s">
        <v>242</v>
      </c>
      <c r="B77" s="171">
        <v>45545</v>
      </c>
      <c r="C77" t="s">
        <v>161</v>
      </c>
      <c r="D77" s="35" t="s">
        <v>155</v>
      </c>
      <c r="E77" s="35" t="str">
        <f>_xlfn.CONCAT(Table3[[#This Row],[ID_Operation]],Table3[[#This Row],[Zone]])</f>
        <v>OP11Bunker</v>
      </c>
      <c r="F77" s="143">
        <v>1</v>
      </c>
      <c r="G77" t="str">
        <f>VLOOKUP(Table3[[#This Row],[ID_Operation]],Operation!$A$2:$B$12,2,)</f>
        <v xml:space="preserve">Désherbage </v>
      </c>
      <c r="H77" s="167">
        <f>VLOOKUP(Table3[[#This Row],[ID_Cout]],Table2[],4,FALSE)</f>
        <v>1594</v>
      </c>
      <c r="I77" s="167">
        <f>Table3[[#This Row],[Cout]]*Table3[[#This Row],[Frequence]]</f>
        <v>1594</v>
      </c>
      <c r="J77">
        <v>0</v>
      </c>
    </row>
    <row r="78" spans="1:10" x14ac:dyDescent="0.35">
      <c r="A78" t="s">
        <v>243</v>
      </c>
      <c r="B78" s="171">
        <v>45566</v>
      </c>
      <c r="C78" t="s">
        <v>158</v>
      </c>
      <c r="D78" s="35" t="s">
        <v>148</v>
      </c>
      <c r="E78" s="35" t="str">
        <f>_xlfn.CONCAT(Table3[[#This Row],[ID_Operation]],Table3[[#This Row],[Zone]])</f>
        <v>OP04Depart</v>
      </c>
      <c r="F78" s="143">
        <v>2</v>
      </c>
      <c r="G78" t="str">
        <f>VLOOKUP(Table3[[#This Row],[ID_Operation]],Operation!$A$2:$B$12,2,)</f>
        <v xml:space="preserve">Scarification </v>
      </c>
      <c r="H78" s="167">
        <f>VLOOKUP(Table3[[#This Row],[ID_Cout]],Table2[],4,FALSE)</f>
        <v>8688.4849387362356</v>
      </c>
      <c r="I78" s="167">
        <f>Table3[[#This Row],[Cout]]*Table3[[#This Row],[Frequence]]</f>
        <v>17376.969877472471</v>
      </c>
      <c r="J78">
        <v>0</v>
      </c>
    </row>
    <row r="79" spans="1:10" x14ac:dyDescent="0.35">
      <c r="A79" t="s">
        <v>244</v>
      </c>
      <c r="B79" s="171">
        <v>45567</v>
      </c>
      <c r="C79" t="s">
        <v>158</v>
      </c>
      <c r="D79" s="35" t="s">
        <v>150</v>
      </c>
      <c r="E79" s="35" t="str">
        <f>_xlfn.CONCAT(Table3[[#This Row],[ID_Operation]],Table3[[#This Row],[Zone]])</f>
        <v>OP06Depart</v>
      </c>
      <c r="F79" s="143">
        <v>9</v>
      </c>
      <c r="G79" t="str">
        <f>VLOOKUP(Table3[[#This Row],[ID_Operation]],Operation!$A$2:$B$12,2,)</f>
        <v xml:space="preserve">Tonte  </v>
      </c>
      <c r="H79" s="167">
        <f>VLOOKUP(Table3[[#This Row],[ID_Cout]],Table2[],4,FALSE)</f>
        <v>687.21118895648601</v>
      </c>
      <c r="I79" s="167">
        <f>Table3[[#This Row],[Cout]]*Table3[[#This Row],[Frequence]]</f>
        <v>6184.9007006083739</v>
      </c>
      <c r="J79">
        <v>0</v>
      </c>
    </row>
    <row r="80" spans="1:10" x14ac:dyDescent="0.35">
      <c r="A80" t="s">
        <v>245</v>
      </c>
      <c r="B80" s="171">
        <v>45568</v>
      </c>
      <c r="C80" t="s">
        <v>158</v>
      </c>
      <c r="D80" s="35" t="s">
        <v>151</v>
      </c>
      <c r="E80" s="35" t="str">
        <f>_xlfn.CONCAT(Table3[[#This Row],[ID_Operation]],Table3[[#This Row],[Zone]])</f>
        <v>OP07Depart</v>
      </c>
      <c r="F80" s="143">
        <v>1</v>
      </c>
      <c r="G80" t="str">
        <f>VLOOKUP(Table3[[#This Row],[ID_Operation]],Operation!$A$2:$B$12,2,)</f>
        <v xml:space="preserve">Fertilisation </v>
      </c>
      <c r="H80" s="167">
        <f>VLOOKUP(Table3[[#This Row],[ID_Cout]],Table2[],4,FALSE)</f>
        <v>8184.7117602701601</v>
      </c>
      <c r="I80" s="167">
        <f>Table3[[#This Row],[Cout]]*Table3[[#This Row],[Frequence]]</f>
        <v>8184.7117602701601</v>
      </c>
      <c r="J80">
        <v>0</v>
      </c>
    </row>
    <row r="81" spans="1:10" x14ac:dyDescent="0.35">
      <c r="A81" t="s">
        <v>246</v>
      </c>
      <c r="B81" s="171">
        <v>45569</v>
      </c>
      <c r="C81" t="s">
        <v>158</v>
      </c>
      <c r="D81" s="35" t="s">
        <v>152</v>
      </c>
      <c r="E81" s="35" t="str">
        <f>_xlfn.CONCAT(Table3[[#This Row],[ID_Operation]],Table3[[#This Row],[Zone]])</f>
        <v>OP08Depart</v>
      </c>
      <c r="F81" s="143">
        <v>1</v>
      </c>
      <c r="G81" t="str">
        <f>VLOOKUP(Table3[[#This Row],[ID_Operation]],Operation!$A$2:$B$12,2,)</f>
        <v xml:space="preserve">Traitement phytosanitaire </v>
      </c>
      <c r="H81" s="167">
        <f>VLOOKUP(Table3[[#This Row],[ID_Cout]],Table2[],4,FALSE)</f>
        <v>1069.0657245050527</v>
      </c>
      <c r="I81" s="167">
        <f>Table3[[#This Row],[Cout]]*Table3[[#This Row],[Frequence]]</f>
        <v>1069.0657245050527</v>
      </c>
      <c r="J81">
        <v>0</v>
      </c>
    </row>
    <row r="82" spans="1:10" x14ac:dyDescent="0.35">
      <c r="A82" t="s">
        <v>247</v>
      </c>
      <c r="B82" s="171">
        <v>45570</v>
      </c>
      <c r="C82" t="s">
        <v>158</v>
      </c>
      <c r="D82" s="35" t="s">
        <v>153</v>
      </c>
      <c r="E82" s="35" t="str">
        <f>_xlfn.CONCAT(Table3[[#This Row],[ID_Operation]],Table3[[#This Row],[Zone]])</f>
        <v>OP09Depart</v>
      </c>
      <c r="F82" s="143">
        <v>1</v>
      </c>
      <c r="G82" t="str">
        <f>VLOOKUP(Table3[[#This Row],[ID_Operation]],Operation!$A$2:$B$12,2,)</f>
        <v xml:space="preserve">Sursemis </v>
      </c>
      <c r="H82" s="167">
        <f>VLOOKUP(Table3[[#This Row],[ID_Cout]],Table2[],4,FALSE)</f>
        <v>30151.629958317182</v>
      </c>
      <c r="I82" s="167">
        <f>Table3[[#This Row],[Cout]]*Table3[[#This Row],[Frequence]]</f>
        <v>30151.629958317182</v>
      </c>
      <c r="J82">
        <v>0</v>
      </c>
    </row>
    <row r="83" spans="1:10" x14ac:dyDescent="0.35">
      <c r="A83" t="s">
        <v>248</v>
      </c>
      <c r="B83" s="171">
        <v>45571</v>
      </c>
      <c r="C83" t="s">
        <v>31</v>
      </c>
      <c r="D83" s="35" t="s">
        <v>150</v>
      </c>
      <c r="E83" s="35" t="str">
        <f>_xlfn.CONCAT(Table3[[#This Row],[ID_Operation]],Table3[[#This Row],[Zone]])</f>
        <v>OP06Fairway</v>
      </c>
      <c r="F83" s="143">
        <v>8</v>
      </c>
      <c r="G83" t="str">
        <f>VLOOKUP(Table3[[#This Row],[ID_Operation]],Operation!$A$2:$B$12,2,)</f>
        <v xml:space="preserve">Tonte  </v>
      </c>
      <c r="H83" s="167">
        <f>VLOOKUP(Table3[[#This Row],[ID_Cout]],Table2[],4,FALSE)</f>
        <v>1524.8582990344953</v>
      </c>
      <c r="I83" s="167">
        <f>Table3[[#This Row],[Cout]]*Table3[[#This Row],[Frequence]]</f>
        <v>12198.866392275962</v>
      </c>
      <c r="J83">
        <v>0</v>
      </c>
    </row>
    <row r="84" spans="1:10" x14ac:dyDescent="0.35">
      <c r="A84" t="s">
        <v>249</v>
      </c>
      <c r="B84" s="171">
        <v>45572</v>
      </c>
      <c r="C84" t="s">
        <v>31</v>
      </c>
      <c r="D84" s="35" t="s">
        <v>151</v>
      </c>
      <c r="E84" s="35" t="str">
        <f>_xlfn.CONCAT(Table3[[#This Row],[ID_Operation]],Table3[[#This Row],[Zone]])</f>
        <v>OP07Fairway</v>
      </c>
      <c r="F84" s="143">
        <v>1</v>
      </c>
      <c r="G84" t="str">
        <f>VLOOKUP(Table3[[#This Row],[ID_Operation]],Operation!$A$2:$B$12,2,)</f>
        <v xml:space="preserve">Fertilisation </v>
      </c>
      <c r="H84" s="167">
        <f>VLOOKUP(Table3[[#This Row],[ID_Cout]],Table2[],4,FALSE)</f>
        <v>48643.624751921947</v>
      </c>
      <c r="I84" s="167">
        <f>Table3[[#This Row],[Cout]]*Table3[[#This Row],[Frequence]]</f>
        <v>48643.624751921947</v>
      </c>
      <c r="J84">
        <v>0</v>
      </c>
    </row>
    <row r="85" spans="1:10" x14ac:dyDescent="0.35">
      <c r="A85" t="s">
        <v>250</v>
      </c>
      <c r="B85" s="171">
        <v>45573</v>
      </c>
      <c r="C85" t="s">
        <v>124</v>
      </c>
      <c r="D85" s="35" t="s">
        <v>150</v>
      </c>
      <c r="E85" s="35" t="str">
        <f>_xlfn.CONCAT(Table3[[#This Row],[ID_Operation]],Table3[[#This Row],[Zone]])</f>
        <v>OP06Rough</v>
      </c>
      <c r="F85" s="143">
        <v>2</v>
      </c>
      <c r="G85" t="str">
        <f>VLOOKUP(Table3[[#This Row],[ID_Operation]],Operation!$A$2:$B$12,2,)</f>
        <v xml:space="preserve">Tonte  </v>
      </c>
      <c r="H85" s="167">
        <f>VLOOKUP(Table3[[#This Row],[ID_Cout]],Table2[],4,FALSE)</f>
        <v>688.07692307692309</v>
      </c>
      <c r="I85" s="167">
        <f>Table3[[#This Row],[Cout]]*Table3[[#This Row],[Frequence]]</f>
        <v>1376.1538461538462</v>
      </c>
      <c r="J85">
        <v>0</v>
      </c>
    </row>
    <row r="86" spans="1:10" x14ac:dyDescent="0.35">
      <c r="A86" t="s">
        <v>251</v>
      </c>
      <c r="B86" s="171">
        <v>45574</v>
      </c>
      <c r="C86" t="s">
        <v>160</v>
      </c>
      <c r="D86" s="35" t="s">
        <v>150</v>
      </c>
      <c r="E86" s="35" t="str">
        <f>_xlfn.CONCAT(Table3[[#This Row],[ID_Operation]],Table3[[#This Row],[Zone]])</f>
        <v>OP06Green</v>
      </c>
      <c r="F86" s="143">
        <v>20</v>
      </c>
      <c r="G86" t="str">
        <f>VLOOKUP(Table3[[#This Row],[ID_Operation]],Operation!$A$2:$B$12,2,)</f>
        <v xml:space="preserve">Tonte  </v>
      </c>
      <c r="H86" s="167">
        <f>VLOOKUP(Table3[[#This Row],[ID_Cout]],Table2[],4,FALSE)</f>
        <v>5278.7111789674291</v>
      </c>
      <c r="I86" s="167">
        <f>Table3[[#This Row],[Cout]]*Table3[[#This Row],[Frequence]]</f>
        <v>105574.22357934859</v>
      </c>
      <c r="J86">
        <v>0</v>
      </c>
    </row>
    <row r="87" spans="1:10" x14ac:dyDescent="0.35">
      <c r="A87" t="s">
        <v>252</v>
      </c>
      <c r="B87" s="171">
        <v>45575</v>
      </c>
      <c r="C87" t="s">
        <v>161</v>
      </c>
      <c r="D87" s="35" t="s">
        <v>154</v>
      </c>
      <c r="E87" s="35" t="str">
        <f>_xlfn.CONCAT(Table3[[#This Row],[ID_Operation]],Table3[[#This Row],[Zone]])</f>
        <v>OP10Bunker</v>
      </c>
      <c r="F87" s="143">
        <v>1</v>
      </c>
      <c r="G87" t="str">
        <f>VLOOKUP(Table3[[#This Row],[ID_Operation]],Operation!$A$2:$B$12,2,)</f>
        <v xml:space="preserve">Ratissage </v>
      </c>
      <c r="H87" s="167">
        <f>VLOOKUP(Table3[[#This Row],[ID_Cout]],Table2[],4,FALSE)</f>
        <v>600</v>
      </c>
      <c r="I87" s="167">
        <f>Table3[[#This Row],[Cout]]*Table3[[#This Row],[Frequence]]</f>
        <v>600</v>
      </c>
      <c r="J87">
        <v>0</v>
      </c>
    </row>
    <row r="88" spans="1:10" x14ac:dyDescent="0.35">
      <c r="A88" t="s">
        <v>253</v>
      </c>
      <c r="B88" s="171">
        <v>45597</v>
      </c>
      <c r="C88" t="s">
        <v>158</v>
      </c>
      <c r="D88" s="35" t="s">
        <v>150</v>
      </c>
      <c r="E88" s="35" t="str">
        <f>_xlfn.CONCAT(Table3[[#This Row],[ID_Operation]],Table3[[#This Row],[Zone]])</f>
        <v>OP06Depart</v>
      </c>
      <c r="F88" s="143">
        <v>8</v>
      </c>
      <c r="G88" t="str">
        <f>VLOOKUP(Table3[[#This Row],[ID_Operation]],Operation!$A$2:$B$12,2,)</f>
        <v xml:space="preserve">Tonte  </v>
      </c>
      <c r="H88" s="167">
        <f>VLOOKUP(Table3[[#This Row],[ID_Cout]],Table2[],4,FALSE)</f>
        <v>687.21118895648601</v>
      </c>
      <c r="I88" s="167">
        <f>Table3[[#This Row],[Cout]]*Table3[[#This Row],[Frequence]]</f>
        <v>5497.6895116518881</v>
      </c>
      <c r="J88">
        <v>0</v>
      </c>
    </row>
    <row r="89" spans="1:10" x14ac:dyDescent="0.35">
      <c r="A89" t="s">
        <v>254</v>
      </c>
      <c r="B89" s="171">
        <v>45598</v>
      </c>
      <c r="C89" t="s">
        <v>31</v>
      </c>
      <c r="D89" s="35" t="s">
        <v>150</v>
      </c>
      <c r="E89" s="35" t="str">
        <f>_xlfn.CONCAT(Table3[[#This Row],[ID_Operation]],Table3[[#This Row],[Zone]])</f>
        <v>OP06Fairway</v>
      </c>
      <c r="F89" s="143">
        <v>4</v>
      </c>
      <c r="G89" t="str">
        <f>VLOOKUP(Table3[[#This Row],[ID_Operation]],Operation!$A$2:$B$12,2,)</f>
        <v xml:space="preserve">Tonte  </v>
      </c>
      <c r="H89" s="167">
        <f>VLOOKUP(Table3[[#This Row],[ID_Cout]],Table2[],4,FALSE)</f>
        <v>1524.8582990344953</v>
      </c>
      <c r="I89" s="167">
        <f>Table3[[#This Row],[Cout]]*Table3[[#This Row],[Frequence]]</f>
        <v>6099.4331961379812</v>
      </c>
      <c r="J89">
        <v>0</v>
      </c>
    </row>
    <row r="90" spans="1:10" x14ac:dyDescent="0.35">
      <c r="A90" t="s">
        <v>255</v>
      </c>
      <c r="B90" s="171">
        <v>45599</v>
      </c>
      <c r="C90" t="s">
        <v>31</v>
      </c>
      <c r="D90" s="35" t="s">
        <v>152</v>
      </c>
      <c r="E90" s="35" t="str">
        <f>_xlfn.CONCAT(Table3[[#This Row],[ID_Operation]],Table3[[#This Row],[Zone]])</f>
        <v>OP08Fairway</v>
      </c>
      <c r="F90" s="143">
        <v>1</v>
      </c>
      <c r="G90" t="str">
        <f>VLOOKUP(Table3[[#This Row],[ID_Operation]],Operation!$A$2:$B$12,2,)</f>
        <v xml:space="preserve">Traitement phytosanitaire </v>
      </c>
      <c r="H90" s="167">
        <f>VLOOKUP(Table3[[#This Row],[ID_Cout]],Table2[],4,FALSE)</f>
        <v>1202.9177597910339</v>
      </c>
      <c r="I90" s="167">
        <f>Table3[[#This Row],[Cout]]*Table3[[#This Row],[Frequence]]</f>
        <v>1202.9177597910339</v>
      </c>
      <c r="J90">
        <v>0</v>
      </c>
    </row>
    <row r="91" spans="1:10" x14ac:dyDescent="0.35">
      <c r="A91" t="s">
        <v>256</v>
      </c>
      <c r="B91" s="171">
        <v>45600</v>
      </c>
      <c r="C91" t="s">
        <v>124</v>
      </c>
      <c r="D91" s="35" t="s">
        <v>150</v>
      </c>
      <c r="E91" s="35" t="str">
        <f>_xlfn.CONCAT(Table3[[#This Row],[ID_Operation]],Table3[[#This Row],[Zone]])</f>
        <v>OP06Rough</v>
      </c>
      <c r="F91" s="143">
        <v>2</v>
      </c>
      <c r="G91" t="str">
        <f>VLOOKUP(Table3[[#This Row],[ID_Operation]],Operation!$A$2:$B$12,2,)</f>
        <v xml:space="preserve">Tonte  </v>
      </c>
      <c r="H91" s="167">
        <f>VLOOKUP(Table3[[#This Row],[ID_Cout]],Table2[],4,FALSE)</f>
        <v>688.07692307692309</v>
      </c>
      <c r="I91" s="167">
        <f>Table3[[#This Row],[Cout]]*Table3[[#This Row],[Frequence]]</f>
        <v>1376.1538461538462</v>
      </c>
      <c r="J91">
        <v>0</v>
      </c>
    </row>
    <row r="92" spans="1:10" x14ac:dyDescent="0.35">
      <c r="A92" t="s">
        <v>257</v>
      </c>
      <c r="B92" s="171">
        <v>45601</v>
      </c>
      <c r="C92" t="s">
        <v>160</v>
      </c>
      <c r="D92" s="35" t="s">
        <v>147</v>
      </c>
      <c r="E92" s="35" t="str">
        <f>_xlfn.CONCAT(Table3[[#This Row],[ID_Operation]],Table3[[#This Row],[Zone]])</f>
        <v>OP03Green</v>
      </c>
      <c r="F92" s="143">
        <v>1</v>
      </c>
      <c r="G92" t="str">
        <f>VLOOKUP(Table3[[#This Row],[ID_Operation]],Operation!$A$2:$B$12,2,)</f>
        <v xml:space="preserve">Sablage </v>
      </c>
      <c r="H92" s="167">
        <f>VLOOKUP(Table3[[#This Row],[ID_Cout]],Table2[],4,FALSE)</f>
        <v>21081.637136902285</v>
      </c>
      <c r="I92" s="167">
        <f>Table3[[#This Row],[Cout]]*Table3[[#This Row],[Frequence]]</f>
        <v>21081.637136902285</v>
      </c>
      <c r="J92">
        <v>0</v>
      </c>
    </row>
    <row r="93" spans="1:10" x14ac:dyDescent="0.35">
      <c r="A93" t="s">
        <v>258</v>
      </c>
      <c r="B93" s="171">
        <v>45602</v>
      </c>
      <c r="C93" t="s">
        <v>160</v>
      </c>
      <c r="D93" s="35" t="s">
        <v>149</v>
      </c>
      <c r="E93" s="35" t="str">
        <f>_xlfn.CONCAT(Table3[[#This Row],[ID_Operation]],Table3[[#This Row],[Zone]])</f>
        <v>OP05Green</v>
      </c>
      <c r="F93" s="143">
        <v>1</v>
      </c>
      <c r="G93" t="str">
        <f>VLOOKUP(Table3[[#This Row],[ID_Operation]],Operation!$A$2:$B$12,2,)</f>
        <v>Verticutte</v>
      </c>
      <c r="H93" s="167">
        <f>VLOOKUP(Table3[[#This Row],[ID_Cout]],Table2[],4,FALSE)</f>
        <v>1575.5255266805266</v>
      </c>
      <c r="I93" s="167">
        <f>Table3[[#This Row],[Cout]]*Table3[[#This Row],[Frequence]]</f>
        <v>1575.5255266805266</v>
      </c>
      <c r="J93">
        <v>0</v>
      </c>
    </row>
    <row r="94" spans="1:10" x14ac:dyDescent="0.35">
      <c r="A94" t="s">
        <v>259</v>
      </c>
      <c r="B94" s="171">
        <v>45603</v>
      </c>
      <c r="C94" t="s">
        <v>160</v>
      </c>
      <c r="D94" s="35" t="s">
        <v>150</v>
      </c>
      <c r="E94" s="35" t="str">
        <f>_xlfn.CONCAT(Table3[[#This Row],[ID_Operation]],Table3[[#This Row],[Zone]])</f>
        <v>OP06Green</v>
      </c>
      <c r="F94" s="143">
        <v>16</v>
      </c>
      <c r="G94" t="str">
        <f>VLOOKUP(Table3[[#This Row],[ID_Operation]],Operation!$A$2:$B$12,2,)</f>
        <v xml:space="preserve">Tonte  </v>
      </c>
      <c r="H94" s="167">
        <f>VLOOKUP(Table3[[#This Row],[ID_Cout]],Table2[],4,FALSE)</f>
        <v>5278.7111789674291</v>
      </c>
      <c r="I94" s="167">
        <f>Table3[[#This Row],[Cout]]*Table3[[#This Row],[Frequence]]</f>
        <v>84459.378863478865</v>
      </c>
      <c r="J94">
        <v>0</v>
      </c>
    </row>
    <row r="95" spans="1:10" x14ac:dyDescent="0.35">
      <c r="A95" t="s">
        <v>260</v>
      </c>
      <c r="B95" s="171">
        <v>45604</v>
      </c>
      <c r="C95" t="s">
        <v>160</v>
      </c>
      <c r="D95" s="35" t="s">
        <v>151</v>
      </c>
      <c r="E95" s="35" t="str">
        <f>_xlfn.CONCAT(Table3[[#This Row],[ID_Operation]],Table3[[#This Row],[Zone]])</f>
        <v>OP07Green</v>
      </c>
      <c r="F95" s="143">
        <v>1</v>
      </c>
      <c r="G95" t="str">
        <f>VLOOKUP(Table3[[#This Row],[ID_Operation]],Operation!$A$2:$B$12,2,)</f>
        <v xml:space="preserve">Fertilisation </v>
      </c>
      <c r="H95" s="167">
        <f>VLOOKUP(Table3[[#This Row],[ID_Cout]],Table2[],4,FALSE)</f>
        <v>5725.6994017671514</v>
      </c>
      <c r="I95" s="167">
        <f>Table3[[#This Row],[Cout]]*Table3[[#This Row],[Frequence]]</f>
        <v>5725.6994017671514</v>
      </c>
      <c r="J95">
        <v>0</v>
      </c>
    </row>
    <row r="96" spans="1:10" x14ac:dyDescent="0.35">
      <c r="A96" t="s">
        <v>261</v>
      </c>
      <c r="B96" s="171">
        <v>45605</v>
      </c>
      <c r="C96" t="s">
        <v>160</v>
      </c>
      <c r="D96" s="35" t="s">
        <v>152</v>
      </c>
      <c r="E96" s="35" t="str">
        <f>_xlfn.CONCAT(Table3[[#This Row],[ID_Operation]],Table3[[#This Row],[Zone]])</f>
        <v>OP08Green</v>
      </c>
      <c r="F96" s="143">
        <v>1</v>
      </c>
      <c r="G96" t="str">
        <f>VLOOKUP(Table3[[#This Row],[ID_Operation]],Operation!$A$2:$B$12,2,)</f>
        <v xml:space="preserve">Traitement phytosanitaire </v>
      </c>
      <c r="H96" s="167">
        <f>VLOOKUP(Table3[[#This Row],[ID_Cout]],Table2[],4,FALSE)</f>
        <v>3292.1215804747053</v>
      </c>
      <c r="I96" s="167">
        <f>Table3[[#This Row],[Cout]]*Table3[[#This Row],[Frequence]]</f>
        <v>3292.1215804747053</v>
      </c>
      <c r="J96">
        <v>0</v>
      </c>
    </row>
    <row r="97" spans="1:10" x14ac:dyDescent="0.35">
      <c r="A97" t="s">
        <v>262</v>
      </c>
      <c r="B97" s="171">
        <v>45606</v>
      </c>
      <c r="C97" t="s">
        <v>161</v>
      </c>
      <c r="D97" s="35" t="s">
        <v>154</v>
      </c>
      <c r="E97" s="35" t="str">
        <f>_xlfn.CONCAT(Table3[[#This Row],[ID_Operation]],Table3[[#This Row],[Zone]])</f>
        <v>OP10Bunker</v>
      </c>
      <c r="F97" s="143">
        <v>1</v>
      </c>
      <c r="G97" t="str">
        <f>VLOOKUP(Table3[[#This Row],[ID_Operation]],Operation!$A$2:$B$12,2,)</f>
        <v xml:space="preserve">Ratissage </v>
      </c>
      <c r="H97" s="167">
        <f>VLOOKUP(Table3[[#This Row],[ID_Cout]],Table2[],4,FALSE)</f>
        <v>600</v>
      </c>
      <c r="I97" s="167">
        <f>Table3[[#This Row],[Cout]]*Table3[[#This Row],[Frequence]]</f>
        <v>600</v>
      </c>
      <c r="J97">
        <v>0</v>
      </c>
    </row>
    <row r="98" spans="1:10" x14ac:dyDescent="0.35">
      <c r="A98" t="s">
        <v>263</v>
      </c>
      <c r="B98" s="171">
        <v>45627</v>
      </c>
      <c r="C98" t="s">
        <v>158</v>
      </c>
      <c r="D98" s="35" t="s">
        <v>150</v>
      </c>
      <c r="E98" s="35" t="str">
        <f>_xlfn.CONCAT(Table3[[#This Row],[ID_Operation]],Table3[[#This Row],[Zone]])</f>
        <v>OP06Depart</v>
      </c>
      <c r="F98" s="143">
        <v>8</v>
      </c>
      <c r="G98" t="str">
        <f>VLOOKUP(Table3[[#This Row],[ID_Operation]],Operation!$A$2:$B$12,2,)</f>
        <v xml:space="preserve">Tonte  </v>
      </c>
      <c r="H98" s="167">
        <f>VLOOKUP(Table3[[#This Row],[ID_Cout]],Table2[],4,FALSE)</f>
        <v>687.21118895648601</v>
      </c>
      <c r="I98" s="167">
        <f>Table3[[#This Row],[Cout]]*Table3[[#This Row],[Frequence]]</f>
        <v>5497.6895116518881</v>
      </c>
      <c r="J98">
        <v>0</v>
      </c>
    </row>
    <row r="99" spans="1:10" x14ac:dyDescent="0.35">
      <c r="A99" t="s">
        <v>264</v>
      </c>
      <c r="B99" s="171">
        <v>45628</v>
      </c>
      <c r="C99" t="s">
        <v>158</v>
      </c>
      <c r="D99" s="35" t="s">
        <v>151</v>
      </c>
      <c r="E99" s="35" t="str">
        <f>_xlfn.CONCAT(Table3[[#This Row],[ID_Operation]],Table3[[#This Row],[Zone]])</f>
        <v>OP07Depart</v>
      </c>
      <c r="F99" s="143">
        <v>1</v>
      </c>
      <c r="G99" t="str">
        <f>VLOOKUP(Table3[[#This Row],[ID_Operation]],Operation!$A$2:$B$12,2,)</f>
        <v xml:space="preserve">Fertilisation </v>
      </c>
      <c r="H99" s="167">
        <f>VLOOKUP(Table3[[#This Row],[ID_Cout]],Table2[],4,FALSE)</f>
        <v>8184.7117602701601</v>
      </c>
      <c r="I99" s="167">
        <f>Table3[[#This Row],[Cout]]*Table3[[#This Row],[Frequence]]</f>
        <v>8184.7117602701601</v>
      </c>
      <c r="J99">
        <v>0</v>
      </c>
    </row>
    <row r="100" spans="1:10" x14ac:dyDescent="0.35">
      <c r="A100" t="s">
        <v>265</v>
      </c>
      <c r="B100" s="171">
        <v>45629</v>
      </c>
      <c r="C100" t="s">
        <v>31</v>
      </c>
      <c r="D100" s="35" t="s">
        <v>150</v>
      </c>
      <c r="E100" s="35" t="str">
        <f>_xlfn.CONCAT(Table3[[#This Row],[ID_Operation]],Table3[[#This Row],[Zone]])</f>
        <v>OP06Fairway</v>
      </c>
      <c r="F100" s="143">
        <v>4</v>
      </c>
      <c r="G100" t="str">
        <f>VLOOKUP(Table3[[#This Row],[ID_Operation]],Operation!$A$2:$B$12,2,)</f>
        <v xml:space="preserve">Tonte  </v>
      </c>
      <c r="H100" s="167">
        <f>VLOOKUP(Table3[[#This Row],[ID_Cout]],Table2[],4,FALSE)</f>
        <v>1524.8582990344953</v>
      </c>
      <c r="I100" s="167">
        <f>Table3[[#This Row],[Cout]]*Table3[[#This Row],[Frequence]]</f>
        <v>6099.4331961379812</v>
      </c>
      <c r="J100">
        <v>0</v>
      </c>
    </row>
    <row r="101" spans="1:10" x14ac:dyDescent="0.35">
      <c r="A101" t="s">
        <v>266</v>
      </c>
      <c r="B101" s="171">
        <v>45630</v>
      </c>
      <c r="C101" t="s">
        <v>124</v>
      </c>
      <c r="D101" s="35" t="s">
        <v>150</v>
      </c>
      <c r="E101" s="35" t="str">
        <f>_xlfn.CONCAT(Table3[[#This Row],[ID_Operation]],Table3[[#This Row],[Zone]])</f>
        <v>OP06Rough</v>
      </c>
      <c r="F101" s="143">
        <v>1</v>
      </c>
      <c r="G101" t="str">
        <f>VLOOKUP(Table3[[#This Row],[ID_Operation]],Operation!$A$2:$B$12,2,)</f>
        <v xml:space="preserve">Tonte  </v>
      </c>
      <c r="H101" s="167">
        <f>VLOOKUP(Table3[[#This Row],[ID_Cout]],Table2[],4,FALSE)</f>
        <v>688.07692307692309</v>
      </c>
      <c r="I101" s="167">
        <f>Table3[[#This Row],[Cout]]*Table3[[#This Row],[Frequence]]</f>
        <v>688.07692307692309</v>
      </c>
      <c r="J101">
        <v>0</v>
      </c>
    </row>
    <row r="102" spans="1:10" x14ac:dyDescent="0.35">
      <c r="A102" t="s">
        <v>267</v>
      </c>
      <c r="B102" s="171">
        <v>45631</v>
      </c>
      <c r="C102" t="s">
        <v>160</v>
      </c>
      <c r="D102" s="35" t="s">
        <v>150</v>
      </c>
      <c r="E102" s="35" t="str">
        <f>_xlfn.CONCAT(Table3[[#This Row],[ID_Operation]],Table3[[#This Row],[Zone]])</f>
        <v>OP06Green</v>
      </c>
      <c r="F102" s="143">
        <v>12</v>
      </c>
      <c r="G102" t="str">
        <f>VLOOKUP(Table3[[#This Row],[ID_Operation]],Operation!$A$2:$B$12,2,)</f>
        <v xml:space="preserve">Tonte  </v>
      </c>
      <c r="H102" s="167">
        <f>VLOOKUP(Table3[[#This Row],[ID_Cout]],Table2[],4,FALSE)</f>
        <v>5278.7111789674291</v>
      </c>
      <c r="I102" s="167">
        <f>Table3[[#This Row],[Cout]]*Table3[[#This Row],[Frequence]]</f>
        <v>63344.534147609149</v>
      </c>
      <c r="J102">
        <v>0</v>
      </c>
    </row>
    <row r="103" spans="1:10" x14ac:dyDescent="0.35">
      <c r="A103" t="s">
        <v>268</v>
      </c>
      <c r="B103" s="171">
        <v>45632</v>
      </c>
      <c r="C103" t="s">
        <v>161</v>
      </c>
      <c r="D103" s="35" t="s">
        <v>154</v>
      </c>
      <c r="E103" s="35" t="str">
        <f>_xlfn.CONCAT(Table3[[#This Row],[ID_Operation]],Table3[[#This Row],[Zone]])</f>
        <v>OP10Bunker</v>
      </c>
      <c r="F103" s="143">
        <v>1</v>
      </c>
      <c r="G103" t="str">
        <f>VLOOKUP(Table3[[#This Row],[ID_Operation]],Operation!$A$2:$B$12,2,)</f>
        <v xml:space="preserve">Ratissage </v>
      </c>
      <c r="H103" s="167">
        <f>VLOOKUP(Table3[[#This Row],[ID_Cout]],Table2[],4,FALSE)</f>
        <v>600</v>
      </c>
      <c r="I103" s="167">
        <f>Table3[[#This Row],[Cout]]*Table3[[#This Row],[Frequence]]</f>
        <v>600</v>
      </c>
      <c r="J103">
        <v>0</v>
      </c>
    </row>
    <row r="104" spans="1:10" x14ac:dyDescent="0.35">
      <c r="A104" t="s">
        <v>269</v>
      </c>
      <c r="B104" s="171">
        <v>45633</v>
      </c>
      <c r="C104" t="s">
        <v>161</v>
      </c>
      <c r="D104" s="35" t="s">
        <v>155</v>
      </c>
      <c r="E104" s="35" t="str">
        <f>_xlfn.CONCAT(Table3[[#This Row],[ID_Operation]],Table3[[#This Row],[Zone]])</f>
        <v>OP11Bunker</v>
      </c>
      <c r="F104" s="143">
        <v>1</v>
      </c>
      <c r="G104" t="str">
        <f>VLOOKUP(Table3[[#This Row],[ID_Operation]],Operation!$A$2:$B$12,2,)</f>
        <v xml:space="preserve">Désherbage </v>
      </c>
      <c r="H104" s="167">
        <f>VLOOKUP(Table3[[#This Row],[ID_Cout]],Table2[],4,FALSE)</f>
        <v>1594</v>
      </c>
      <c r="I104" s="167">
        <f>Table3[[#This Row],[Cout]]*Table3[[#This Row],[Frequence]]</f>
        <v>1594</v>
      </c>
      <c r="J104">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BB29D-8212-42C9-B8A8-334E865F4433}">
  <dimension ref="A1:E31"/>
  <sheetViews>
    <sheetView workbookViewId="0">
      <selection activeCell="A10" sqref="A10"/>
    </sheetView>
  </sheetViews>
  <sheetFormatPr defaultRowHeight="14.5" x14ac:dyDescent="0.35"/>
  <cols>
    <col min="1" max="1" width="11.6328125" bestFit="1" customWidth="1"/>
    <col min="3" max="3" width="14.81640625" style="167" bestFit="1" customWidth="1"/>
    <col min="4" max="5" width="23.6328125" bestFit="1" customWidth="1"/>
  </cols>
  <sheetData>
    <row r="1" spans="1:5" x14ac:dyDescent="0.35">
      <c r="A1" s="35" t="s">
        <v>281</v>
      </c>
      <c r="B1" s="35" t="s">
        <v>156</v>
      </c>
      <c r="C1" s="35" t="s">
        <v>138</v>
      </c>
      <c r="D1" s="167" t="s">
        <v>163</v>
      </c>
      <c r="E1" s="35" t="s">
        <v>144</v>
      </c>
    </row>
    <row r="2" spans="1:5" x14ac:dyDescent="0.35">
      <c r="A2" s="35" t="str">
        <f>_xlfn.CONCAT(Table2[[#This Row],[ID_OP]],Table2[[#This Row],[Zone]])</f>
        <v>OP01Depart</v>
      </c>
      <c r="B2" s="35" t="s">
        <v>145</v>
      </c>
      <c r="C2" s="35" t="s">
        <v>158</v>
      </c>
      <c r="D2" s="167">
        <v>0</v>
      </c>
      <c r="E2" t="str">
        <f>VLOOKUP(Table2[[#This Row],[ID_OP]],Operation!$A$2:$B$13,2,)</f>
        <v xml:space="preserve">Aération par louchet creux </v>
      </c>
    </row>
    <row r="3" spans="1:5" x14ac:dyDescent="0.35">
      <c r="A3" s="35" t="str">
        <f>_xlfn.CONCAT(Table2[[#This Row],[ID_OP]],Table2[[#This Row],[Zone]])</f>
        <v>OP02Depart</v>
      </c>
      <c r="B3" s="35" t="s">
        <v>146</v>
      </c>
      <c r="C3" s="35" t="s">
        <v>158</v>
      </c>
      <c r="D3" s="167">
        <v>5000</v>
      </c>
      <c r="E3" t="str">
        <f>VLOOKUP(Table2[[#This Row],[ID_OP]],Operation!$A$2:$B$13,2,)</f>
        <v xml:space="preserve">Aération par louchet plein  </v>
      </c>
    </row>
    <row r="4" spans="1:5" x14ac:dyDescent="0.35">
      <c r="A4" s="35" t="str">
        <f>_xlfn.CONCAT(Table2[[#This Row],[ID_OP]],Table2[[#This Row],[Zone]])</f>
        <v>OP03Depart</v>
      </c>
      <c r="B4" s="35" t="s">
        <v>147</v>
      </c>
      <c r="C4" s="35" t="s">
        <v>158</v>
      </c>
      <c r="D4" s="167">
        <v>1625.5730908434732</v>
      </c>
      <c r="E4" t="str">
        <f>VLOOKUP(Table2[[#This Row],[ID_OP]],Operation!$A$2:$B$13,2,)</f>
        <v xml:space="preserve">Sablage </v>
      </c>
    </row>
    <row r="5" spans="1:5" x14ac:dyDescent="0.35">
      <c r="A5" s="35" t="str">
        <f>_xlfn.CONCAT(Table2[[#This Row],[ID_OP]],Table2[[#This Row],[Zone]])</f>
        <v>OP04Depart</v>
      </c>
      <c r="B5" s="35" t="s">
        <v>148</v>
      </c>
      <c r="C5" s="35" t="s">
        <v>158</v>
      </c>
      <c r="D5" s="167">
        <v>8688.4849387362356</v>
      </c>
      <c r="E5" t="str">
        <f>VLOOKUP(Table2[[#This Row],[ID_OP]],Operation!$A$2:$B$13,2,)</f>
        <v xml:space="preserve">Scarification </v>
      </c>
    </row>
    <row r="6" spans="1:5" x14ac:dyDescent="0.35">
      <c r="A6" s="35" t="str">
        <f>_xlfn.CONCAT(Table2[[#This Row],[ID_OP]],Table2[[#This Row],[Zone]])</f>
        <v>OP05Depart</v>
      </c>
      <c r="B6" s="35" t="s">
        <v>149</v>
      </c>
      <c r="C6" s="35" t="s">
        <v>158</v>
      </c>
      <c r="D6" s="167">
        <v>1551.7325707362345</v>
      </c>
      <c r="E6" t="str">
        <f>VLOOKUP(Table2[[#This Row],[ID_OP]],Operation!$A$2:$B$13,2,)</f>
        <v>Verticutte</v>
      </c>
    </row>
    <row r="7" spans="1:5" x14ac:dyDescent="0.35">
      <c r="A7" s="35" t="str">
        <f>_xlfn.CONCAT(Table2[[#This Row],[ID_OP]],Table2[[#This Row],[Zone]])</f>
        <v>OP06Depart</v>
      </c>
      <c r="B7" s="35" t="s">
        <v>150</v>
      </c>
      <c r="C7" s="35" t="s">
        <v>158</v>
      </c>
      <c r="D7" s="167">
        <v>687.21118895648601</v>
      </c>
      <c r="E7" t="str">
        <f>VLOOKUP(Table2[[#This Row],[ID_OP]],Operation!$A$2:$B$13,2,)</f>
        <v xml:space="preserve">Tonte  </v>
      </c>
    </row>
    <row r="8" spans="1:5" x14ac:dyDescent="0.35">
      <c r="A8" s="35" t="str">
        <f>_xlfn.CONCAT(Table2[[#This Row],[ID_OP]],Table2[[#This Row],[Zone]])</f>
        <v>OP07Depart</v>
      </c>
      <c r="B8" s="35" t="s">
        <v>151</v>
      </c>
      <c r="C8" s="35" t="s">
        <v>158</v>
      </c>
      <c r="D8" s="167">
        <v>8184.7117602701601</v>
      </c>
      <c r="E8" t="str">
        <f>VLOOKUP(Table2[[#This Row],[ID_OP]],Operation!$A$2:$B$13,2,)</f>
        <v xml:space="preserve">Fertilisation </v>
      </c>
    </row>
    <row r="9" spans="1:5" x14ac:dyDescent="0.35">
      <c r="A9" s="35" t="str">
        <f>_xlfn.CONCAT(Table2[[#This Row],[ID_OP]],Table2[[#This Row],[Zone]])</f>
        <v>OP08Depart</v>
      </c>
      <c r="B9" s="35" t="s">
        <v>152</v>
      </c>
      <c r="C9" s="35" t="s">
        <v>158</v>
      </c>
      <c r="D9" s="167">
        <v>1069.0657245050527</v>
      </c>
      <c r="E9" t="str">
        <f>VLOOKUP(Table2[[#This Row],[ID_OP]],Operation!$A$2:$B$13,2,)</f>
        <v xml:space="preserve">Traitement phytosanitaire </v>
      </c>
    </row>
    <row r="10" spans="1:5" x14ac:dyDescent="0.35">
      <c r="A10" s="35" t="str">
        <f>_xlfn.CONCAT(Table2[[#This Row],[ID_OP]],Table2[[#This Row],[Zone]])</f>
        <v>OP09Depart</v>
      </c>
      <c r="B10" s="35" t="s">
        <v>153</v>
      </c>
      <c r="C10" s="35" t="s">
        <v>158</v>
      </c>
      <c r="D10" s="167">
        <v>30151.629958317182</v>
      </c>
      <c r="E10" t="str">
        <f>VLOOKUP(Table2[[#This Row],[ID_OP]],Operation!$A$2:$B$13,2,)</f>
        <v xml:space="preserve">Sursemis </v>
      </c>
    </row>
    <row r="11" spans="1:5" x14ac:dyDescent="0.35">
      <c r="A11" s="35" t="str">
        <f>_xlfn.CONCAT(Table2[[#This Row],[ID_OP]],Table2[[#This Row],[Zone]])</f>
        <v>OP01Fairway</v>
      </c>
      <c r="B11" s="35" t="s">
        <v>145</v>
      </c>
      <c r="C11" s="35" t="s">
        <v>31</v>
      </c>
      <c r="D11" s="167">
        <v>11740.051083246453</v>
      </c>
      <c r="E11" t="str">
        <f>VLOOKUP(Table2[[#This Row],[ID_OP]],Operation!$A$2:$B$13,2,)</f>
        <v xml:space="preserve">Aération par louchet creux </v>
      </c>
    </row>
    <row r="12" spans="1:5" x14ac:dyDescent="0.35">
      <c r="A12" s="35" t="str">
        <f>_xlfn.CONCAT(Table2[[#This Row],[ID_OP]],Table2[[#This Row],[Zone]])</f>
        <v>OP02Fairway</v>
      </c>
      <c r="B12" s="35" t="s">
        <v>146</v>
      </c>
      <c r="C12" s="35" t="s">
        <v>31</v>
      </c>
      <c r="D12" s="167">
        <v>11179.504785481166</v>
      </c>
      <c r="E12" t="str">
        <f>VLOOKUP(Table2[[#This Row],[ID_OP]],Operation!$A$2:$B$13,2,)</f>
        <v xml:space="preserve">Aération par louchet plein  </v>
      </c>
    </row>
    <row r="13" spans="1:5" x14ac:dyDescent="0.35">
      <c r="A13" s="35" t="str">
        <f>_xlfn.CONCAT(Table2[[#This Row],[ID_OP]],Table2[[#This Row],[Zone]])</f>
        <v>OP03Fairway</v>
      </c>
      <c r="B13" s="35" t="s">
        <v>147</v>
      </c>
      <c r="C13" s="35" t="s">
        <v>31</v>
      </c>
      <c r="D13" s="167">
        <v>26611.066584717195</v>
      </c>
      <c r="E13" t="str">
        <f>VLOOKUP(Table2[[#This Row],[ID_OP]],Operation!$A$2:$B$13,2,)</f>
        <v xml:space="preserve">Sablage </v>
      </c>
    </row>
    <row r="14" spans="1:5" x14ac:dyDescent="0.35">
      <c r="A14" s="35" t="str">
        <f>_xlfn.CONCAT(Table2[[#This Row],[ID_OP]],Table2[[#This Row],[Zone]])</f>
        <v>OP04Fairway</v>
      </c>
      <c r="B14" s="35" t="s">
        <v>148</v>
      </c>
      <c r="C14" s="35" t="s">
        <v>31</v>
      </c>
      <c r="D14" s="167">
        <v>2062.0858708127466</v>
      </c>
      <c r="E14" t="str">
        <f>VLOOKUP(Table2[[#This Row],[ID_OP]],Operation!$A$2:$B$13,2,)</f>
        <v xml:space="preserve">Scarification </v>
      </c>
    </row>
    <row r="15" spans="1:5" x14ac:dyDescent="0.35">
      <c r="A15" s="35" t="str">
        <f>_xlfn.CONCAT(Table2[[#This Row],[ID_OP]],Table2[[#This Row],[Zone]])</f>
        <v>OP05Fairway</v>
      </c>
      <c r="B15" s="35" t="s">
        <v>149</v>
      </c>
      <c r="C15" s="35" t="s">
        <v>31</v>
      </c>
      <c r="D15" s="167">
        <v>1893.9219814831604</v>
      </c>
      <c r="E15" t="str">
        <f>VLOOKUP(Table2[[#This Row],[ID_OP]],Operation!$A$2:$B$13,2,)</f>
        <v>Verticutte</v>
      </c>
    </row>
    <row r="16" spans="1:5" x14ac:dyDescent="0.35">
      <c r="A16" s="35" t="str">
        <f>_xlfn.CONCAT(Table2[[#This Row],[ID_OP]],Table2[[#This Row],[Zone]])</f>
        <v>OP06Fairway</v>
      </c>
      <c r="B16" s="35" t="s">
        <v>150</v>
      </c>
      <c r="C16" s="35" t="s">
        <v>31</v>
      </c>
      <c r="D16" s="167">
        <v>1524.8582990344953</v>
      </c>
      <c r="E16" t="str">
        <f>VLOOKUP(Table2[[#This Row],[ID_OP]],Operation!$A$2:$B$13,2,)</f>
        <v xml:space="preserve">Tonte  </v>
      </c>
    </row>
    <row r="17" spans="1:5" x14ac:dyDescent="0.35">
      <c r="A17" s="35" t="str">
        <f>_xlfn.CONCAT(Table2[[#This Row],[ID_OP]],Table2[[#This Row],[Zone]])</f>
        <v>OP07Fairway</v>
      </c>
      <c r="B17" s="35" t="s">
        <v>151</v>
      </c>
      <c r="C17" s="35" t="s">
        <v>31</v>
      </c>
      <c r="D17" s="167">
        <v>48643.624751921947</v>
      </c>
      <c r="E17" t="str">
        <f>VLOOKUP(Table2[[#This Row],[ID_OP]],Operation!$A$2:$B$13,2,)</f>
        <v xml:space="preserve">Fertilisation </v>
      </c>
    </row>
    <row r="18" spans="1:5" x14ac:dyDescent="0.35">
      <c r="A18" s="35" t="str">
        <f>_xlfn.CONCAT(Table2[[#This Row],[ID_OP]],Table2[[#This Row],[Zone]])</f>
        <v>OP08Fairway</v>
      </c>
      <c r="B18" s="35" t="s">
        <v>152</v>
      </c>
      <c r="C18" s="35" t="s">
        <v>31</v>
      </c>
      <c r="D18" s="167">
        <v>1202.9177597910339</v>
      </c>
      <c r="E18" t="str">
        <f>VLOOKUP(Table2[[#This Row],[ID_OP]],Operation!$A$2:$B$13,2,)</f>
        <v xml:space="preserve">Traitement phytosanitaire </v>
      </c>
    </row>
    <row r="19" spans="1:5" x14ac:dyDescent="0.35">
      <c r="A19" s="35" t="str">
        <f>_xlfn.CONCAT(Table2[[#This Row],[ID_OP]],Table2[[#This Row],[Zone]])</f>
        <v>OP02Rough</v>
      </c>
      <c r="B19" s="35" t="s">
        <v>146</v>
      </c>
      <c r="C19" s="35" t="s">
        <v>124</v>
      </c>
      <c r="D19" s="167">
        <v>9668.461538461539</v>
      </c>
      <c r="E19" t="str">
        <f>VLOOKUP(Table2[[#This Row],[ID_OP]],Operation!$A$2:$B$13,2,)</f>
        <v xml:space="preserve">Aération par louchet plein  </v>
      </c>
    </row>
    <row r="20" spans="1:5" x14ac:dyDescent="0.35">
      <c r="A20" s="35" t="str">
        <f>_xlfn.CONCAT(Table2[[#This Row],[ID_OP]],Table2[[#This Row],[Zone]])</f>
        <v>OP06Rough</v>
      </c>
      <c r="B20" s="35" t="s">
        <v>150</v>
      </c>
      <c r="C20" s="35" t="s">
        <v>124</v>
      </c>
      <c r="D20" s="167">
        <v>688.07692307692309</v>
      </c>
      <c r="E20" t="str">
        <f>VLOOKUP(Table2[[#This Row],[ID_OP]],Operation!$A$2:$B$13,2,)</f>
        <v xml:space="preserve">Tonte  </v>
      </c>
    </row>
    <row r="21" spans="1:5" x14ac:dyDescent="0.35">
      <c r="A21" s="35" t="str">
        <f>_xlfn.CONCAT(Table2[[#This Row],[ID_OP]],Table2[[#This Row],[Zone]])</f>
        <v>OP07Rough</v>
      </c>
      <c r="B21" s="35" t="s">
        <v>151</v>
      </c>
      <c r="C21" s="35" t="s">
        <v>124</v>
      </c>
      <c r="D21" s="167">
        <v>3036.0384615384614</v>
      </c>
      <c r="E21" t="str">
        <f>VLOOKUP(Table2[[#This Row],[ID_OP]],Operation!$A$2:$B$13,2,)</f>
        <v xml:space="preserve">Fertilisation </v>
      </c>
    </row>
    <row r="22" spans="1:5" x14ac:dyDescent="0.35">
      <c r="A22" s="35" t="str">
        <f>_xlfn.CONCAT(Table2[[#This Row],[ID_OP]],Table2[[#This Row],[Zone]])</f>
        <v>OP01Green</v>
      </c>
      <c r="B22" s="35" t="s">
        <v>145</v>
      </c>
      <c r="C22" s="35" t="s">
        <v>160</v>
      </c>
      <c r="D22" s="167">
        <v>6744.83826056826</v>
      </c>
      <c r="E22" t="str">
        <f>VLOOKUP(Table2[[#This Row],[ID_OP]],Operation!$A$2:$B$13,2,)</f>
        <v xml:space="preserve">Aération par louchet creux </v>
      </c>
    </row>
    <row r="23" spans="1:5" x14ac:dyDescent="0.35">
      <c r="A23" s="35" t="str">
        <f>_xlfn.CONCAT(Table2[[#This Row],[ID_OP]],Table2[[#This Row],[Zone]])</f>
        <v>OP02Green</v>
      </c>
      <c r="B23" s="35" t="s">
        <v>146</v>
      </c>
      <c r="C23" s="35" t="s">
        <v>160</v>
      </c>
      <c r="D23" s="167">
        <v>5929.1671327096328</v>
      </c>
      <c r="E23" t="str">
        <f>VLOOKUP(Table2[[#This Row],[ID_OP]],Operation!$A$2:$B$13,2,)</f>
        <v xml:space="preserve">Aération par louchet plein  </v>
      </c>
    </row>
    <row r="24" spans="1:5" x14ac:dyDescent="0.35">
      <c r="A24" s="35" t="str">
        <f>_xlfn.CONCAT(Table2[[#This Row],[ID_OP]],Table2[[#This Row],[Zone]])</f>
        <v>OP03Green</v>
      </c>
      <c r="B24" s="35" t="s">
        <v>147</v>
      </c>
      <c r="C24" s="35" t="s">
        <v>160</v>
      </c>
      <c r="D24" s="167">
        <v>21081.637136902285</v>
      </c>
      <c r="E24" t="str">
        <f>VLOOKUP(Table2[[#This Row],[ID_OP]],Operation!$A$2:$B$13,2,)</f>
        <v xml:space="preserve">Sablage </v>
      </c>
    </row>
    <row r="25" spans="1:5" x14ac:dyDescent="0.35">
      <c r="A25" s="35" t="str">
        <f>_xlfn.CONCAT(Table2[[#This Row],[ID_OP]],Table2[[#This Row],[Zone]])</f>
        <v>OP04Green</v>
      </c>
      <c r="B25" s="35" t="s">
        <v>148</v>
      </c>
      <c r="C25" s="35" t="s">
        <v>160</v>
      </c>
      <c r="D25" s="167">
        <v>1575.5255266805266</v>
      </c>
      <c r="E25" t="str">
        <f>VLOOKUP(Table2[[#This Row],[ID_OP]],Operation!$A$2:$B$13,2,)</f>
        <v xml:space="preserve">Scarification </v>
      </c>
    </row>
    <row r="26" spans="1:5" x14ac:dyDescent="0.35">
      <c r="A26" s="35" t="str">
        <f>_xlfn.CONCAT(Table2[[#This Row],[ID_OP]],Table2[[#This Row],[Zone]])</f>
        <v>OP05Green</v>
      </c>
      <c r="B26" s="35" t="s">
        <v>149</v>
      </c>
      <c r="C26" s="35" t="s">
        <v>160</v>
      </c>
      <c r="D26" s="167">
        <v>1575.5255266805266</v>
      </c>
      <c r="E26" t="str">
        <f>VLOOKUP(Table2[[#This Row],[ID_OP]],Operation!$A$2:$B$13,2,)</f>
        <v>Verticutte</v>
      </c>
    </row>
    <row r="27" spans="1:5" x14ac:dyDescent="0.35">
      <c r="A27" s="35" t="str">
        <f>_xlfn.CONCAT(Table2[[#This Row],[ID_OP]],Table2[[#This Row],[Zone]])</f>
        <v>OP06Green</v>
      </c>
      <c r="B27" s="35" t="s">
        <v>150</v>
      </c>
      <c r="C27" s="35" t="s">
        <v>160</v>
      </c>
      <c r="D27" s="167">
        <v>5278.7111789674291</v>
      </c>
      <c r="E27" t="str">
        <f>VLOOKUP(Table2[[#This Row],[ID_OP]],Operation!$A$2:$B$13,2,)</f>
        <v xml:space="preserve">Tonte  </v>
      </c>
    </row>
    <row r="28" spans="1:5" x14ac:dyDescent="0.35">
      <c r="A28" s="35" t="str">
        <f>_xlfn.CONCAT(Table2[[#This Row],[ID_OP]],Table2[[#This Row],[Zone]])</f>
        <v>OP07Green</v>
      </c>
      <c r="B28" s="35" t="s">
        <v>151</v>
      </c>
      <c r="C28" s="35" t="s">
        <v>160</v>
      </c>
      <c r="D28" s="167">
        <v>5725.6994017671514</v>
      </c>
      <c r="E28" t="str">
        <f>VLOOKUP(Table2[[#This Row],[ID_OP]],Operation!$A$2:$B$13,2,)</f>
        <v xml:space="preserve">Fertilisation </v>
      </c>
    </row>
    <row r="29" spans="1:5" x14ac:dyDescent="0.35">
      <c r="A29" s="35" t="str">
        <f>_xlfn.CONCAT(Table2[[#This Row],[ID_OP]],Table2[[#This Row],[Zone]])</f>
        <v>OP08Green</v>
      </c>
      <c r="B29" s="35" t="s">
        <v>152</v>
      </c>
      <c r="C29" s="35" t="s">
        <v>160</v>
      </c>
      <c r="D29" s="167">
        <v>3292.1215804747053</v>
      </c>
      <c r="E29" t="str">
        <f>VLOOKUP(Table2[[#This Row],[ID_OP]],Operation!$A$2:$B$13,2,)</f>
        <v xml:space="preserve">Traitement phytosanitaire </v>
      </c>
    </row>
    <row r="30" spans="1:5" x14ac:dyDescent="0.35">
      <c r="A30" s="35" t="str">
        <f>_xlfn.CONCAT(Table2[[#This Row],[ID_OP]],Table2[[#This Row],[Zone]])</f>
        <v>OP10Bunker</v>
      </c>
      <c r="B30" s="35" t="s">
        <v>154</v>
      </c>
      <c r="C30" s="35" t="s">
        <v>161</v>
      </c>
      <c r="D30" s="167">
        <v>600</v>
      </c>
      <c r="E30" t="str">
        <f>VLOOKUP(Table2[[#This Row],[ID_OP]],Operation!$A$2:$B$13,2,)</f>
        <v xml:space="preserve">Ratissage </v>
      </c>
    </row>
    <row r="31" spans="1:5" x14ac:dyDescent="0.35">
      <c r="A31" s="35" t="str">
        <f>_xlfn.CONCAT(Table2[[#This Row],[ID_OP]],Table2[[#This Row],[Zone]])</f>
        <v>OP11Bunker</v>
      </c>
      <c r="B31" s="35" t="s">
        <v>155</v>
      </c>
      <c r="C31" s="35" t="s">
        <v>161</v>
      </c>
      <c r="D31" s="167">
        <v>1594</v>
      </c>
      <c r="E31" t="str">
        <f>VLOOKUP(Table2[[#This Row],[ID_OP]],Operation!$A$2:$B$13,2,)</f>
        <v xml:space="preserve">Désherbage </v>
      </c>
    </row>
  </sheetData>
  <pageMargins left="0.7" right="0.7" top="0.75" bottom="0.75" header="0.3" footer="0.3"/>
  <pageSetup paperSize="9" orientation="portrait"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EA62F-4FED-4A65-A1E4-F1C64DE14484}">
  <dimension ref="A1:M149"/>
  <sheetViews>
    <sheetView topLeftCell="A124" workbookViewId="0">
      <selection activeCell="C138" sqref="C138"/>
    </sheetView>
  </sheetViews>
  <sheetFormatPr defaultRowHeight="14.5" x14ac:dyDescent="0.35"/>
  <cols>
    <col min="1" max="1" width="23.6328125" bestFit="1" customWidth="1"/>
    <col min="2" max="2" width="16.453125" bestFit="1" customWidth="1"/>
    <col min="3" max="3" width="25.1796875" bestFit="1" customWidth="1"/>
    <col min="4" max="4" width="15.81640625" bestFit="1" customWidth="1"/>
    <col min="5" max="5" width="13.81640625" bestFit="1" customWidth="1"/>
    <col min="6" max="6" width="15.81640625" bestFit="1" customWidth="1"/>
    <col min="7" max="8" width="14.81640625" bestFit="1" customWidth="1"/>
    <col min="9" max="9" width="17.36328125" bestFit="1" customWidth="1"/>
    <col min="10" max="10" width="24.81640625" bestFit="1" customWidth="1"/>
    <col min="11" max="12" width="13.81640625" bestFit="1" customWidth="1"/>
    <col min="13" max="13" width="17.36328125" bestFit="1" customWidth="1"/>
    <col min="14" max="14" width="15.81640625" bestFit="1" customWidth="1"/>
    <col min="15" max="15" width="14.81640625" bestFit="1" customWidth="1"/>
    <col min="16" max="16" width="15.81640625" bestFit="1" customWidth="1"/>
    <col min="17" max="17" width="24.81640625" bestFit="1" customWidth="1"/>
    <col min="18" max="18" width="13.81640625" bestFit="1" customWidth="1"/>
    <col min="19" max="19" width="15.81640625" bestFit="1" customWidth="1"/>
    <col min="20" max="21" width="25.1796875" bestFit="1" customWidth="1"/>
    <col min="22" max="23" width="14.81640625" bestFit="1" customWidth="1"/>
    <col min="24" max="24" width="17.36328125" bestFit="1" customWidth="1"/>
    <col min="25" max="25" width="24.81640625" bestFit="1" customWidth="1"/>
    <col min="26" max="26" width="13.81640625" bestFit="1" customWidth="1"/>
    <col min="27" max="27" width="17.36328125" bestFit="1" customWidth="1"/>
    <col min="28" max="28" width="25.1796875" bestFit="1" customWidth="1"/>
    <col min="29" max="29" width="13.81640625" bestFit="1" customWidth="1"/>
    <col min="30" max="31" width="14.81640625" bestFit="1" customWidth="1"/>
    <col min="32" max="32" width="17.36328125" bestFit="1" customWidth="1"/>
  </cols>
  <sheetData>
    <row r="1" spans="1:2" x14ac:dyDescent="0.35">
      <c r="A1" s="153" t="s">
        <v>271</v>
      </c>
      <c r="B1" t="s">
        <v>273</v>
      </c>
    </row>
    <row r="2" spans="1:2" x14ac:dyDescent="0.35">
      <c r="A2" s="154" t="s">
        <v>161</v>
      </c>
      <c r="B2" s="166">
        <v>11029</v>
      </c>
    </row>
    <row r="3" spans="1:2" x14ac:dyDescent="0.35">
      <c r="A3" s="154" t="s">
        <v>158</v>
      </c>
      <c r="B3" s="166">
        <v>4613.3028000000004</v>
      </c>
    </row>
    <row r="4" spans="1:2" x14ac:dyDescent="0.35">
      <c r="A4" s="154" t="s">
        <v>31</v>
      </c>
      <c r="B4" s="166">
        <v>27700.314600000002</v>
      </c>
    </row>
    <row r="5" spans="1:2" x14ac:dyDescent="0.35">
      <c r="A5" s="154" t="s">
        <v>160</v>
      </c>
      <c r="B5" s="166">
        <v>12554.81</v>
      </c>
    </row>
    <row r="6" spans="1:2" x14ac:dyDescent="0.35">
      <c r="A6" s="154" t="s">
        <v>124</v>
      </c>
      <c r="B6" s="166">
        <v>11560</v>
      </c>
    </row>
    <row r="7" spans="1:2" x14ac:dyDescent="0.35">
      <c r="A7" s="154" t="s">
        <v>272</v>
      </c>
      <c r="B7" s="166">
        <v>67457.4274</v>
      </c>
    </row>
    <row r="9" spans="1:2" x14ac:dyDescent="0.35">
      <c r="A9" s="153" t="s">
        <v>271</v>
      </c>
      <c r="B9" t="s">
        <v>274</v>
      </c>
    </row>
    <row r="10" spans="1:2" x14ac:dyDescent="0.35">
      <c r="A10" s="154" t="s">
        <v>161</v>
      </c>
      <c r="B10" s="167">
        <v>2194</v>
      </c>
    </row>
    <row r="11" spans="1:2" x14ac:dyDescent="0.35">
      <c r="A11" s="154" t="s">
        <v>158</v>
      </c>
      <c r="B11" s="167">
        <v>56958.409232364822</v>
      </c>
    </row>
    <row r="12" spans="1:2" x14ac:dyDescent="0.35">
      <c r="A12" s="154" t="s">
        <v>31</v>
      </c>
      <c r="B12" s="167">
        <v>104858.0311164882</v>
      </c>
    </row>
    <row r="13" spans="1:2" x14ac:dyDescent="0.35">
      <c r="A13" s="154" t="s">
        <v>160</v>
      </c>
      <c r="B13" s="167">
        <v>51203.225744750518</v>
      </c>
    </row>
    <row r="14" spans="1:2" x14ac:dyDescent="0.35">
      <c r="A14" s="154" t="s">
        <v>124</v>
      </c>
      <c r="B14" s="167">
        <v>13392.576923076924</v>
      </c>
    </row>
    <row r="15" spans="1:2" x14ac:dyDescent="0.35">
      <c r="A15" s="154" t="s">
        <v>272</v>
      </c>
      <c r="B15" s="167">
        <v>228606.24301668047</v>
      </c>
    </row>
    <row r="17" spans="1:7" x14ac:dyDescent="0.35">
      <c r="A17" s="153" t="s">
        <v>275</v>
      </c>
      <c r="B17" s="153" t="s">
        <v>276</v>
      </c>
    </row>
    <row r="18" spans="1:7" x14ac:dyDescent="0.35">
      <c r="A18" s="153" t="s">
        <v>271</v>
      </c>
      <c r="B18" t="s">
        <v>161</v>
      </c>
      <c r="C18" t="s">
        <v>158</v>
      </c>
      <c r="D18" t="s">
        <v>31</v>
      </c>
      <c r="E18" t="s">
        <v>160</v>
      </c>
      <c r="F18" t="s">
        <v>124</v>
      </c>
      <c r="G18" t="s">
        <v>272</v>
      </c>
    </row>
    <row r="19" spans="1:7" x14ac:dyDescent="0.35">
      <c r="A19" s="154" t="s">
        <v>50</v>
      </c>
      <c r="B19" s="155"/>
      <c r="C19" s="155"/>
      <c r="D19" s="155"/>
      <c r="E19" s="155">
        <v>1</v>
      </c>
      <c r="F19" s="155"/>
      <c r="G19" s="155">
        <v>1</v>
      </c>
    </row>
    <row r="20" spans="1:7" x14ac:dyDescent="0.35">
      <c r="A20" s="154" t="s">
        <v>134</v>
      </c>
      <c r="B20" s="155"/>
      <c r="C20" s="155"/>
      <c r="D20" s="155">
        <v>1</v>
      </c>
      <c r="E20" s="155">
        <v>1</v>
      </c>
      <c r="F20" s="155">
        <v>1</v>
      </c>
      <c r="G20" s="155">
        <v>3</v>
      </c>
    </row>
    <row r="21" spans="1:7" x14ac:dyDescent="0.35">
      <c r="A21" s="154" t="s">
        <v>286</v>
      </c>
      <c r="B21" s="155"/>
      <c r="C21" s="155">
        <v>4</v>
      </c>
      <c r="D21" s="155">
        <v>3</v>
      </c>
      <c r="E21" s="155">
        <v>6</v>
      </c>
      <c r="F21" s="155">
        <v>2</v>
      </c>
      <c r="G21" s="155">
        <v>15</v>
      </c>
    </row>
    <row r="22" spans="1:7" x14ac:dyDescent="0.35">
      <c r="A22" s="154" t="s">
        <v>289</v>
      </c>
      <c r="B22" s="155">
        <v>12</v>
      </c>
      <c r="C22" s="155"/>
      <c r="D22" s="155"/>
      <c r="E22" s="155"/>
      <c r="F22" s="155"/>
      <c r="G22" s="155">
        <v>12</v>
      </c>
    </row>
    <row r="23" spans="1:7" x14ac:dyDescent="0.35">
      <c r="A23" s="154" t="s">
        <v>282</v>
      </c>
      <c r="B23" s="155"/>
      <c r="C23" s="155">
        <v>1</v>
      </c>
      <c r="D23" s="155">
        <v>2</v>
      </c>
      <c r="E23" s="155">
        <v>3</v>
      </c>
      <c r="F23" s="155"/>
      <c r="G23" s="155">
        <v>6</v>
      </c>
    </row>
    <row r="24" spans="1:7" x14ac:dyDescent="0.35">
      <c r="A24" s="154" t="s">
        <v>283</v>
      </c>
      <c r="B24" s="155"/>
      <c r="C24" s="155">
        <v>2</v>
      </c>
      <c r="D24" s="155"/>
      <c r="E24" s="155"/>
      <c r="F24" s="155"/>
      <c r="G24" s="155">
        <v>2</v>
      </c>
    </row>
    <row r="25" spans="1:7" x14ac:dyDescent="0.35">
      <c r="A25" s="154" t="s">
        <v>288</v>
      </c>
      <c r="B25" s="155"/>
      <c r="C25" s="155">
        <v>2</v>
      </c>
      <c r="D25" s="155"/>
      <c r="E25" s="155"/>
      <c r="F25" s="155"/>
      <c r="G25" s="155">
        <v>2</v>
      </c>
    </row>
    <row r="26" spans="1:7" x14ac:dyDescent="0.35">
      <c r="A26" s="154" t="s">
        <v>285</v>
      </c>
      <c r="B26" s="155"/>
      <c r="C26" s="155">
        <v>119</v>
      </c>
      <c r="D26" s="155">
        <v>76</v>
      </c>
      <c r="E26" s="155">
        <v>252</v>
      </c>
      <c r="F26" s="155">
        <v>20</v>
      </c>
      <c r="G26" s="155">
        <v>467</v>
      </c>
    </row>
    <row r="27" spans="1:7" x14ac:dyDescent="0.35">
      <c r="A27" s="154" t="s">
        <v>287</v>
      </c>
      <c r="B27" s="155"/>
      <c r="C27" s="155">
        <v>1</v>
      </c>
      <c r="D27" s="155">
        <v>2</v>
      </c>
      <c r="E27" s="155">
        <v>4</v>
      </c>
      <c r="F27" s="155"/>
      <c r="G27" s="155">
        <v>7</v>
      </c>
    </row>
    <row r="28" spans="1:7" x14ac:dyDescent="0.35">
      <c r="A28" s="154" t="s">
        <v>284</v>
      </c>
      <c r="B28" s="155"/>
      <c r="C28" s="155">
        <v>2</v>
      </c>
      <c r="D28" s="155">
        <v>1</v>
      </c>
      <c r="E28" s="155">
        <v>2</v>
      </c>
      <c r="F28" s="155"/>
      <c r="G28" s="155">
        <v>5</v>
      </c>
    </row>
    <row r="29" spans="1:7" x14ac:dyDescent="0.35">
      <c r="A29" s="154" t="s">
        <v>290</v>
      </c>
      <c r="B29" s="155">
        <v>4</v>
      </c>
      <c r="C29" s="155"/>
      <c r="D29" s="155"/>
      <c r="E29" s="155"/>
      <c r="F29" s="155"/>
      <c r="G29" s="155">
        <v>4</v>
      </c>
    </row>
    <row r="30" spans="1:7" x14ac:dyDescent="0.35">
      <c r="A30" s="154" t="s">
        <v>272</v>
      </c>
      <c r="B30" s="155">
        <v>16</v>
      </c>
      <c r="C30" s="155">
        <v>131</v>
      </c>
      <c r="D30" s="155">
        <v>85</v>
      </c>
      <c r="E30" s="155">
        <v>269</v>
      </c>
      <c r="F30" s="155">
        <v>23</v>
      </c>
      <c r="G30" s="155">
        <v>524</v>
      </c>
    </row>
    <row r="36" spans="1:3" x14ac:dyDescent="0.35">
      <c r="A36" s="144"/>
      <c r="B36" s="145"/>
      <c r="C36" s="146"/>
    </row>
    <row r="37" spans="1:3" x14ac:dyDescent="0.35">
      <c r="A37" s="147"/>
      <c r="B37" s="148"/>
      <c r="C37" s="149"/>
    </row>
    <row r="38" spans="1:3" x14ac:dyDescent="0.35">
      <c r="A38" s="147"/>
      <c r="B38" s="148"/>
      <c r="C38" s="149"/>
    </row>
    <row r="39" spans="1:3" x14ac:dyDescent="0.35">
      <c r="A39" s="147"/>
      <c r="B39" s="148"/>
      <c r="C39" s="149"/>
    </row>
    <row r="40" spans="1:3" x14ac:dyDescent="0.35">
      <c r="A40" s="147"/>
      <c r="B40" s="148"/>
      <c r="C40" s="149"/>
    </row>
    <row r="41" spans="1:3" x14ac:dyDescent="0.35">
      <c r="A41" s="147"/>
      <c r="B41" s="148"/>
      <c r="C41" s="149"/>
    </row>
    <row r="42" spans="1:3" x14ac:dyDescent="0.35">
      <c r="A42" s="147"/>
      <c r="B42" s="148"/>
      <c r="C42" s="149"/>
    </row>
    <row r="43" spans="1:3" x14ac:dyDescent="0.35">
      <c r="A43" s="147"/>
      <c r="B43" s="148"/>
      <c r="C43" s="149"/>
    </row>
    <row r="44" spans="1:3" x14ac:dyDescent="0.35">
      <c r="A44" s="147"/>
      <c r="B44" s="148"/>
      <c r="C44" s="149"/>
    </row>
    <row r="45" spans="1:3" x14ac:dyDescent="0.35">
      <c r="A45" s="147"/>
      <c r="B45" s="148"/>
      <c r="C45" s="149"/>
    </row>
    <row r="46" spans="1:3" x14ac:dyDescent="0.35">
      <c r="A46" s="147"/>
      <c r="B46" s="148"/>
      <c r="C46" s="149"/>
    </row>
    <row r="47" spans="1:3" x14ac:dyDescent="0.35">
      <c r="A47" s="147"/>
      <c r="B47" s="148"/>
      <c r="C47" s="149"/>
    </row>
    <row r="48" spans="1:3" x14ac:dyDescent="0.35">
      <c r="A48" s="147"/>
      <c r="B48" s="148"/>
      <c r="C48" s="149"/>
    </row>
    <row r="49" spans="1:3" x14ac:dyDescent="0.35">
      <c r="A49" s="147"/>
      <c r="B49" s="148"/>
      <c r="C49" s="149"/>
    </row>
    <row r="50" spans="1:3" x14ac:dyDescent="0.35">
      <c r="A50" s="147"/>
      <c r="B50" s="148"/>
      <c r="C50" s="149"/>
    </row>
    <row r="51" spans="1:3" x14ac:dyDescent="0.35">
      <c r="A51" s="147"/>
      <c r="B51" s="148"/>
      <c r="C51" s="149"/>
    </row>
    <row r="52" spans="1:3" x14ac:dyDescent="0.35">
      <c r="A52" s="147"/>
      <c r="B52" s="148"/>
      <c r="C52" s="149"/>
    </row>
    <row r="53" spans="1:3" x14ac:dyDescent="0.35">
      <c r="A53" s="150"/>
      <c r="B53" s="151"/>
      <c r="C53" s="152"/>
    </row>
    <row r="64" spans="1:3" x14ac:dyDescent="0.35">
      <c r="A64" s="153" t="s">
        <v>271</v>
      </c>
      <c r="B64" t="s">
        <v>275</v>
      </c>
      <c r="C64" t="s">
        <v>304</v>
      </c>
    </row>
    <row r="65" spans="1:3" x14ac:dyDescent="0.35">
      <c r="A65" s="154" t="s">
        <v>160</v>
      </c>
      <c r="B65" s="155">
        <v>269</v>
      </c>
      <c r="C65" s="167">
        <v>189937.1847374567</v>
      </c>
    </row>
    <row r="66" spans="1:3" x14ac:dyDescent="0.35">
      <c r="A66" s="156" t="s">
        <v>50</v>
      </c>
      <c r="B66" s="155">
        <v>1</v>
      </c>
      <c r="C66" s="167">
        <v>6744.83826056826</v>
      </c>
    </row>
    <row r="67" spans="1:3" x14ac:dyDescent="0.35">
      <c r="A67" s="156" t="s">
        <v>134</v>
      </c>
      <c r="B67" s="155">
        <v>1</v>
      </c>
      <c r="C67" s="167">
        <v>5929.1671327096328</v>
      </c>
    </row>
    <row r="68" spans="1:3" x14ac:dyDescent="0.35">
      <c r="A68" s="156" t="s">
        <v>286</v>
      </c>
      <c r="B68" s="155">
        <v>6</v>
      </c>
      <c r="C68" s="167">
        <v>34354.196410602912</v>
      </c>
    </row>
    <row r="69" spans="1:3" x14ac:dyDescent="0.35">
      <c r="A69" s="156" t="s">
        <v>282</v>
      </c>
      <c r="B69" s="155">
        <v>3</v>
      </c>
      <c r="C69" s="167">
        <v>63244.91141070686</v>
      </c>
    </row>
    <row r="70" spans="1:3" x14ac:dyDescent="0.35">
      <c r="A70" s="156" t="s">
        <v>285</v>
      </c>
      <c r="B70" s="155">
        <v>252</v>
      </c>
      <c r="C70" s="167">
        <v>63344.534147609163</v>
      </c>
    </row>
    <row r="71" spans="1:3" x14ac:dyDescent="0.35">
      <c r="A71" s="156" t="s">
        <v>287</v>
      </c>
      <c r="B71" s="155">
        <v>4</v>
      </c>
      <c r="C71" s="167">
        <v>13168.486321898821</v>
      </c>
    </row>
    <row r="72" spans="1:3" x14ac:dyDescent="0.35">
      <c r="A72" s="156" t="s">
        <v>284</v>
      </c>
      <c r="B72" s="155">
        <v>2</v>
      </c>
      <c r="C72" s="167">
        <v>3151.0510533610532</v>
      </c>
    </row>
    <row r="73" spans="1:3" x14ac:dyDescent="0.35">
      <c r="A73" s="154" t="s">
        <v>158</v>
      </c>
      <c r="B73" s="155">
        <v>131</v>
      </c>
      <c r="C73" s="167">
        <v>114223.49755001382</v>
      </c>
    </row>
    <row r="74" spans="1:3" x14ac:dyDescent="0.35">
      <c r="A74" s="156" t="s">
        <v>286</v>
      </c>
      <c r="B74" s="155">
        <v>4</v>
      </c>
      <c r="C74" s="167">
        <v>32738.84704108064</v>
      </c>
    </row>
    <row r="75" spans="1:3" x14ac:dyDescent="0.35">
      <c r="A75" s="156" t="s">
        <v>282</v>
      </c>
      <c r="B75" s="155">
        <v>1</v>
      </c>
      <c r="C75" s="167">
        <v>1625.5730908434732</v>
      </c>
    </row>
    <row r="76" spans="1:3" x14ac:dyDescent="0.35">
      <c r="A76" s="156" t="s">
        <v>283</v>
      </c>
      <c r="B76" s="155">
        <v>2</v>
      </c>
      <c r="C76" s="167">
        <v>8688.4849387362356</v>
      </c>
    </row>
    <row r="77" spans="1:3" x14ac:dyDescent="0.35">
      <c r="A77" s="156" t="s">
        <v>288</v>
      </c>
      <c r="B77" s="155">
        <v>2</v>
      </c>
      <c r="C77" s="167">
        <v>60303.259916634364</v>
      </c>
    </row>
    <row r="78" spans="1:3" x14ac:dyDescent="0.35">
      <c r="A78" s="156" t="s">
        <v>285</v>
      </c>
      <c r="B78" s="155">
        <v>119</v>
      </c>
      <c r="C78" s="167">
        <v>8246.5342674778312</v>
      </c>
    </row>
    <row r="79" spans="1:3" x14ac:dyDescent="0.35">
      <c r="A79" s="156" t="s">
        <v>287</v>
      </c>
      <c r="B79" s="155">
        <v>1</v>
      </c>
      <c r="C79" s="167">
        <v>1069.0657245050527</v>
      </c>
    </row>
    <row r="80" spans="1:3" x14ac:dyDescent="0.35">
      <c r="A80" s="156" t="s">
        <v>284</v>
      </c>
      <c r="B80" s="155">
        <v>2</v>
      </c>
      <c r="C80" s="167">
        <v>1551.7325707362345</v>
      </c>
    </row>
    <row r="81" spans="1:3" x14ac:dyDescent="0.35">
      <c r="A81" s="154" t="s">
        <v>31</v>
      </c>
      <c r="B81" s="155">
        <v>85</v>
      </c>
      <c r="C81" s="167">
        <v>232930.56930016057</v>
      </c>
    </row>
    <row r="82" spans="1:3" x14ac:dyDescent="0.35">
      <c r="A82" s="156" t="s">
        <v>134</v>
      </c>
      <c r="B82" s="155">
        <v>1</v>
      </c>
      <c r="C82" s="167">
        <v>11179.504785481166</v>
      </c>
    </row>
    <row r="83" spans="1:3" x14ac:dyDescent="0.35">
      <c r="A83" s="156" t="s">
        <v>286</v>
      </c>
      <c r="B83" s="155">
        <v>3</v>
      </c>
      <c r="C83" s="167">
        <v>145930.87425576584</v>
      </c>
    </row>
    <row r="84" spans="1:3" x14ac:dyDescent="0.35">
      <c r="A84" s="156" t="s">
        <v>282</v>
      </c>
      <c r="B84" s="155">
        <v>2</v>
      </c>
      <c r="C84" s="167">
        <v>53222.13316943439</v>
      </c>
    </row>
    <row r="85" spans="1:3" x14ac:dyDescent="0.35">
      <c r="A85" s="156" t="s">
        <v>285</v>
      </c>
      <c r="B85" s="155">
        <v>76</v>
      </c>
      <c r="C85" s="167">
        <v>18298.299588413942</v>
      </c>
    </row>
    <row r="86" spans="1:3" x14ac:dyDescent="0.35">
      <c r="A86" s="156" t="s">
        <v>287</v>
      </c>
      <c r="B86" s="155">
        <v>2</v>
      </c>
      <c r="C86" s="167">
        <v>2405.8355195820677</v>
      </c>
    </row>
    <row r="87" spans="1:3" x14ac:dyDescent="0.35">
      <c r="A87" s="156" t="s">
        <v>284</v>
      </c>
      <c r="B87" s="155">
        <v>1</v>
      </c>
      <c r="C87" s="167">
        <v>1893.9219814831604</v>
      </c>
    </row>
    <row r="88" spans="1:3" x14ac:dyDescent="0.35">
      <c r="A88" s="154" t="s">
        <v>124</v>
      </c>
      <c r="B88" s="155">
        <v>23</v>
      </c>
      <c r="C88" s="167">
        <v>23997.461538461539</v>
      </c>
    </row>
    <row r="89" spans="1:3" x14ac:dyDescent="0.35">
      <c r="A89" s="156" t="s">
        <v>134</v>
      </c>
      <c r="B89" s="155">
        <v>1</v>
      </c>
      <c r="C89" s="167">
        <v>9668.461538461539</v>
      </c>
    </row>
    <row r="90" spans="1:3" x14ac:dyDescent="0.35">
      <c r="A90" s="156" t="s">
        <v>286</v>
      </c>
      <c r="B90" s="155">
        <v>2</v>
      </c>
      <c r="C90" s="167">
        <v>6072.0769230769229</v>
      </c>
    </row>
    <row r="91" spans="1:3" x14ac:dyDescent="0.35">
      <c r="A91" s="156" t="s">
        <v>285</v>
      </c>
      <c r="B91" s="155">
        <v>20</v>
      </c>
      <c r="C91" s="167">
        <v>8256.9230769230762</v>
      </c>
    </row>
    <row r="92" spans="1:3" x14ac:dyDescent="0.35">
      <c r="A92" s="154" t="s">
        <v>161</v>
      </c>
      <c r="B92" s="155">
        <v>16</v>
      </c>
      <c r="C92" s="167">
        <v>13576</v>
      </c>
    </row>
    <row r="93" spans="1:3" x14ac:dyDescent="0.35">
      <c r="A93" s="156" t="s">
        <v>289</v>
      </c>
      <c r="B93" s="155">
        <v>12</v>
      </c>
      <c r="C93" s="167">
        <v>7200</v>
      </c>
    </row>
    <row r="94" spans="1:3" x14ac:dyDescent="0.35">
      <c r="A94" s="156" t="s">
        <v>290</v>
      </c>
      <c r="B94" s="155">
        <v>4</v>
      </c>
      <c r="C94" s="167">
        <v>6376</v>
      </c>
    </row>
    <row r="95" spans="1:3" x14ac:dyDescent="0.35">
      <c r="A95" s="154" t="s">
        <v>272</v>
      </c>
      <c r="B95" s="155">
        <v>524</v>
      </c>
      <c r="C95" s="167">
        <v>574664.71312609268</v>
      </c>
    </row>
    <row r="99" spans="1:2" x14ac:dyDescent="0.35">
      <c r="A99" s="153" t="s">
        <v>271</v>
      </c>
      <c r="B99" t="s">
        <v>277</v>
      </c>
    </row>
    <row r="100" spans="1:2" x14ac:dyDescent="0.35">
      <c r="A100" s="154" t="s">
        <v>31</v>
      </c>
      <c r="B100" s="141">
        <v>9233.4382000000005</v>
      </c>
    </row>
    <row r="101" spans="1:2" x14ac:dyDescent="0.35">
      <c r="A101" s="154" t="s">
        <v>124</v>
      </c>
      <c r="B101" s="141">
        <v>5780</v>
      </c>
    </row>
    <row r="102" spans="1:2" x14ac:dyDescent="0.35">
      <c r="A102" s="154" t="s">
        <v>161</v>
      </c>
      <c r="B102" s="141">
        <v>2757.25</v>
      </c>
    </row>
    <row r="103" spans="1:2" x14ac:dyDescent="0.35">
      <c r="A103" s="154" t="s">
        <v>160</v>
      </c>
      <c r="B103" s="141">
        <v>545.86130434782604</v>
      </c>
    </row>
    <row r="104" spans="1:2" x14ac:dyDescent="0.35">
      <c r="A104" s="154" t="s">
        <v>158</v>
      </c>
      <c r="B104" s="141">
        <v>461.33028000000002</v>
      </c>
    </row>
    <row r="105" spans="1:2" x14ac:dyDescent="0.35">
      <c r="A105" s="154" t="s">
        <v>272</v>
      </c>
      <c r="B105" s="155">
        <v>1606.1292238095241</v>
      </c>
    </row>
    <row r="108" spans="1:2" x14ac:dyDescent="0.35">
      <c r="A108" t="s">
        <v>280</v>
      </c>
    </row>
    <row r="109" spans="1:2" x14ac:dyDescent="0.35">
      <c r="A109" s="167">
        <v>2028422.7573289149</v>
      </c>
    </row>
    <row r="119" spans="1:13" x14ac:dyDescent="0.35">
      <c r="A119" s="168" t="s">
        <v>280</v>
      </c>
      <c r="B119" s="168" t="s">
        <v>276</v>
      </c>
      <c r="C119" s="167"/>
      <c r="D119" s="167"/>
      <c r="E119" s="167"/>
      <c r="F119" s="167"/>
      <c r="G119" s="167"/>
      <c r="H119" s="167"/>
      <c r="I119" s="167"/>
      <c r="J119" s="167"/>
      <c r="K119" s="167"/>
      <c r="L119" s="167"/>
      <c r="M119" s="167"/>
    </row>
    <row r="120" spans="1:13" x14ac:dyDescent="0.35">
      <c r="A120" s="168" t="s">
        <v>271</v>
      </c>
      <c r="B120" s="167" t="s">
        <v>50</v>
      </c>
      <c r="C120" s="167" t="s">
        <v>134</v>
      </c>
      <c r="D120" s="167" t="s">
        <v>286</v>
      </c>
      <c r="E120" s="167" t="s">
        <v>289</v>
      </c>
      <c r="F120" s="167" t="s">
        <v>282</v>
      </c>
      <c r="G120" s="167" t="s">
        <v>283</v>
      </c>
      <c r="H120" s="167" t="s">
        <v>288</v>
      </c>
      <c r="I120" s="167" t="s">
        <v>285</v>
      </c>
      <c r="J120" s="167" t="s">
        <v>287</v>
      </c>
      <c r="K120" s="167" t="s">
        <v>284</v>
      </c>
      <c r="L120" s="167" t="s">
        <v>290</v>
      </c>
      <c r="M120" s="167" t="s">
        <v>272</v>
      </c>
    </row>
    <row r="121" spans="1:13" x14ac:dyDescent="0.35">
      <c r="A121" s="169" t="s">
        <v>161</v>
      </c>
      <c r="B121" s="167"/>
      <c r="C121" s="167"/>
      <c r="D121" s="167"/>
      <c r="E121" s="167">
        <v>7200</v>
      </c>
      <c r="F121" s="167"/>
      <c r="G121" s="167"/>
      <c r="H121" s="167"/>
      <c r="I121" s="167"/>
      <c r="J121" s="167"/>
      <c r="K121" s="167"/>
      <c r="L121" s="167">
        <v>6376</v>
      </c>
      <c r="M121" s="167">
        <v>13576</v>
      </c>
    </row>
    <row r="122" spans="1:13" x14ac:dyDescent="0.35">
      <c r="A122" s="169" t="s">
        <v>158</v>
      </c>
      <c r="B122" s="167"/>
      <c r="C122" s="167"/>
      <c r="D122" s="167">
        <v>32738.84704108064</v>
      </c>
      <c r="E122" s="167"/>
      <c r="F122" s="167">
        <v>1625.5730908434732</v>
      </c>
      <c r="G122" s="167">
        <v>17376.969877472471</v>
      </c>
      <c r="H122" s="167">
        <v>60303.259916634364</v>
      </c>
      <c r="I122" s="167">
        <v>81778.131485821839</v>
      </c>
      <c r="J122" s="167">
        <v>1069.0657245050527</v>
      </c>
      <c r="K122" s="167">
        <v>3103.465141472469</v>
      </c>
      <c r="L122" s="167"/>
      <c r="M122" s="167">
        <v>197995.31227783032</v>
      </c>
    </row>
    <row r="123" spans="1:13" x14ac:dyDescent="0.35">
      <c r="A123" s="169" t="s">
        <v>31</v>
      </c>
      <c r="B123" s="167"/>
      <c r="C123" s="167">
        <v>11179.504785481166</v>
      </c>
      <c r="D123" s="167">
        <v>145930.87425576584</v>
      </c>
      <c r="E123" s="167"/>
      <c r="F123" s="167">
        <v>53222.13316943439</v>
      </c>
      <c r="G123" s="167"/>
      <c r="H123" s="167"/>
      <c r="I123" s="167">
        <v>115889.23072662162</v>
      </c>
      <c r="J123" s="167">
        <v>2405.8355195820677</v>
      </c>
      <c r="K123" s="167">
        <v>1893.9219814831604</v>
      </c>
      <c r="L123" s="167"/>
      <c r="M123" s="167">
        <v>330521.5004383683</v>
      </c>
    </row>
    <row r="124" spans="1:13" x14ac:dyDescent="0.35">
      <c r="A124" s="169" t="s">
        <v>160</v>
      </c>
      <c r="B124" s="167">
        <v>6744.83826056826</v>
      </c>
      <c r="C124" s="167">
        <v>5929.1671327096328</v>
      </c>
      <c r="D124" s="167">
        <v>34354.196410602912</v>
      </c>
      <c r="E124" s="167"/>
      <c r="F124" s="167">
        <v>63244.91141070686</v>
      </c>
      <c r="G124" s="167"/>
      <c r="H124" s="167"/>
      <c r="I124" s="167">
        <v>1330235.2170997921</v>
      </c>
      <c r="J124" s="167">
        <v>13168.486321898821</v>
      </c>
      <c r="K124" s="167">
        <v>3151.0510533610532</v>
      </c>
      <c r="L124" s="167"/>
      <c r="M124" s="167">
        <v>1456827.8676896396</v>
      </c>
    </row>
    <row r="125" spans="1:13" x14ac:dyDescent="0.35">
      <c r="A125" s="169" t="s">
        <v>124</v>
      </c>
      <c r="B125" s="167"/>
      <c r="C125" s="167">
        <v>9668.461538461539</v>
      </c>
      <c r="D125" s="167">
        <v>6072.0769230769229</v>
      </c>
      <c r="E125" s="167"/>
      <c r="F125" s="167"/>
      <c r="G125" s="167"/>
      <c r="H125" s="167"/>
      <c r="I125" s="167">
        <v>13761.538461538461</v>
      </c>
      <c r="J125" s="167"/>
      <c r="K125" s="167"/>
      <c r="L125" s="167"/>
      <c r="M125" s="167">
        <v>29502.076923076922</v>
      </c>
    </row>
    <row r="126" spans="1:13" x14ac:dyDescent="0.35">
      <c r="A126" s="169" t="s">
        <v>272</v>
      </c>
      <c r="B126" s="167">
        <v>6744.83826056826</v>
      </c>
      <c r="C126" s="167">
        <v>26777.133456652336</v>
      </c>
      <c r="D126" s="167">
        <v>219095.99463052634</v>
      </c>
      <c r="E126" s="167">
        <v>7200</v>
      </c>
      <c r="F126" s="167">
        <v>118092.61767098472</v>
      </c>
      <c r="G126" s="167">
        <v>17376.969877472471</v>
      </c>
      <c r="H126" s="167">
        <v>60303.259916634364</v>
      </c>
      <c r="I126" s="167">
        <v>1541664.1177737741</v>
      </c>
      <c r="J126" s="167">
        <v>16643.38756598594</v>
      </c>
      <c r="K126" s="167">
        <v>8148.438176316683</v>
      </c>
      <c r="L126" s="167">
        <v>6376</v>
      </c>
      <c r="M126" s="167">
        <v>2028422.7573289152</v>
      </c>
    </row>
    <row r="137" spans="1:3" x14ac:dyDescent="0.35">
      <c r="A137" s="153" t="s">
        <v>271</v>
      </c>
      <c r="B137" t="s">
        <v>280</v>
      </c>
    </row>
    <row r="138" spans="1:3" x14ac:dyDescent="0.35">
      <c r="A138" s="154" t="s">
        <v>285</v>
      </c>
      <c r="B138" s="172">
        <v>0.76003097096183303</v>
      </c>
      <c r="C138" s="172">
        <f>1-B138</f>
        <v>0.23996902903816697</v>
      </c>
    </row>
    <row r="139" spans="1:3" x14ac:dyDescent="0.35">
      <c r="A139" s="154" t="s">
        <v>286</v>
      </c>
      <c r="B139" s="172">
        <v>0.10801298390037692</v>
      </c>
      <c r="C139" s="172">
        <f t="shared" ref="C139:C140" si="0">1-B139</f>
        <v>0.89198701609962305</v>
      </c>
    </row>
    <row r="140" spans="1:3" x14ac:dyDescent="0.35">
      <c r="A140" s="154" t="s">
        <v>282</v>
      </c>
      <c r="B140" s="172">
        <v>5.8218937469668525E-2</v>
      </c>
      <c r="C140" s="172">
        <f t="shared" si="0"/>
        <v>0.94178106253033145</v>
      </c>
    </row>
    <row r="141" spans="1:3" x14ac:dyDescent="0.35">
      <c r="A141" s="154" t="s">
        <v>288</v>
      </c>
      <c r="B141" s="172">
        <v>2.9729137921940603E-2</v>
      </c>
    </row>
    <row r="142" spans="1:3" x14ac:dyDescent="0.35">
      <c r="A142" s="154" t="s">
        <v>134</v>
      </c>
      <c r="B142" s="172">
        <v>1.3200962846578014E-2</v>
      </c>
    </row>
    <row r="143" spans="1:3" x14ac:dyDescent="0.35">
      <c r="A143" s="154" t="s">
        <v>283</v>
      </c>
      <c r="B143" s="172">
        <v>8.5667397561418421E-3</v>
      </c>
    </row>
    <row r="144" spans="1:3" x14ac:dyDescent="0.35">
      <c r="A144" s="154" t="s">
        <v>287</v>
      </c>
      <c r="B144" s="172">
        <v>8.2050881680613905E-3</v>
      </c>
    </row>
    <row r="145" spans="1:2" x14ac:dyDescent="0.35">
      <c r="A145" s="154" t="s">
        <v>284</v>
      </c>
      <c r="B145" s="172">
        <v>4.0171301307261901E-3</v>
      </c>
    </row>
    <row r="146" spans="1:2" x14ac:dyDescent="0.35">
      <c r="A146" s="154" t="s">
        <v>289</v>
      </c>
      <c r="B146" s="172">
        <v>3.5495559167760303E-3</v>
      </c>
    </row>
    <row r="147" spans="1:2" x14ac:dyDescent="0.35">
      <c r="A147" s="154" t="s">
        <v>50</v>
      </c>
      <c r="B147" s="172">
        <v>3.3251639660413076E-3</v>
      </c>
    </row>
    <row r="148" spans="1:2" x14ac:dyDescent="0.35">
      <c r="A148" s="154" t="s">
        <v>290</v>
      </c>
      <c r="B148" s="172">
        <v>3.1433289618561068E-3</v>
      </c>
    </row>
    <row r="149" spans="1:2" x14ac:dyDescent="0.35">
      <c r="A149" s="154" t="s">
        <v>272</v>
      </c>
      <c r="B149" s="17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Feuil1</vt:lpstr>
      <vt:lpstr>Feuil2</vt:lpstr>
      <vt:lpstr>database</vt:lpstr>
      <vt:lpstr>Zone</vt:lpstr>
      <vt:lpstr>Operation</vt:lpstr>
      <vt:lpstr>Machines</vt:lpstr>
      <vt:lpstr>Fréquence</vt:lpstr>
      <vt:lpstr>Couts</vt:lpstr>
      <vt:lpstr>Pivot Tables</vt:lpstr>
      <vt:lpstr>Cout_monthly</vt:lpstr>
      <vt:lpstr>Tableau_de_bord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2025-04-04T11:09:48Z</dcterms:modified>
</cp:coreProperties>
</file>