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codeName="ThisWorkbook" defaultThemeVersion="124226"/>
  <xr:revisionPtr revIDLastSave="0" documentId="13_ncr:1_{9A5D5F94-F383-4D74-B0DE-6DF761FAC808}" xr6:coauthVersionLast="47" xr6:coauthVersionMax="47" xr10:uidLastSave="{00000000-0000-0000-0000-000000000000}"/>
  <bookViews>
    <workbookView xWindow="10718" yWindow="0" windowWidth="10965" windowHeight="12863" tabRatio="318" xr2:uid="{00000000-000D-0000-FFFF-FFFF00000000}"/>
  </bookViews>
  <sheets>
    <sheet name="Sayfa1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4" i="9" l="1"/>
  <c r="AM14" i="9"/>
  <c r="AL14" i="9"/>
  <c r="AN13" i="9"/>
  <c r="AM13" i="9"/>
  <c r="AL13" i="9"/>
  <c r="AN12" i="9"/>
  <c r="AM12" i="9"/>
  <c r="AL12" i="9"/>
  <c r="AN11" i="9"/>
  <c r="AM11" i="9"/>
  <c r="AL11" i="9"/>
  <c r="AN10" i="9"/>
  <c r="AM10" i="9"/>
  <c r="AL10" i="9"/>
  <c r="AN9" i="9"/>
  <c r="AM9" i="9"/>
  <c r="AL9" i="9"/>
  <c r="AN8" i="9"/>
  <c r="AM8" i="9"/>
  <c r="AL8" i="9"/>
  <c r="AN7" i="9"/>
  <c r="AM7" i="9"/>
  <c r="AL7" i="9"/>
  <c r="AN6" i="9"/>
  <c r="AM6" i="9"/>
  <c r="AL6" i="9"/>
  <c r="AN5" i="9"/>
  <c r="AM5" i="9"/>
  <c r="AL5" i="9"/>
  <c r="AN4" i="9"/>
  <c r="AM4" i="9"/>
  <c r="AL4" i="9"/>
  <c r="AN3" i="9"/>
  <c r="AM3" i="9"/>
  <c r="AL3" i="9"/>
  <c r="AN2" i="9"/>
  <c r="AM2" i="9"/>
  <c r="AL2" i="9"/>
  <c r="AE14" i="9"/>
  <c r="AB14" i="9"/>
  <c r="AD14" i="9" s="1"/>
  <c r="AE13" i="9"/>
  <c r="AB13" i="9"/>
  <c r="AD13" i="9" s="1"/>
  <c r="AE12" i="9"/>
  <c r="AC12" i="9"/>
  <c r="AB12" i="9"/>
  <c r="AD12" i="9" s="1"/>
  <c r="AE11" i="9"/>
  <c r="AB11" i="9"/>
  <c r="AD11" i="9" s="1"/>
  <c r="AE10" i="9"/>
  <c r="AB10" i="9"/>
  <c r="AD10" i="9" s="1"/>
  <c r="AE9" i="9"/>
  <c r="AB9" i="9"/>
  <c r="AD9" i="9" s="1"/>
  <c r="AE8" i="9"/>
  <c r="AC8" i="9"/>
  <c r="AB8" i="9"/>
  <c r="AD8" i="9" s="1"/>
  <c r="AE7" i="9"/>
  <c r="AB7" i="9"/>
  <c r="AD7" i="9" s="1"/>
  <c r="AE6" i="9"/>
  <c r="AB6" i="9"/>
  <c r="AD6" i="9" s="1"/>
  <c r="AE5" i="9"/>
  <c r="AB5" i="9"/>
  <c r="AD5" i="9" s="1"/>
  <c r="AE4" i="9"/>
  <c r="AC4" i="9"/>
  <c r="AB4" i="9"/>
  <c r="AD4" i="9" s="1"/>
  <c r="AE3" i="9"/>
  <c r="AB3" i="9"/>
  <c r="AD3" i="9" s="1"/>
  <c r="AE2" i="9"/>
  <c r="AB2" i="9"/>
  <c r="AD2" i="9" s="1"/>
  <c r="AI14" i="9"/>
  <c r="S14" i="9"/>
  <c r="R14" i="9"/>
  <c r="C14" i="9"/>
  <c r="AI13" i="9"/>
  <c r="S13" i="9"/>
  <c r="R13" i="9"/>
  <c r="C13" i="9"/>
  <c r="AI12" i="9"/>
  <c r="S12" i="9"/>
  <c r="R12" i="9"/>
  <c r="C12" i="9"/>
  <c r="AI11" i="9"/>
  <c r="S11" i="9"/>
  <c r="R11" i="9"/>
  <c r="C11" i="9"/>
  <c r="AI10" i="9"/>
  <c r="S10" i="9"/>
  <c r="R10" i="9"/>
  <c r="C10" i="9"/>
  <c r="AI9" i="9"/>
  <c r="S9" i="9"/>
  <c r="R9" i="9"/>
  <c r="C9" i="9"/>
  <c r="AI8" i="9"/>
  <c r="S8" i="9"/>
  <c r="R8" i="9"/>
  <c r="C8" i="9"/>
  <c r="AI7" i="9"/>
  <c r="S7" i="9"/>
  <c r="R7" i="9"/>
  <c r="C7" i="9"/>
  <c r="AI6" i="9"/>
  <c r="S6" i="9"/>
  <c r="R6" i="9"/>
  <c r="C6" i="9"/>
  <c r="AI5" i="9"/>
  <c r="S5" i="9"/>
  <c r="R5" i="9"/>
  <c r="C5" i="9"/>
  <c r="AI4" i="9"/>
  <c r="S4" i="9"/>
  <c r="R4" i="9"/>
  <c r="C4" i="9"/>
  <c r="AI3" i="9"/>
  <c r="S3" i="9"/>
  <c r="R3" i="9"/>
  <c r="C3" i="9"/>
  <c r="A3" i="9"/>
  <c r="J3" i="9" s="1"/>
  <c r="AI2" i="9"/>
  <c r="S2" i="9"/>
  <c r="R2" i="9"/>
  <c r="J2" i="9"/>
  <c r="C2" i="9"/>
  <c r="AC3" i="9" l="1"/>
  <c r="AC7" i="9"/>
  <c r="AC11" i="9"/>
  <c r="AC5" i="9"/>
  <c r="AC9" i="9"/>
  <c r="AC13" i="9"/>
  <c r="AC2" i="9"/>
  <c r="AC6" i="9"/>
  <c r="AC10" i="9"/>
  <c r="AC14" i="9"/>
  <c r="AG3" i="9"/>
  <c r="AH3" i="9" s="1"/>
  <c r="AJ3" i="9" s="1"/>
  <c r="AK3" i="9" s="1"/>
  <c r="U2" i="9"/>
  <c r="W2" i="9" s="1"/>
  <c r="AO3" i="9"/>
  <c r="U3" i="9"/>
  <c r="W3" i="9" s="1"/>
  <c r="A4" i="9"/>
  <c r="AO2" i="9"/>
  <c r="V3" i="9" l="1"/>
  <c r="Q3" i="9"/>
  <c r="T3" i="9" s="1"/>
  <c r="X3" i="9" s="1"/>
  <c r="Z3" i="9" s="1"/>
  <c r="AA3" i="9" s="1"/>
  <c r="Q2" i="9"/>
  <c r="T2" i="9" s="1"/>
  <c r="X2" i="9" s="1"/>
  <c r="Z2" i="9" s="1"/>
  <c r="AA2" i="9" s="1"/>
  <c r="AG2" i="9"/>
  <c r="AH2" i="9" s="1"/>
  <c r="AJ2" i="9" s="1"/>
  <c r="AK2" i="9" s="1"/>
  <c r="V2" i="9"/>
  <c r="J4" i="9"/>
  <c r="A5" i="9"/>
  <c r="AO4" i="9" l="1"/>
  <c r="U4" i="9"/>
  <c r="W4" i="9" s="1"/>
  <c r="A6" i="9"/>
  <c r="J5" i="9"/>
  <c r="V4" i="9" l="1"/>
  <c r="AO5" i="9"/>
  <c r="U5" i="9"/>
  <c r="W5" i="9" s="1"/>
  <c r="J6" i="9"/>
  <c r="A7" i="9"/>
  <c r="Q4" i="9"/>
  <c r="T4" i="9" s="1"/>
  <c r="AG4" i="9"/>
  <c r="AH4" i="9" s="1"/>
  <c r="V5" i="9" l="1"/>
  <c r="X4" i="9"/>
  <c r="Z4" i="9" s="1"/>
  <c r="AA4" i="9" s="1"/>
  <c r="AJ4" i="9"/>
  <c r="AK4" i="9" s="1"/>
  <c r="AO6" i="9"/>
  <c r="U6" i="9"/>
  <c r="W6" i="9" s="1"/>
  <c r="Q5" i="9"/>
  <c r="T5" i="9" s="1"/>
  <c r="AG5" i="9"/>
  <c r="AH5" i="9" s="1"/>
  <c r="J7" i="9"/>
  <c r="A8" i="9"/>
  <c r="V6" i="9" l="1"/>
  <c r="AJ5" i="9"/>
  <c r="AK5" i="9" s="1"/>
  <c r="J8" i="9"/>
  <c r="A9" i="9"/>
  <c r="X5" i="9"/>
  <c r="Z5" i="9" s="1"/>
  <c r="AA5" i="9" s="1"/>
  <c r="AO7" i="9"/>
  <c r="U7" i="9"/>
  <c r="W7" i="9" s="1"/>
  <c r="AG6" i="9"/>
  <c r="AH6" i="9" s="1"/>
  <c r="Q6" i="9"/>
  <c r="T6" i="9" s="1"/>
  <c r="V7" i="9" l="1"/>
  <c r="J9" i="9"/>
  <c r="A10" i="9"/>
  <c r="U8" i="9"/>
  <c r="AO8" i="9"/>
  <c r="W8" i="9"/>
  <c r="V8" i="9" s="1"/>
  <c r="X6" i="9"/>
  <c r="Z6" i="9" s="1"/>
  <c r="AA6" i="9" s="1"/>
  <c r="AJ6" i="9"/>
  <c r="AK6" i="9" s="1"/>
  <c r="AG7" i="9"/>
  <c r="AH7" i="9" s="1"/>
  <c r="Q7" i="9"/>
  <c r="T7" i="9" s="1"/>
  <c r="AJ7" i="9" l="1"/>
  <c r="AK7" i="9" s="1"/>
  <c r="AG8" i="9"/>
  <c r="AH8" i="9" s="1"/>
  <c r="Q8" i="9"/>
  <c r="T8" i="9" s="1"/>
  <c r="J10" i="9"/>
  <c r="A11" i="9"/>
  <c r="X7" i="9"/>
  <c r="Z7" i="9" s="1"/>
  <c r="AA7" i="9" s="1"/>
  <c r="U9" i="9"/>
  <c r="W9" i="9" s="1"/>
  <c r="V9" i="9" s="1"/>
  <c r="AO9" i="9"/>
  <c r="AJ8" i="9" l="1"/>
  <c r="AK8" i="9" s="1"/>
  <c r="AO10" i="9"/>
  <c r="U10" i="9"/>
  <c r="W10" i="9" s="1"/>
  <c r="Q9" i="9"/>
  <c r="T9" i="9" s="1"/>
  <c r="AG9" i="9"/>
  <c r="AH9" i="9" s="1"/>
  <c r="A12" i="9"/>
  <c r="J11" i="9"/>
  <c r="X8" i="9"/>
  <c r="Z8" i="9" s="1"/>
  <c r="AA8" i="9" s="1"/>
  <c r="V10" i="9" l="1"/>
  <c r="Q10" i="9"/>
  <c r="T10" i="9" s="1"/>
  <c r="AG10" i="9"/>
  <c r="AH10" i="9" s="1"/>
  <c r="X9" i="9"/>
  <c r="Z9" i="9" s="1"/>
  <c r="AA9" i="9" s="1"/>
  <c r="AO11" i="9"/>
  <c r="U11" i="9"/>
  <c r="W11" i="9" s="1"/>
  <c r="V11" i="9" s="1"/>
  <c r="AJ9" i="9"/>
  <c r="AK9" i="9" s="1"/>
  <c r="J12" i="9"/>
  <c r="A13" i="9"/>
  <c r="AJ10" i="9" l="1"/>
  <c r="AK10" i="9" s="1"/>
  <c r="AG11" i="9"/>
  <c r="AH11" i="9" s="1"/>
  <c r="Q11" i="9"/>
  <c r="T11" i="9" s="1"/>
  <c r="AO12" i="9"/>
  <c r="U12" i="9"/>
  <c r="W12" i="9" s="1"/>
  <c r="V12" i="9" s="1"/>
  <c r="X10" i="9"/>
  <c r="Z10" i="9" s="1"/>
  <c r="AA10" i="9" s="1"/>
  <c r="J13" i="9"/>
  <c r="A14" i="9"/>
  <c r="J14" i="9" s="1"/>
  <c r="X11" i="9" l="1"/>
  <c r="Z11" i="9" s="1"/>
  <c r="AA11" i="9" s="1"/>
  <c r="AG12" i="9"/>
  <c r="AH12" i="9" s="1"/>
  <c r="Q12" i="9"/>
  <c r="T12" i="9" s="1"/>
  <c r="AO14" i="9"/>
  <c r="U14" i="9"/>
  <c r="W14" i="9" s="1"/>
  <c r="AO13" i="9"/>
  <c r="U13" i="9"/>
  <c r="W13" i="9" s="1"/>
  <c r="V13" i="9" s="1"/>
  <c r="AJ11" i="9"/>
  <c r="AK11" i="9" s="1"/>
  <c r="Q13" i="9" l="1"/>
  <c r="T13" i="9" s="1"/>
  <c r="AG13" i="9"/>
  <c r="AH13" i="9" s="1"/>
  <c r="AJ12" i="9"/>
  <c r="AK12" i="9" s="1"/>
  <c r="X12" i="9"/>
  <c r="Z12" i="9" s="1"/>
  <c r="AA12" i="9" s="1"/>
  <c r="X13" i="9" l="1"/>
  <c r="Z13" i="9" s="1"/>
  <c r="AA13" i="9" s="1"/>
  <c r="Q14" i="9"/>
  <c r="T14" i="9" s="1"/>
  <c r="AG14" i="9"/>
  <c r="AH14" i="9" s="1"/>
  <c r="AJ13" i="9"/>
  <c r="AK13" i="9" s="1"/>
  <c r="V14" i="9"/>
  <c r="X14" i="9" l="1"/>
  <c r="Z14" i="9" s="1"/>
  <c r="AA14" i="9" s="1"/>
  <c r="AJ14" i="9"/>
  <c r="AK14" i="9" s="1"/>
</calcChain>
</file>

<file path=xl/sharedStrings.xml><?xml version="1.0" encoding="utf-8"?>
<sst xmlns="http://schemas.openxmlformats.org/spreadsheetml/2006/main" count="41" uniqueCount="35">
  <si>
    <t>PI</t>
  </si>
  <si>
    <t>d</t>
  </si>
  <si>
    <t>derinlik</t>
  </si>
  <si>
    <t>γ</t>
  </si>
  <si>
    <t>IDO (FC)</t>
  </si>
  <si>
    <t>α</t>
  </si>
  <si>
    <t>β</t>
  </si>
  <si>
    <t>Mw</t>
  </si>
  <si>
    <t>CRR</t>
  </si>
  <si>
    <t>F.S</t>
  </si>
  <si>
    <t>Vs</t>
  </si>
  <si>
    <t>CSR</t>
  </si>
  <si>
    <t>SPT-N</t>
  </si>
  <si>
    <t>LL</t>
  </si>
  <si>
    <t>PL</t>
  </si>
  <si>
    <t>Cv</t>
  </si>
  <si>
    <t>w(z)</t>
  </si>
  <si>
    <t>SDS</t>
  </si>
  <si>
    <t>wn</t>
  </si>
  <si>
    <t>σv'</t>
  </si>
  <si>
    <t>CN</t>
  </si>
  <si>
    <t>CR</t>
  </si>
  <si>
    <t>Cs</t>
  </si>
  <si>
    <t>CB</t>
  </si>
  <si>
    <t>CE</t>
  </si>
  <si>
    <t xml:space="preserve">N1,60 </t>
  </si>
  <si>
    <t xml:space="preserve">N1,60f </t>
  </si>
  <si>
    <t>rd</t>
  </si>
  <si>
    <t>τdeprem</t>
  </si>
  <si>
    <t>CRRM7.5</t>
  </si>
  <si>
    <t>τr</t>
  </si>
  <si>
    <t>F(z)(Iwasaki)</t>
  </si>
  <si>
    <t>F(z)(Sönmez)</t>
  </si>
  <si>
    <t>Vs1</t>
  </si>
  <si>
    <t>V*s1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</si>
</sst>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1" xfId="0" applyNumberFormat="1" applyBorder="1"/>
    <xf numFmtId="2" fontId="2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1" applyNumberFormat="1" applyFont="1"/>
    <xf numFmtId="2" fontId="0" fillId="0" borderId="0" xfId="1" applyNumberFormat="1" applyFont="1"/>
  </cellXfs>
  <cellStyles count="2">
    <cellStyle name="Normal" xfId="0" builtinId="0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9574-15EF-4CFD-AC98-5C476AFDFE6B}">
  <dimension ref="A1:AO14"/>
  <sheetViews>
    <sheetView tabSelected="1" topLeftCell="AG1" workbookViewId="0">
      <selection activeCell="AN1" sqref="AN1"/>
    </sheetView>
  </sheetViews>
  <sheetFormatPr defaultRowHeight="14.25" x14ac:dyDescent="0.45"/>
  <sheetData>
    <row r="1" spans="1:41" s="3" customFormat="1" x14ac:dyDescent="0.45">
      <c r="A1" s="3" t="s">
        <v>2</v>
      </c>
      <c r="B1" s="3" t="s">
        <v>17</v>
      </c>
      <c r="C1" s="3" t="s">
        <v>0</v>
      </c>
      <c r="D1" s="3" t="s">
        <v>13</v>
      </c>
      <c r="E1" s="3" t="s">
        <v>14</v>
      </c>
      <c r="F1" s="3" t="s">
        <v>18</v>
      </c>
      <c r="G1" s="3" t="s">
        <v>4</v>
      </c>
      <c r="H1" s="3" t="s">
        <v>12</v>
      </c>
      <c r="I1" s="3" t="s">
        <v>3</v>
      </c>
      <c r="J1" s="3" t="s">
        <v>1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5</v>
      </c>
      <c r="S1" s="3" t="s">
        <v>6</v>
      </c>
      <c r="T1" s="3" t="s">
        <v>26</v>
      </c>
      <c r="U1" s="3" t="s">
        <v>27</v>
      </c>
      <c r="V1" s="3" t="s">
        <v>11</v>
      </c>
      <c r="W1" s="3" t="s">
        <v>28</v>
      </c>
      <c r="X1" s="3" t="s">
        <v>29</v>
      </c>
      <c r="Y1" s="3" t="s">
        <v>7</v>
      </c>
      <c r="Z1" s="3" t="s">
        <v>8</v>
      </c>
      <c r="AA1" s="3" t="s">
        <v>30</v>
      </c>
      <c r="AB1" s="3" t="s">
        <v>9</v>
      </c>
      <c r="AC1" s="3" t="s">
        <v>31</v>
      </c>
      <c r="AD1" s="3" t="s">
        <v>32</v>
      </c>
      <c r="AE1" s="3" t="s">
        <v>16</v>
      </c>
      <c r="AF1" s="3" t="s">
        <v>10</v>
      </c>
      <c r="AG1" s="3" t="s">
        <v>15</v>
      </c>
      <c r="AH1" s="3" t="s">
        <v>33</v>
      </c>
      <c r="AI1" s="3" t="s">
        <v>34</v>
      </c>
      <c r="AJ1" s="3" t="s">
        <v>29</v>
      </c>
      <c r="AK1" s="3" t="s">
        <v>8</v>
      </c>
      <c r="AL1" s="3" t="s">
        <v>9</v>
      </c>
      <c r="AM1" s="3" t="s">
        <v>31</v>
      </c>
      <c r="AN1" s="3" t="s">
        <v>32</v>
      </c>
      <c r="AO1" s="3" t="s">
        <v>16</v>
      </c>
    </row>
    <row r="2" spans="1:41" x14ac:dyDescent="0.45">
      <c r="A2">
        <v>1.5</v>
      </c>
      <c r="B2">
        <v>1.32</v>
      </c>
      <c r="C2">
        <f>D2-E2</f>
        <v>52.82</v>
      </c>
      <c r="D2">
        <v>60.1</v>
      </c>
      <c r="E2">
        <v>7.28</v>
      </c>
      <c r="F2">
        <v>29.7</v>
      </c>
      <c r="G2">
        <v>92.93</v>
      </c>
      <c r="H2">
        <v>50</v>
      </c>
      <c r="I2">
        <v>17</v>
      </c>
      <c r="J2">
        <f t="shared" ref="J2:J14" si="0">A2</f>
        <v>1.5</v>
      </c>
      <c r="K2" s="4">
        <v>25.5</v>
      </c>
      <c r="L2" s="5">
        <v>1.7</v>
      </c>
      <c r="M2">
        <v>0.75</v>
      </c>
      <c r="N2">
        <v>1.1000000000000001</v>
      </c>
      <c r="O2">
        <v>1</v>
      </c>
      <c r="P2">
        <v>0.75</v>
      </c>
      <c r="Q2">
        <f>H2*L2*M2*N2*O2*P2</f>
        <v>52.59375</v>
      </c>
      <c r="R2">
        <f>IF(G2&lt;=5,0,(IF(G2&lt;=35,EXP(1.76-(190/(G2^2))),5)))</f>
        <v>5</v>
      </c>
      <c r="S2">
        <f>IF(G2&lt;=5,1,(IF(G2&lt;=35,0.99+(G2^1.5)/1000,1.2)))</f>
        <v>1.2</v>
      </c>
      <c r="T2">
        <f>IF(R2+S2*Q2&lt;34,R2+S2*Q2,33.9)</f>
        <v>33.9</v>
      </c>
      <c r="U2">
        <f>IF(J2&lt;=9.15,1-0.00765*J2,(IF(J2&lt;=23,1.174-0.0267*J2,IF(J2&lt;=30,0.744-0.008*J2,0.5))))</f>
        <v>0.98852499999999999</v>
      </c>
      <c r="V2">
        <f>W2/K2</f>
        <v>0.33926178000000001</v>
      </c>
      <c r="W2">
        <f t="shared" ref="W2:W14" si="1">0.65*(I2*J2)*(0.4*B2)*U2</f>
        <v>8.6511753900000006</v>
      </c>
      <c r="X2">
        <f>(1/(34-T2))+(T2/135)+(50/((10*T2+45)^2))-(1/200)</f>
        <v>10.246450195312358</v>
      </c>
      <c r="Y2">
        <v>7.5</v>
      </c>
      <c r="Z2">
        <f>X2*((10^2.24)/(Y2^2.56))</f>
        <v>10.24275062139049</v>
      </c>
      <c r="AA2">
        <f>Z2*K2</f>
        <v>261.19014084545751</v>
      </c>
      <c r="AB2" s="2">
        <f>IF(OR($B$4&gt;=J2,T2&gt;=30),2,IF(AA2/W2&gt;2,2,AA2/W2))</f>
        <v>2</v>
      </c>
      <c r="AC2" s="1">
        <f>IF(AB2&lt;1, 1-AB2,0)</f>
        <v>0</v>
      </c>
      <c r="AD2" s="1">
        <f>IF(AB2&lt;0.95,1-AB2,IF(AB2&lt;1.2,2*(10^6)*EXP(-18.427*AB2),0))</f>
        <v>0</v>
      </c>
      <c r="AE2" s="1">
        <f>+IF(J2&lt;=20,((10*J2-0.25*(J2^2))),0)</f>
        <v>14.4375</v>
      </c>
      <c r="AF2">
        <v>110</v>
      </c>
      <c r="AG2">
        <f t="shared" ref="AG2:AG14" si="2">IF(((100/(K2))^0.25)&lt;=1.4,((100/(K2))^0.25),1.4)</f>
        <v>1.4</v>
      </c>
      <c r="AH2">
        <f>AF2*AG2</f>
        <v>154</v>
      </c>
      <c r="AI2">
        <f t="shared" ref="AI2:AI14" si="3">IF(G2&lt;=5,220,(IF(G2&lt;=35,220-0.5*(G2-5),205)))</f>
        <v>205</v>
      </c>
      <c r="AJ2">
        <f>0.022*(AH2/100)^2+2.8*(1/(AI2-AH2)-1/AI2)</f>
        <v>9.3418624198947864E-2</v>
      </c>
      <c r="AK2">
        <f t="shared" ref="AK2:AK14" si="4">AJ2*((10^2.24)/(Y2^2.56))</f>
        <v>9.3384894556065176E-2</v>
      </c>
      <c r="AL2" s="1">
        <f>IF(AK2&lt;1, 1-AK2,0)</f>
        <v>0.90661510544393487</v>
      </c>
      <c r="AM2" s="1">
        <f t="shared" ref="AM2:AM14" si="5">IF(AK2&lt;0.95,1-AK2,IF(AK2&lt;1.2,2*(10^6)*EXP(-18.427*AK2),0))</f>
        <v>0.90661510544393487</v>
      </c>
      <c r="AN2" s="1">
        <f>IF(G2&lt;=20,((10*G2-0.25*(G2^2))),0)</f>
        <v>0</v>
      </c>
      <c r="AO2">
        <f>IF(J2&lt;=20,((10*J2-0.25*(J2^2))),0)</f>
        <v>14.4375</v>
      </c>
    </row>
    <row r="3" spans="1:41" x14ac:dyDescent="0.45">
      <c r="A3">
        <f t="shared" ref="A3:A14" si="6">1.5+A2</f>
        <v>3</v>
      </c>
      <c r="B3">
        <v>1.32</v>
      </c>
      <c r="C3">
        <f t="shared" ref="C3:C14" si="7">D3-E3</f>
        <v>52.82</v>
      </c>
      <c r="D3">
        <v>60.1</v>
      </c>
      <c r="E3">
        <v>7.28</v>
      </c>
      <c r="F3">
        <v>29.7</v>
      </c>
      <c r="G3">
        <v>92.94</v>
      </c>
      <c r="H3">
        <v>50</v>
      </c>
      <c r="I3">
        <v>17</v>
      </c>
      <c r="J3">
        <f t="shared" si="0"/>
        <v>3</v>
      </c>
      <c r="K3" s="4">
        <v>51</v>
      </c>
      <c r="L3" s="5">
        <v>1.3694739221793935</v>
      </c>
      <c r="M3">
        <v>0.75</v>
      </c>
      <c r="N3">
        <v>1.1000000000000001</v>
      </c>
      <c r="O3">
        <v>1</v>
      </c>
      <c r="P3">
        <v>0.75</v>
      </c>
      <c r="Q3">
        <f t="shared" ref="Q3:Q14" si="8">H3*L3*M3*N3*O3*P3</f>
        <v>42.36809946742499</v>
      </c>
      <c r="R3">
        <f t="shared" ref="R3:R14" si="9">IF(G3&lt;=5,0,(IF(G3&lt;=35,EXP(1.76-(190/(G3^2))),5)))</f>
        <v>5</v>
      </c>
      <c r="S3">
        <f t="shared" ref="S3:S14" si="10">IF(G3&lt;=5,1,(IF(G3&lt;=35,0.99+(G3^1.5)/1000,1.2)))</f>
        <v>1.2</v>
      </c>
      <c r="T3">
        <f t="shared" ref="T3:T14" si="11">IF(R3+S3*Q3&lt;34,R3+S3*Q3,33.9)</f>
        <v>33.9</v>
      </c>
      <c r="U3">
        <f t="shared" ref="U3:U14" si="12">IF(J3&lt;=9.15,1-0.00765*J3,(IF(J3&lt;=23,1.174-0.0267*J3,IF(J3&lt;=30,0.744-0.008*J3,0.5))))</f>
        <v>0.97704999999999997</v>
      </c>
      <c r="V3">
        <f t="shared" ref="V3:V14" si="13">W3/K3</f>
        <v>0.33532355999999996</v>
      </c>
      <c r="W3">
        <f t="shared" si="1"/>
        <v>17.101501559999999</v>
      </c>
      <c r="X3">
        <f t="shared" ref="X3:X14" si="14">(1/(34-T3))+(T3/135)+(50/((10*T3+45)^2))-(1/200)</f>
        <v>10.246450195312358</v>
      </c>
      <c r="Y3">
        <v>7.5</v>
      </c>
      <c r="Z3">
        <f t="shared" ref="Z3:Z14" si="15">X3*((10^2.24)/(Y3^2.56))</f>
        <v>10.24275062139049</v>
      </c>
      <c r="AA3">
        <f t="shared" ref="AA3:AA14" si="16">Z3*K3</f>
        <v>522.38028169091501</v>
      </c>
      <c r="AB3" s="2">
        <f t="shared" ref="AB3:AB14" si="17">IF(OR($B$4&gt;=J3,T3&gt;=30),2,IF(AA3/W3&gt;2,2,AA3/W3))</f>
        <v>2</v>
      </c>
      <c r="AC3" s="1">
        <f t="shared" ref="AC3:AC14" si="18">IF(AB3&lt;1, 1-AB3,0)</f>
        <v>0</v>
      </c>
      <c r="AD3" s="1">
        <f t="shared" ref="AD3:AD14" si="19">IF(AB3&lt;0.95,1-AB3,IF(AB3&lt;1.2,2*(10^6)*EXP(-18.427*AB3),0))</f>
        <v>0</v>
      </c>
      <c r="AE3" s="1">
        <f>+IF(J3&lt;=20,(10*J3-0.25*(J3^2))-(10*J2-0.25*(J2^2)),0)</f>
        <v>13.3125</v>
      </c>
      <c r="AF3">
        <v>110</v>
      </c>
      <c r="AG3">
        <f t="shared" si="2"/>
        <v>1.183334307804861</v>
      </c>
      <c r="AH3">
        <f t="shared" ref="AH3:AH14" si="20">AF3*AG3</f>
        <v>130.16677385853473</v>
      </c>
      <c r="AI3">
        <f t="shared" si="3"/>
        <v>205</v>
      </c>
      <c r="AJ3">
        <f t="shared" ref="AJ3:AJ14" si="21">0.022*(AH3/100)^2+2.8*(1/(AI3-AH3)-1/AI3)</f>
        <v>6.1033453916247031E-2</v>
      </c>
      <c r="AK3">
        <f t="shared" si="4"/>
        <v>6.10114172332821E-2</v>
      </c>
      <c r="AL3" s="1">
        <f t="shared" ref="AL3:AL14" si="22">IF(AK3&lt;1, 1-AK3,0)</f>
        <v>0.93898858276671793</v>
      </c>
      <c r="AM3" s="1">
        <f t="shared" si="5"/>
        <v>0.93898858276671793</v>
      </c>
      <c r="AN3" s="1">
        <f>IF(G3&lt;=20,(10*G3-0.25*(G3^2))-(10*G2-0.25*(G2^2)),0)</f>
        <v>0</v>
      </c>
      <c r="AO3">
        <f>IF(J3&lt;=20,(10*J3-0.25*(J3^2))-(10*J2-0.25*(J2^2)),0)</f>
        <v>13.3125</v>
      </c>
    </row>
    <row r="4" spans="1:41" x14ac:dyDescent="0.45">
      <c r="A4">
        <f t="shared" si="6"/>
        <v>4.5</v>
      </c>
      <c r="B4">
        <v>1.32</v>
      </c>
      <c r="C4">
        <f t="shared" si="7"/>
        <v>21.499999999999996</v>
      </c>
      <c r="D4">
        <v>36.799999999999997</v>
      </c>
      <c r="E4">
        <v>15.3</v>
      </c>
      <c r="F4">
        <v>23.3</v>
      </c>
      <c r="G4">
        <v>16.059999999999999</v>
      </c>
      <c r="H4">
        <v>30</v>
      </c>
      <c r="I4">
        <v>17</v>
      </c>
      <c r="J4">
        <f t="shared" si="0"/>
        <v>4.5</v>
      </c>
      <c r="K4" s="4">
        <v>71.594999999999999</v>
      </c>
      <c r="L4" s="5">
        <v>1.155839436085875</v>
      </c>
      <c r="M4">
        <v>0.85</v>
      </c>
      <c r="N4">
        <v>1.1000000000000001</v>
      </c>
      <c r="O4">
        <v>1</v>
      </c>
      <c r="P4">
        <v>0.75</v>
      </c>
      <c r="Q4">
        <f t="shared" si="8"/>
        <v>24.315972136656598</v>
      </c>
      <c r="R4">
        <f t="shared" si="9"/>
        <v>2.7824942871769043</v>
      </c>
      <c r="S4">
        <f t="shared" si="10"/>
        <v>1.0543603372893586</v>
      </c>
      <c r="T4">
        <f t="shared" si="11"/>
        <v>28.420290870700804</v>
      </c>
      <c r="U4">
        <f t="shared" si="12"/>
        <v>0.96557499999999996</v>
      </c>
      <c r="V4">
        <f t="shared" si="13"/>
        <v>0.35408867253299814</v>
      </c>
      <c r="W4">
        <f t="shared" si="1"/>
        <v>25.350978510000001</v>
      </c>
      <c r="X4">
        <f t="shared" si="14"/>
        <v>0.38520284786813058</v>
      </c>
      <c r="Y4">
        <v>7.5</v>
      </c>
      <c r="Z4">
        <f t="shared" si="15"/>
        <v>0.38506376688072153</v>
      </c>
      <c r="AA4">
        <f t="shared" si="16"/>
        <v>27.568640389825259</v>
      </c>
      <c r="AB4" s="2">
        <f t="shared" si="17"/>
        <v>1.0874783542951005</v>
      </c>
      <c r="AC4" s="1">
        <f t="shared" si="18"/>
        <v>0</v>
      </c>
      <c r="AD4" s="1">
        <f t="shared" si="19"/>
        <v>3.9647760941433682E-3</v>
      </c>
      <c r="AE4" s="1">
        <f t="shared" ref="AE4:AE14" si="23">+IF(J4&lt;=20,(10*J4-0.25*(J4^2))-(10*J3-0.25*(J3^2)),0)</f>
        <v>12.1875</v>
      </c>
      <c r="AF4">
        <v>150</v>
      </c>
      <c r="AG4">
        <f t="shared" si="2"/>
        <v>1.0871246084043156</v>
      </c>
      <c r="AH4">
        <f t="shared" si="20"/>
        <v>163.06869126064734</v>
      </c>
      <c r="AI4">
        <f t="shared" si="3"/>
        <v>214.47</v>
      </c>
      <c r="AJ4">
        <f t="shared" si="21"/>
        <v>9.9918957943071679E-2</v>
      </c>
      <c r="AK4">
        <f t="shared" si="4"/>
        <v>9.9882881295641573E-2</v>
      </c>
      <c r="AL4" s="1">
        <f t="shared" si="22"/>
        <v>0.9001171187043584</v>
      </c>
      <c r="AM4" s="1">
        <f t="shared" si="5"/>
        <v>0.9001171187043584</v>
      </c>
      <c r="AN4" s="1">
        <f t="shared" ref="AN4:AN14" si="24">IF(G4&lt;=20,(10*G4-0.25*(G4^2))-(10*G3-0.25*(G3^2)),0)</f>
        <v>1326.1799999999998</v>
      </c>
      <c r="AO4">
        <f t="shared" ref="AO4:AO14" si="25">IF(J4&lt;=20,(10*J4-0.25*(J4^2))-(10*J3-0.25*(J3^2)),0)</f>
        <v>12.1875</v>
      </c>
    </row>
    <row r="5" spans="1:41" x14ac:dyDescent="0.45">
      <c r="A5">
        <f t="shared" si="6"/>
        <v>6</v>
      </c>
      <c r="B5">
        <v>1.32</v>
      </c>
      <c r="C5">
        <f t="shared" si="7"/>
        <v>0</v>
      </c>
      <c r="G5">
        <v>95.58</v>
      </c>
      <c r="H5">
        <v>36</v>
      </c>
      <c r="I5">
        <v>19</v>
      </c>
      <c r="J5">
        <f t="shared" si="0"/>
        <v>6</v>
      </c>
      <c r="K5" s="4">
        <v>85.38</v>
      </c>
      <c r="L5" s="5">
        <v>1.0584266821380217</v>
      </c>
      <c r="M5">
        <v>0.85</v>
      </c>
      <c r="N5">
        <v>1.1000000000000001</v>
      </c>
      <c r="O5">
        <v>1</v>
      </c>
      <c r="P5">
        <v>0.75</v>
      </c>
      <c r="Q5">
        <f t="shared" si="8"/>
        <v>26.719981590574356</v>
      </c>
      <c r="R5">
        <f t="shared" si="9"/>
        <v>5</v>
      </c>
      <c r="S5">
        <f t="shared" si="10"/>
        <v>1.2</v>
      </c>
      <c r="T5">
        <f t="shared" si="11"/>
        <v>33.9</v>
      </c>
      <c r="U5">
        <f t="shared" si="12"/>
        <v>0.95409999999999995</v>
      </c>
      <c r="V5">
        <f t="shared" si="13"/>
        <v>0.43720978777231206</v>
      </c>
      <c r="W5">
        <f t="shared" si="1"/>
        <v>37.328971680000002</v>
      </c>
      <c r="X5">
        <f t="shared" si="14"/>
        <v>10.246450195312358</v>
      </c>
      <c r="Y5">
        <v>7.5</v>
      </c>
      <c r="Z5">
        <f t="shared" si="15"/>
        <v>10.24275062139049</v>
      </c>
      <c r="AA5">
        <f t="shared" si="16"/>
        <v>874.52604805431997</v>
      </c>
      <c r="AB5" s="2">
        <f t="shared" si="17"/>
        <v>2</v>
      </c>
      <c r="AC5" s="1">
        <f t="shared" si="18"/>
        <v>0</v>
      </c>
      <c r="AD5" s="1">
        <f t="shared" si="19"/>
        <v>0</v>
      </c>
      <c r="AE5" s="1">
        <f t="shared" si="23"/>
        <v>11.0625</v>
      </c>
      <c r="AF5">
        <v>150</v>
      </c>
      <c r="AG5">
        <f t="shared" si="2"/>
        <v>1.0403056624409821</v>
      </c>
      <c r="AH5">
        <f t="shared" si="20"/>
        <v>156.04584936614731</v>
      </c>
      <c r="AI5">
        <f t="shared" si="3"/>
        <v>205</v>
      </c>
      <c r="AJ5">
        <f t="shared" si="21"/>
        <v>9.7108514913288979E-2</v>
      </c>
      <c r="AK5">
        <f t="shared" si="4"/>
        <v>9.7073453001844875E-2</v>
      </c>
      <c r="AL5" s="1">
        <f t="shared" si="22"/>
        <v>0.90292654699815511</v>
      </c>
      <c r="AM5" s="1">
        <f t="shared" si="5"/>
        <v>0.90292654699815511</v>
      </c>
      <c r="AN5" s="1">
        <f t="shared" si="24"/>
        <v>0</v>
      </c>
      <c r="AO5">
        <f t="shared" si="25"/>
        <v>11.0625</v>
      </c>
    </row>
    <row r="6" spans="1:41" x14ac:dyDescent="0.45">
      <c r="A6">
        <f t="shared" si="6"/>
        <v>7.5</v>
      </c>
      <c r="B6">
        <v>1.32</v>
      </c>
      <c r="C6">
        <f t="shared" si="7"/>
        <v>0</v>
      </c>
      <c r="G6">
        <v>24.9</v>
      </c>
      <c r="H6">
        <v>41</v>
      </c>
      <c r="I6">
        <v>19</v>
      </c>
      <c r="J6">
        <f t="shared" si="0"/>
        <v>7.5</v>
      </c>
      <c r="K6" s="4">
        <v>99.164999999999992</v>
      </c>
      <c r="L6" s="5">
        <v>0.98210889996635953</v>
      </c>
      <c r="M6">
        <v>0.95</v>
      </c>
      <c r="N6">
        <v>1.1000000000000001</v>
      </c>
      <c r="O6">
        <v>1</v>
      </c>
      <c r="P6">
        <v>0.75</v>
      </c>
      <c r="Q6">
        <f t="shared" si="8"/>
        <v>31.558841864294006</v>
      </c>
      <c r="R6">
        <f t="shared" si="9"/>
        <v>4.2782897122252681</v>
      </c>
      <c r="S6">
        <f t="shared" si="10"/>
        <v>1.1142507505007515</v>
      </c>
      <c r="T6">
        <f t="shared" si="11"/>
        <v>33.9</v>
      </c>
      <c r="U6">
        <f t="shared" si="12"/>
        <v>0.94262500000000005</v>
      </c>
      <c r="V6">
        <f t="shared" si="13"/>
        <v>0.46488194675540767</v>
      </c>
      <c r="W6">
        <f t="shared" si="1"/>
        <v>46.100018249999998</v>
      </c>
      <c r="X6">
        <f t="shared" si="14"/>
        <v>10.246450195312358</v>
      </c>
      <c r="Y6">
        <v>7.5</v>
      </c>
      <c r="Z6">
        <f t="shared" si="15"/>
        <v>10.24275062139049</v>
      </c>
      <c r="AA6">
        <f t="shared" si="16"/>
        <v>1015.7223653701878</v>
      </c>
      <c r="AB6" s="2">
        <f t="shared" si="17"/>
        <v>2</v>
      </c>
      <c r="AC6" s="1">
        <f t="shared" si="18"/>
        <v>0</v>
      </c>
      <c r="AD6" s="1">
        <f t="shared" si="19"/>
        <v>0</v>
      </c>
      <c r="AE6" s="1">
        <f t="shared" si="23"/>
        <v>9.9375</v>
      </c>
      <c r="AF6">
        <v>150</v>
      </c>
      <c r="AG6">
        <f t="shared" si="2"/>
        <v>1.002098462831351</v>
      </c>
      <c r="AH6">
        <f t="shared" si="20"/>
        <v>150.31476942470263</v>
      </c>
      <c r="AI6">
        <f t="shared" si="3"/>
        <v>210.05</v>
      </c>
      <c r="AJ6">
        <f t="shared" si="21"/>
        <v>8.3251317519954127E-2</v>
      </c>
      <c r="AK6">
        <f t="shared" si="4"/>
        <v>8.3221258875507798E-2</v>
      </c>
      <c r="AL6" s="1">
        <f t="shared" si="22"/>
        <v>0.9167787411244922</v>
      </c>
      <c r="AM6" s="1">
        <f t="shared" si="5"/>
        <v>0.9167787411244922</v>
      </c>
      <c r="AN6" s="1">
        <f t="shared" si="24"/>
        <v>0</v>
      </c>
      <c r="AO6">
        <f t="shared" si="25"/>
        <v>9.9375</v>
      </c>
    </row>
    <row r="7" spans="1:41" x14ac:dyDescent="0.45">
      <c r="A7">
        <f t="shared" si="6"/>
        <v>9</v>
      </c>
      <c r="B7">
        <v>1.32</v>
      </c>
      <c r="C7">
        <f t="shared" si="7"/>
        <v>0</v>
      </c>
      <c r="G7">
        <v>32.619999999999997</v>
      </c>
      <c r="H7">
        <v>41</v>
      </c>
      <c r="I7">
        <v>19</v>
      </c>
      <c r="J7">
        <f t="shared" si="0"/>
        <v>9</v>
      </c>
      <c r="K7" s="4">
        <v>112.94999999999999</v>
      </c>
      <c r="L7" s="5">
        <v>0.92022862220834778</v>
      </c>
      <c r="M7">
        <v>0.95</v>
      </c>
      <c r="N7">
        <v>1.1000000000000001</v>
      </c>
      <c r="O7">
        <v>1</v>
      </c>
      <c r="P7">
        <v>0.75</v>
      </c>
      <c r="Q7">
        <f t="shared" si="8"/>
        <v>29.5703964888875</v>
      </c>
      <c r="R7">
        <f t="shared" si="9"/>
        <v>4.8619489645888505</v>
      </c>
      <c r="S7">
        <f t="shared" si="10"/>
        <v>1.1763056111017594</v>
      </c>
      <c r="T7">
        <f t="shared" si="11"/>
        <v>33.9</v>
      </c>
      <c r="U7">
        <f t="shared" si="12"/>
        <v>0.93115000000000003</v>
      </c>
      <c r="V7">
        <f t="shared" si="13"/>
        <v>0.48381218486055788</v>
      </c>
      <c r="W7">
        <f t="shared" si="1"/>
        <v>54.646586280000008</v>
      </c>
      <c r="X7">
        <f t="shared" si="14"/>
        <v>10.246450195312358</v>
      </c>
      <c r="Y7">
        <v>7.5</v>
      </c>
      <c r="Z7">
        <f t="shared" si="15"/>
        <v>10.24275062139049</v>
      </c>
      <c r="AA7">
        <f t="shared" si="16"/>
        <v>1156.9186826860557</v>
      </c>
      <c r="AB7" s="2">
        <f t="shared" si="17"/>
        <v>2</v>
      </c>
      <c r="AC7" s="1">
        <f t="shared" si="18"/>
        <v>0</v>
      </c>
      <c r="AD7" s="1">
        <f t="shared" si="19"/>
        <v>0</v>
      </c>
      <c r="AE7" s="1">
        <f t="shared" si="23"/>
        <v>8.8125</v>
      </c>
      <c r="AF7">
        <v>150</v>
      </c>
      <c r="AG7">
        <f t="shared" si="2"/>
        <v>0.97001498007130171</v>
      </c>
      <c r="AH7">
        <f t="shared" si="20"/>
        <v>145.50224701069527</v>
      </c>
      <c r="AI7">
        <f t="shared" si="3"/>
        <v>206.19</v>
      </c>
      <c r="AJ7">
        <f t="shared" si="21"/>
        <v>7.9134090235116472E-2</v>
      </c>
      <c r="AK7">
        <f t="shared" si="4"/>
        <v>7.9105518152982265E-2</v>
      </c>
      <c r="AL7" s="1">
        <f t="shared" si="22"/>
        <v>0.92089448184701772</v>
      </c>
      <c r="AM7" s="1">
        <f t="shared" si="5"/>
        <v>0.92089448184701772</v>
      </c>
      <c r="AN7" s="1">
        <f t="shared" si="24"/>
        <v>0</v>
      </c>
      <c r="AO7">
        <f t="shared" si="25"/>
        <v>8.8125</v>
      </c>
    </row>
    <row r="8" spans="1:41" x14ac:dyDescent="0.45">
      <c r="A8">
        <f t="shared" si="6"/>
        <v>10.5</v>
      </c>
      <c r="B8">
        <v>1.32</v>
      </c>
      <c r="C8">
        <f t="shared" si="7"/>
        <v>24.599999999999998</v>
      </c>
      <c r="D8">
        <v>36.799999999999997</v>
      </c>
      <c r="E8">
        <v>12.2</v>
      </c>
      <c r="F8">
        <v>26.7</v>
      </c>
      <c r="G8">
        <v>18.059999999999999</v>
      </c>
      <c r="H8">
        <v>33</v>
      </c>
      <c r="I8">
        <v>19</v>
      </c>
      <c r="J8">
        <f t="shared" si="0"/>
        <v>10.5</v>
      </c>
      <c r="K8" s="4">
        <v>126.73499999999999</v>
      </c>
      <c r="L8" s="5">
        <v>0.86874150367819025</v>
      </c>
      <c r="M8">
        <v>1</v>
      </c>
      <c r="N8">
        <v>1.1000000000000001</v>
      </c>
      <c r="O8">
        <v>1</v>
      </c>
      <c r="P8">
        <v>0.75</v>
      </c>
      <c r="Q8">
        <f t="shared" si="8"/>
        <v>23.651487437638732</v>
      </c>
      <c r="R8">
        <f t="shared" si="9"/>
        <v>3.2461518580315589</v>
      </c>
      <c r="S8">
        <f t="shared" si="10"/>
        <v>1.0667496880514833</v>
      </c>
      <c r="T8">
        <f t="shared" si="11"/>
        <v>28.476368704086251</v>
      </c>
      <c r="U8">
        <f t="shared" si="12"/>
        <v>0.89364999999999994</v>
      </c>
      <c r="V8">
        <f t="shared" si="13"/>
        <v>0.48279311681855847</v>
      </c>
      <c r="W8">
        <f t="shared" si="1"/>
        <v>61.186785659999998</v>
      </c>
      <c r="X8">
        <f t="shared" si="14"/>
        <v>0.38743618367631472</v>
      </c>
      <c r="Y8">
        <v>7.5</v>
      </c>
      <c r="Z8">
        <f t="shared" si="15"/>
        <v>0.38729629632272444</v>
      </c>
      <c r="AA8">
        <f t="shared" si="16"/>
        <v>49.083996114460476</v>
      </c>
      <c r="AB8" s="2">
        <f t="shared" si="17"/>
        <v>0.8021992916445756</v>
      </c>
      <c r="AC8" s="1">
        <f t="shared" si="18"/>
        <v>0.1978007083554244</v>
      </c>
      <c r="AD8" s="1">
        <f t="shared" si="19"/>
        <v>0.1978007083554244</v>
      </c>
      <c r="AE8" s="1">
        <f t="shared" si="23"/>
        <v>7.6875</v>
      </c>
      <c r="AF8">
        <v>150</v>
      </c>
      <c r="AG8">
        <f t="shared" si="2"/>
        <v>0.94248806151177267</v>
      </c>
      <c r="AH8">
        <f t="shared" si="20"/>
        <v>141.37320922676591</v>
      </c>
      <c r="AI8">
        <f t="shared" si="3"/>
        <v>213.47</v>
      </c>
      <c r="AJ8">
        <f t="shared" si="21"/>
        <v>6.9690128358613795E-2</v>
      </c>
      <c r="AK8">
        <f t="shared" si="4"/>
        <v>6.9664966104704143E-2</v>
      </c>
      <c r="AL8" s="1">
        <f t="shared" si="22"/>
        <v>0.93033503389529582</v>
      </c>
      <c r="AM8" s="1">
        <f t="shared" si="5"/>
        <v>0.93033503389529582</v>
      </c>
      <c r="AN8" s="1">
        <f t="shared" si="24"/>
        <v>38.87519999999995</v>
      </c>
      <c r="AO8">
        <f t="shared" si="25"/>
        <v>7.6875</v>
      </c>
    </row>
    <row r="9" spans="1:41" x14ac:dyDescent="0.45">
      <c r="A9">
        <f t="shared" si="6"/>
        <v>12</v>
      </c>
      <c r="B9">
        <v>1.32</v>
      </c>
      <c r="C9">
        <f t="shared" si="7"/>
        <v>0</v>
      </c>
      <c r="G9">
        <v>27.31</v>
      </c>
      <c r="H9">
        <v>50</v>
      </c>
      <c r="I9">
        <v>19</v>
      </c>
      <c r="J9">
        <f t="shared" si="0"/>
        <v>12</v>
      </c>
      <c r="K9" s="4">
        <v>140.51999999999998</v>
      </c>
      <c r="L9" s="5">
        <v>0.82503008251962551</v>
      </c>
      <c r="M9">
        <v>1</v>
      </c>
      <c r="N9">
        <v>1.1000000000000001</v>
      </c>
      <c r="O9">
        <v>1</v>
      </c>
      <c r="P9">
        <v>0.75</v>
      </c>
      <c r="Q9">
        <f t="shared" si="8"/>
        <v>34.032490903934558</v>
      </c>
      <c r="R9">
        <f t="shared" si="9"/>
        <v>4.5052903591902922</v>
      </c>
      <c r="S9">
        <f t="shared" si="10"/>
        <v>1.1327192484950785</v>
      </c>
      <c r="T9">
        <f t="shared" si="11"/>
        <v>33.9</v>
      </c>
      <c r="U9">
        <f t="shared" si="12"/>
        <v>0.85359999999999991</v>
      </c>
      <c r="V9">
        <f t="shared" si="13"/>
        <v>0.47533346541417598</v>
      </c>
      <c r="W9">
        <f t="shared" si="1"/>
        <v>66.793858560000004</v>
      </c>
      <c r="X9">
        <f t="shared" si="14"/>
        <v>10.246450195312358</v>
      </c>
      <c r="Y9">
        <v>7.5</v>
      </c>
      <c r="Z9">
        <f t="shared" si="15"/>
        <v>10.24275062139049</v>
      </c>
      <c r="AA9">
        <f t="shared" si="16"/>
        <v>1439.3113173177915</v>
      </c>
      <c r="AB9" s="2">
        <f t="shared" si="17"/>
        <v>2</v>
      </c>
      <c r="AC9" s="1">
        <f t="shared" si="18"/>
        <v>0</v>
      </c>
      <c r="AD9" s="1">
        <f t="shared" si="19"/>
        <v>0</v>
      </c>
      <c r="AE9" s="1">
        <f t="shared" si="23"/>
        <v>6.5625</v>
      </c>
      <c r="AF9">
        <v>150</v>
      </c>
      <c r="AG9">
        <f t="shared" si="2"/>
        <v>0.91847103461737423</v>
      </c>
      <c r="AH9">
        <f t="shared" si="20"/>
        <v>137.77065519260614</v>
      </c>
      <c r="AI9">
        <f t="shared" si="3"/>
        <v>208.845</v>
      </c>
      <c r="AJ9">
        <f t="shared" si="21"/>
        <v>6.7745953755751709E-2</v>
      </c>
      <c r="AK9">
        <f t="shared" si="4"/>
        <v>6.7721493463743315E-2</v>
      </c>
      <c r="AL9" s="1">
        <f t="shared" si="22"/>
        <v>0.93227850653625666</v>
      </c>
      <c r="AM9" s="1">
        <f t="shared" si="5"/>
        <v>0.93227850653625666</v>
      </c>
      <c r="AN9" s="1">
        <f t="shared" si="24"/>
        <v>0</v>
      </c>
      <c r="AO9">
        <f t="shared" si="25"/>
        <v>6.5625</v>
      </c>
    </row>
    <row r="10" spans="1:41" x14ac:dyDescent="0.45">
      <c r="A10">
        <f t="shared" si="6"/>
        <v>13.5</v>
      </c>
      <c r="B10">
        <v>1.32</v>
      </c>
      <c r="C10">
        <f t="shared" si="7"/>
        <v>0</v>
      </c>
      <c r="G10">
        <v>3.1</v>
      </c>
      <c r="H10">
        <v>50</v>
      </c>
      <c r="I10">
        <v>19</v>
      </c>
      <c r="J10">
        <f t="shared" si="0"/>
        <v>13.5</v>
      </c>
      <c r="K10" s="4">
        <v>154.30499999999998</v>
      </c>
      <c r="L10" s="5">
        <v>0.78731559752241065</v>
      </c>
      <c r="M10">
        <v>1</v>
      </c>
      <c r="N10">
        <v>1.1000000000000001</v>
      </c>
      <c r="O10">
        <v>1</v>
      </c>
      <c r="P10">
        <v>0.75</v>
      </c>
      <c r="Q10">
        <f t="shared" si="8"/>
        <v>32.476768397799439</v>
      </c>
      <c r="R10">
        <f t="shared" si="9"/>
        <v>0</v>
      </c>
      <c r="S10">
        <f t="shared" si="10"/>
        <v>1</v>
      </c>
      <c r="T10">
        <f t="shared" si="11"/>
        <v>32.476768397799439</v>
      </c>
      <c r="U10">
        <f t="shared" si="12"/>
        <v>0.81354999999999988</v>
      </c>
      <c r="V10">
        <f t="shared" si="13"/>
        <v>0.46412920734908136</v>
      </c>
      <c r="W10">
        <f t="shared" si="1"/>
        <v>71.617457339999987</v>
      </c>
      <c r="X10">
        <f t="shared" si="14"/>
        <v>0.89243332846601875</v>
      </c>
      <c r="Y10">
        <v>7.5</v>
      </c>
      <c r="Z10">
        <f t="shared" si="15"/>
        <v>0.89211110730590337</v>
      </c>
      <c r="AA10">
        <f t="shared" si="16"/>
        <v>137.65720441283739</v>
      </c>
      <c r="AB10" s="2">
        <f t="shared" si="17"/>
        <v>2</v>
      </c>
      <c r="AC10" s="1">
        <f t="shared" si="18"/>
        <v>0</v>
      </c>
      <c r="AD10" s="1">
        <f t="shared" si="19"/>
        <v>0</v>
      </c>
      <c r="AE10" s="1">
        <f t="shared" si="23"/>
        <v>5.4375</v>
      </c>
      <c r="AF10">
        <v>269</v>
      </c>
      <c r="AG10">
        <f t="shared" si="2"/>
        <v>0.89723250795755183</v>
      </c>
      <c r="AH10">
        <f t="shared" si="20"/>
        <v>241.35554464058143</v>
      </c>
      <c r="AI10">
        <f t="shared" si="3"/>
        <v>220</v>
      </c>
      <c r="AJ10">
        <f t="shared" si="21"/>
        <v>-1.5685265614212629E-2</v>
      </c>
      <c r="AK10">
        <f t="shared" si="4"/>
        <v>-1.5679602306577518E-2</v>
      </c>
      <c r="AL10" s="1">
        <f t="shared" si="22"/>
        <v>1.0156796023065775</v>
      </c>
      <c r="AM10" s="1">
        <f t="shared" si="5"/>
        <v>1.0156796023065775</v>
      </c>
      <c r="AN10" s="1">
        <f t="shared" si="24"/>
        <v>-58.043475000000001</v>
      </c>
      <c r="AO10">
        <f t="shared" si="25"/>
        <v>5.4375</v>
      </c>
    </row>
    <row r="11" spans="1:41" x14ac:dyDescent="0.45">
      <c r="A11">
        <f t="shared" si="6"/>
        <v>15</v>
      </c>
      <c r="B11">
        <v>1.32</v>
      </c>
      <c r="C11">
        <f t="shared" si="7"/>
        <v>0</v>
      </c>
      <c r="G11">
        <v>13.07</v>
      </c>
      <c r="H11">
        <v>50</v>
      </c>
      <c r="I11">
        <v>19</v>
      </c>
      <c r="J11">
        <f t="shared" si="0"/>
        <v>15</v>
      </c>
      <c r="K11" s="4">
        <v>168.08999999999997</v>
      </c>
      <c r="L11" s="5">
        <v>0.75434135264895763</v>
      </c>
      <c r="M11">
        <v>1</v>
      </c>
      <c r="N11">
        <v>1.1000000000000001</v>
      </c>
      <c r="O11">
        <v>1</v>
      </c>
      <c r="P11">
        <v>0.75</v>
      </c>
      <c r="Q11">
        <f t="shared" si="8"/>
        <v>31.116580796769505</v>
      </c>
      <c r="R11">
        <f t="shared" si="9"/>
        <v>1.9112356515651887</v>
      </c>
      <c r="S11">
        <f t="shared" si="10"/>
        <v>1.037251258639321</v>
      </c>
      <c r="T11">
        <f t="shared" si="11"/>
        <v>33.9</v>
      </c>
      <c r="U11">
        <f t="shared" si="12"/>
        <v>0.77349999999999985</v>
      </c>
      <c r="V11">
        <f t="shared" si="13"/>
        <v>0.45010162412993043</v>
      </c>
      <c r="W11">
        <f t="shared" si="1"/>
        <v>75.657581999999991</v>
      </c>
      <c r="X11">
        <f t="shared" si="14"/>
        <v>10.246450195312358</v>
      </c>
      <c r="Y11">
        <v>7.5</v>
      </c>
      <c r="Z11">
        <f t="shared" si="15"/>
        <v>10.24275062139049</v>
      </c>
      <c r="AA11">
        <f t="shared" si="16"/>
        <v>1721.7039519495272</v>
      </c>
      <c r="AB11" s="2">
        <f t="shared" si="17"/>
        <v>2</v>
      </c>
      <c r="AC11" s="1">
        <f t="shared" si="18"/>
        <v>0</v>
      </c>
      <c r="AD11" s="1">
        <f t="shared" si="19"/>
        <v>0</v>
      </c>
      <c r="AE11" s="1">
        <f t="shared" si="23"/>
        <v>4.3125</v>
      </c>
      <c r="AF11">
        <v>269</v>
      </c>
      <c r="AG11">
        <f t="shared" si="2"/>
        <v>0.87824266380805971</v>
      </c>
      <c r="AH11">
        <f t="shared" si="20"/>
        <v>236.24727656436806</v>
      </c>
      <c r="AI11">
        <f t="shared" si="3"/>
        <v>215.965</v>
      </c>
      <c r="AJ11">
        <f t="shared" si="21"/>
        <v>-2.8228521219756497E-2</v>
      </c>
      <c r="AK11">
        <f t="shared" si="4"/>
        <v>-2.8218329055741953E-2</v>
      </c>
      <c r="AL11" s="1">
        <f t="shared" si="22"/>
        <v>1.0282183290557421</v>
      </c>
      <c r="AM11" s="1">
        <f>IF(AK11&lt;0.95,1-AK11,IF(AK11&lt;1.2,2*(10^6)*EXP(-18.427*AK11),0))</f>
        <v>1.0282183290557421</v>
      </c>
      <c r="AN11" s="1">
        <f t="shared" si="24"/>
        <v>59.396274999999989</v>
      </c>
      <c r="AO11">
        <f t="shared" si="25"/>
        <v>4.3125</v>
      </c>
    </row>
    <row r="12" spans="1:41" x14ac:dyDescent="0.45">
      <c r="A12">
        <f t="shared" si="6"/>
        <v>16.5</v>
      </c>
      <c r="B12">
        <v>1.32</v>
      </c>
      <c r="C12">
        <f t="shared" si="7"/>
        <v>0</v>
      </c>
      <c r="G12">
        <v>77.3</v>
      </c>
      <c r="H12">
        <v>50</v>
      </c>
      <c r="I12">
        <v>19</v>
      </c>
      <c r="J12">
        <f t="shared" si="0"/>
        <v>16.5</v>
      </c>
      <c r="K12" s="4">
        <v>181.87499999999997</v>
      </c>
      <c r="L12" s="5">
        <v>0.72519090980934342</v>
      </c>
      <c r="M12">
        <v>1</v>
      </c>
      <c r="N12">
        <v>1.1000000000000001</v>
      </c>
      <c r="O12">
        <v>1</v>
      </c>
      <c r="P12">
        <v>0.75</v>
      </c>
      <c r="Q12">
        <f t="shared" si="8"/>
        <v>29.914125029635414</v>
      </c>
      <c r="R12">
        <f t="shared" si="9"/>
        <v>5</v>
      </c>
      <c r="S12">
        <f t="shared" si="10"/>
        <v>1.2</v>
      </c>
      <c r="T12">
        <f t="shared" si="11"/>
        <v>33.9</v>
      </c>
      <c r="U12">
        <f t="shared" si="12"/>
        <v>0.73344999999999994</v>
      </c>
      <c r="V12">
        <f t="shared" si="13"/>
        <v>0.43389268750515469</v>
      </c>
      <c r="W12">
        <f t="shared" si="1"/>
        <v>78.91423254</v>
      </c>
      <c r="X12">
        <f t="shared" si="14"/>
        <v>10.246450195312358</v>
      </c>
      <c r="Y12">
        <v>7.5</v>
      </c>
      <c r="Z12">
        <f t="shared" si="15"/>
        <v>10.24275062139049</v>
      </c>
      <c r="AA12">
        <f t="shared" si="16"/>
        <v>1862.9002692653951</v>
      </c>
      <c r="AB12" s="2">
        <f t="shared" si="17"/>
        <v>2</v>
      </c>
      <c r="AC12" s="1">
        <f t="shared" si="18"/>
        <v>0</v>
      </c>
      <c r="AD12" s="1">
        <f t="shared" si="19"/>
        <v>0</v>
      </c>
      <c r="AE12" s="1">
        <f t="shared" si="23"/>
        <v>3.1875</v>
      </c>
      <c r="AF12">
        <v>269</v>
      </c>
      <c r="AG12">
        <f t="shared" si="2"/>
        <v>0.86110626391872491</v>
      </c>
      <c r="AH12">
        <f t="shared" si="20"/>
        <v>231.637584994137</v>
      </c>
      <c r="AI12">
        <f t="shared" si="3"/>
        <v>205</v>
      </c>
      <c r="AJ12">
        <f t="shared" si="21"/>
        <v>-7.300349664133704E-4</v>
      </c>
      <c r="AK12">
        <f t="shared" si="4"/>
        <v>-7.2977138065710235E-4</v>
      </c>
      <c r="AL12" s="1">
        <f t="shared" si="22"/>
        <v>1.0007297713806571</v>
      </c>
      <c r="AM12" s="1">
        <f t="shared" si="5"/>
        <v>1.0007297713806571</v>
      </c>
      <c r="AN12" s="1">
        <f t="shared" si="24"/>
        <v>0</v>
      </c>
      <c r="AO12">
        <f t="shared" si="25"/>
        <v>3.1875</v>
      </c>
    </row>
    <row r="13" spans="1:41" x14ac:dyDescent="0.45">
      <c r="A13">
        <f t="shared" si="6"/>
        <v>18</v>
      </c>
      <c r="B13">
        <v>1.32</v>
      </c>
      <c r="C13">
        <f t="shared" si="7"/>
        <v>13.5</v>
      </c>
      <c r="D13">
        <v>31.9</v>
      </c>
      <c r="E13">
        <v>18.399999999999999</v>
      </c>
      <c r="F13">
        <v>29.7</v>
      </c>
      <c r="G13">
        <v>75.41</v>
      </c>
      <c r="H13">
        <v>50</v>
      </c>
      <c r="I13">
        <v>19</v>
      </c>
      <c r="J13">
        <f t="shared" si="0"/>
        <v>18</v>
      </c>
      <c r="K13" s="4">
        <v>195.65999999999997</v>
      </c>
      <c r="L13" s="5">
        <v>0.69917812179598415</v>
      </c>
      <c r="M13">
        <v>1</v>
      </c>
      <c r="N13">
        <v>1.1000000000000001</v>
      </c>
      <c r="O13">
        <v>1</v>
      </c>
      <c r="P13">
        <v>0.75</v>
      </c>
      <c r="Q13">
        <f t="shared" si="8"/>
        <v>28.841097524084351</v>
      </c>
      <c r="R13">
        <f t="shared" si="9"/>
        <v>5</v>
      </c>
      <c r="S13">
        <f t="shared" si="10"/>
        <v>1.2</v>
      </c>
      <c r="T13">
        <f t="shared" si="11"/>
        <v>33.9</v>
      </c>
      <c r="U13">
        <f t="shared" si="12"/>
        <v>0.69339999999999991</v>
      </c>
      <c r="V13">
        <f t="shared" si="13"/>
        <v>0.41596345170193194</v>
      </c>
      <c r="W13">
        <f t="shared" si="1"/>
        <v>81.387408959999988</v>
      </c>
      <c r="X13">
        <f t="shared" si="14"/>
        <v>10.246450195312358</v>
      </c>
      <c r="Y13">
        <v>7.5</v>
      </c>
      <c r="Z13">
        <f t="shared" si="15"/>
        <v>10.24275062139049</v>
      </c>
      <c r="AA13">
        <f t="shared" si="16"/>
        <v>2004.096586581263</v>
      </c>
      <c r="AB13" s="2">
        <f t="shared" si="17"/>
        <v>2</v>
      </c>
      <c r="AC13" s="1">
        <f t="shared" si="18"/>
        <v>0</v>
      </c>
      <c r="AD13" s="1">
        <f t="shared" si="19"/>
        <v>0</v>
      </c>
      <c r="AE13" s="1">
        <f t="shared" si="23"/>
        <v>2.0625</v>
      </c>
      <c r="AF13">
        <v>269</v>
      </c>
      <c r="AG13">
        <f t="shared" si="2"/>
        <v>0.8455211736001168</v>
      </c>
      <c r="AH13">
        <f t="shared" si="20"/>
        <v>227.44519569843143</v>
      </c>
      <c r="AI13">
        <f t="shared" si="3"/>
        <v>205</v>
      </c>
      <c r="AJ13">
        <f t="shared" si="21"/>
        <v>-2.4597938791838761E-2</v>
      </c>
      <c r="AK13">
        <f t="shared" si="4"/>
        <v>-2.4589057482590059E-2</v>
      </c>
      <c r="AL13" s="1">
        <f t="shared" si="22"/>
        <v>1.02458905748259</v>
      </c>
      <c r="AM13" s="1">
        <f t="shared" si="5"/>
        <v>1.02458905748259</v>
      </c>
      <c r="AN13" s="1">
        <f t="shared" si="24"/>
        <v>0</v>
      </c>
      <c r="AO13">
        <f t="shared" si="25"/>
        <v>2.0625</v>
      </c>
    </row>
    <row r="14" spans="1:41" x14ac:dyDescent="0.45">
      <c r="A14">
        <f t="shared" si="6"/>
        <v>19.5</v>
      </c>
      <c r="B14">
        <v>1.32</v>
      </c>
      <c r="C14">
        <f t="shared" si="7"/>
        <v>45.3</v>
      </c>
      <c r="D14">
        <v>60.1</v>
      </c>
      <c r="E14">
        <v>14.8</v>
      </c>
      <c r="F14">
        <v>45.3</v>
      </c>
      <c r="G14">
        <v>75.41</v>
      </c>
      <c r="H14">
        <v>50</v>
      </c>
      <c r="I14">
        <v>19</v>
      </c>
      <c r="J14">
        <f t="shared" si="0"/>
        <v>19.5</v>
      </c>
      <c r="K14" s="4">
        <v>209.44499999999996</v>
      </c>
      <c r="L14" s="5">
        <v>0.67577769979075519</v>
      </c>
      <c r="M14">
        <v>1</v>
      </c>
      <c r="N14">
        <v>1.1000000000000001</v>
      </c>
      <c r="O14">
        <v>1</v>
      </c>
      <c r="P14">
        <v>0.75</v>
      </c>
      <c r="Q14">
        <f t="shared" si="8"/>
        <v>27.875830116368654</v>
      </c>
      <c r="R14">
        <f t="shared" si="9"/>
        <v>5</v>
      </c>
      <c r="S14">
        <f t="shared" si="10"/>
        <v>1.2</v>
      </c>
      <c r="T14">
        <f t="shared" si="11"/>
        <v>33.9</v>
      </c>
      <c r="U14">
        <f t="shared" si="12"/>
        <v>0.65334999999999988</v>
      </c>
      <c r="V14">
        <f t="shared" si="13"/>
        <v>0.39665359048914994</v>
      </c>
      <c r="W14">
        <f t="shared" si="1"/>
        <v>83.077111259999995</v>
      </c>
      <c r="X14">
        <f t="shared" si="14"/>
        <v>10.246450195312358</v>
      </c>
      <c r="Y14">
        <v>7.5</v>
      </c>
      <c r="Z14">
        <f t="shared" si="15"/>
        <v>10.24275062139049</v>
      </c>
      <c r="AA14">
        <f t="shared" si="16"/>
        <v>2145.2929038971311</v>
      </c>
      <c r="AB14" s="2">
        <f t="shared" si="17"/>
        <v>2</v>
      </c>
      <c r="AC14" s="1">
        <f t="shared" si="18"/>
        <v>0</v>
      </c>
      <c r="AD14" s="1">
        <f t="shared" si="19"/>
        <v>0</v>
      </c>
      <c r="AE14" s="1">
        <f t="shared" si="23"/>
        <v>0.9375</v>
      </c>
      <c r="AF14">
        <v>269</v>
      </c>
      <c r="AG14">
        <f t="shared" si="2"/>
        <v>0.83125161241337242</v>
      </c>
      <c r="AH14">
        <f t="shared" si="20"/>
        <v>223.60668373919719</v>
      </c>
      <c r="AI14">
        <f t="shared" si="3"/>
        <v>205</v>
      </c>
      <c r="AJ14">
        <f t="shared" si="21"/>
        <v>-5.4142208280484758E-2</v>
      </c>
      <c r="AK14">
        <f t="shared" si="4"/>
        <v>-5.412265974435676E-2</v>
      </c>
      <c r="AL14" s="1">
        <f t="shared" si="22"/>
        <v>1.0541226597443567</v>
      </c>
      <c r="AM14" s="1">
        <f t="shared" si="5"/>
        <v>1.0541226597443567</v>
      </c>
      <c r="AN14" s="1">
        <f t="shared" si="24"/>
        <v>0</v>
      </c>
      <c r="AO14">
        <f t="shared" si="25"/>
        <v>0.9375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2025-04-19T13:43:13Z</dcterms:modified>
</cp:coreProperties>
</file>