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Dewi\Dewi Newss\Gemateknik\7. Dewi - GMT 2025\Customer\Daiki\7. Daiki Lebaran 2025\"/>
    </mc:Choice>
  </mc:AlternateContent>
  <xr:revisionPtr revIDLastSave="0" documentId="13_ncr:1_{24603D32-A4A3-4940-83B2-A4FE5A1BA4E2}" xr6:coauthVersionLast="47" xr6:coauthVersionMax="47" xr10:uidLastSave="{00000000-0000-0000-0000-000000000000}"/>
  <bookViews>
    <workbookView xWindow="-120" yWindow="-120" windowWidth="29040" windowHeight="15720" tabRatio="627" xr2:uid="{00000000-000D-0000-FFFF-FFFF00000000}"/>
  </bookViews>
  <sheets>
    <sheet name="Rab Jasa  " sheetId="46" r:id="rId1"/>
    <sheet name="Rab Material" sheetId="45" r:id="rId2"/>
    <sheet name="Rab Compressor" sheetId="47" r:id="rId3"/>
    <sheet name="Nota" sheetId="4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2" i="46" l="1"/>
  <c r="O255" i="46"/>
  <c r="N257" i="46"/>
  <c r="M254" i="46"/>
  <c r="L253" i="46"/>
  <c r="F261" i="46" l="1"/>
  <c r="E261" i="46"/>
  <c r="Q261" i="46" l="1"/>
  <c r="R261" i="46"/>
  <c r="V261" i="46"/>
  <c r="W261" i="46"/>
  <c r="X261" i="46"/>
  <c r="Y14" i="46"/>
  <c r="Y21" i="46"/>
  <c r="Y23" i="46"/>
  <c r="Y38" i="46"/>
  <c r="Y66" i="46"/>
  <c r="Y83" i="46"/>
  <c r="Y84" i="46"/>
  <c r="Y85" i="46"/>
  <c r="Y86" i="46"/>
  <c r="Y87" i="46"/>
  <c r="Y88" i="46"/>
  <c r="Y90" i="46"/>
  <c r="Y94" i="46"/>
  <c r="Y95" i="46"/>
  <c r="Y96" i="46"/>
  <c r="Y97" i="46"/>
  <c r="Y100" i="46"/>
  <c r="Y101" i="46"/>
  <c r="Y102" i="46"/>
  <c r="Y107" i="46"/>
  <c r="Y110" i="46"/>
  <c r="Y113" i="46"/>
  <c r="Y114" i="46"/>
  <c r="Y115" i="46"/>
  <c r="Y116" i="46"/>
  <c r="Y117" i="46"/>
  <c r="Y121" i="46"/>
  <c r="Y122" i="46"/>
  <c r="Y124" i="46"/>
  <c r="Y125" i="46"/>
  <c r="Y126" i="46"/>
  <c r="Y127" i="46"/>
  <c r="Y128" i="46"/>
  <c r="Y129" i="46"/>
  <c r="Y130" i="46"/>
  <c r="Y131" i="46"/>
  <c r="Y132" i="46"/>
  <c r="Y133" i="46"/>
  <c r="Y134" i="46"/>
  <c r="Y135" i="46"/>
  <c r="Y136" i="46"/>
  <c r="Y137" i="46"/>
  <c r="Y138" i="46"/>
  <c r="Y139" i="46"/>
  <c r="Y140" i="46"/>
  <c r="Y148" i="46"/>
  <c r="Y152" i="46"/>
  <c r="Y153" i="46"/>
  <c r="Y154" i="46"/>
  <c r="Y155" i="46"/>
  <c r="Y156" i="46"/>
  <c r="Y161" i="46"/>
  <c r="Y162" i="46"/>
  <c r="Y164" i="46"/>
  <c r="Y165" i="46"/>
  <c r="Y166" i="46"/>
  <c r="Y167" i="46"/>
  <c r="Y168" i="46"/>
  <c r="Y169" i="46"/>
  <c r="Y170" i="46"/>
  <c r="Y171" i="46"/>
  <c r="Y172" i="46"/>
  <c r="Y173" i="46"/>
  <c r="Y175" i="46"/>
  <c r="Y177" i="46"/>
  <c r="Y181" i="46"/>
  <c r="Y182" i="46"/>
  <c r="Y184" i="46"/>
  <c r="Y185" i="46"/>
  <c r="Y186" i="46"/>
  <c r="Y191" i="46"/>
  <c r="Y193" i="46"/>
  <c r="Y194" i="46"/>
  <c r="Y195" i="46"/>
  <c r="Y196" i="46"/>
  <c r="Y201" i="46"/>
  <c r="Y206" i="46"/>
  <c r="Y209" i="46"/>
  <c r="Y210" i="46"/>
  <c r="Y211" i="46"/>
  <c r="Y212" i="46"/>
  <c r="Y213" i="46"/>
  <c r="Y214" i="46"/>
  <c r="Y217" i="46"/>
  <c r="Y218" i="46"/>
  <c r="Y219" i="46"/>
  <c r="Y220" i="46"/>
  <c r="Y221" i="46"/>
  <c r="Y222" i="46"/>
  <c r="Y223" i="46"/>
  <c r="Y224" i="46"/>
  <c r="Y226" i="46"/>
  <c r="Y227" i="46"/>
  <c r="Y230" i="46"/>
  <c r="Y233" i="46"/>
  <c r="Y234" i="46"/>
  <c r="Y235" i="46"/>
  <c r="Y238" i="46"/>
  <c r="Y239" i="46"/>
  <c r="Y240" i="46"/>
  <c r="Y241" i="46"/>
  <c r="Y242" i="46"/>
  <c r="Y243" i="46"/>
  <c r="Y244" i="46"/>
  <c r="Y245" i="46"/>
  <c r="Y246" i="46"/>
  <c r="Y247" i="46"/>
  <c r="Y248" i="46"/>
  <c r="Y249" i="46"/>
  <c r="Y250" i="46"/>
  <c r="Y251" i="46"/>
  <c r="Y258" i="46"/>
  <c r="Y259" i="46"/>
  <c r="Y260" i="46"/>
  <c r="J270" i="46"/>
  <c r="K282" i="46"/>
  <c r="Y253" i="46"/>
  <c r="Y254" i="46"/>
  <c r="Y255" i="46"/>
  <c r="Y257" i="46"/>
  <c r="P256" i="46"/>
  <c r="Y256" i="46" s="1"/>
  <c r="Y252" i="46"/>
  <c r="I292" i="46"/>
  <c r="I289" i="46"/>
  <c r="I287" i="46"/>
  <c r="I285" i="46"/>
  <c r="I284" i="46"/>
  <c r="I283" i="46"/>
  <c r="I281" i="46"/>
  <c r="I280" i="46"/>
  <c r="I277" i="46"/>
  <c r="I275" i="46"/>
  <c r="I274" i="46"/>
  <c r="I273" i="46"/>
  <c r="I272" i="46"/>
  <c r="I270" i="46"/>
  <c r="I276" i="46" l="1"/>
  <c r="I278" i="46"/>
  <c r="K278" i="46" s="1"/>
  <c r="E287" i="46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64" i="46"/>
  <c r="C298" i="46"/>
  <c r="T237" i="46"/>
  <c r="Y237" i="46" s="1"/>
  <c r="T232" i="46"/>
  <c r="Y232" i="46" s="1"/>
  <c r="T231" i="46"/>
  <c r="Y231" i="46" s="1"/>
  <c r="J229" i="46"/>
  <c r="Y229" i="46" s="1"/>
  <c r="G228" i="46"/>
  <c r="Y228" i="46" s="1"/>
  <c r="T225" i="46"/>
  <c r="Y225" i="46" s="1"/>
  <c r="I291" i="46" l="1"/>
  <c r="I293" i="46" s="1"/>
  <c r="T216" i="46"/>
  <c r="Y216" i="46" s="1"/>
  <c r="T215" i="46"/>
  <c r="Y215" i="46" s="1"/>
  <c r="T208" i="46"/>
  <c r="Y208" i="46" s="1"/>
  <c r="T207" i="46"/>
  <c r="Y207" i="46" s="1"/>
  <c r="G205" i="46"/>
  <c r="Y205" i="46" s="1"/>
  <c r="G204" i="46"/>
  <c r="Y204" i="46" s="1"/>
  <c r="J203" i="46"/>
  <c r="Y203" i="46" s="1"/>
  <c r="G202" i="46"/>
  <c r="Y202" i="46" s="1"/>
  <c r="I200" i="46"/>
  <c r="I199" i="46"/>
  <c r="Y199" i="46" s="1"/>
  <c r="I198" i="46"/>
  <c r="Y198" i="46" s="1"/>
  <c r="T200" i="46"/>
  <c r="I31" i="46"/>
  <c r="Y31" i="46" s="1"/>
  <c r="T197" i="46"/>
  <c r="Y197" i="46" s="1"/>
  <c r="U192" i="46"/>
  <c r="T190" i="46"/>
  <c r="Y190" i="46" s="1"/>
  <c r="T179" i="46"/>
  <c r="Y179" i="46" s="1"/>
  <c r="T178" i="46"/>
  <c r="Y178" i="46" s="1"/>
  <c r="T189" i="46"/>
  <c r="Y189" i="46" s="1"/>
  <c r="G188" i="46"/>
  <c r="Y188" i="46" s="1"/>
  <c r="G187" i="46"/>
  <c r="Y187" i="46" s="1"/>
  <c r="I183" i="46"/>
  <c r="Y183" i="46" s="1"/>
  <c r="T180" i="46"/>
  <c r="Y180" i="46" s="1"/>
  <c r="T176" i="46"/>
  <c r="Y176" i="46" s="1"/>
  <c r="T174" i="46"/>
  <c r="Y174" i="46" s="1"/>
  <c r="T163" i="46"/>
  <c r="Y163" i="46" s="1"/>
  <c r="T159" i="46"/>
  <c r="Y159" i="46" s="1"/>
  <c r="T160" i="46"/>
  <c r="Y160" i="46" s="1"/>
  <c r="G158" i="46"/>
  <c r="Y158" i="46" s="1"/>
  <c r="G157" i="46"/>
  <c r="Y157" i="46" s="1"/>
  <c r="Y200" i="46" l="1"/>
  <c r="Y192" i="46"/>
  <c r="U261" i="46"/>
  <c r="T151" i="46"/>
  <c r="Y151" i="46" s="1"/>
  <c r="T150" i="46"/>
  <c r="Y150" i="46" s="1"/>
  <c r="I149" i="46"/>
  <c r="Y149" i="46" s="1"/>
  <c r="I147" i="46"/>
  <c r="Y147" i="46" s="1"/>
  <c r="I146" i="46"/>
  <c r="Y146" i="46" s="1"/>
  <c r="I145" i="46"/>
  <c r="Y145" i="46" s="1"/>
  <c r="I144" i="46"/>
  <c r="Y144" i="46" s="1"/>
  <c r="G143" i="46"/>
  <c r="Y143" i="46" s="1"/>
  <c r="J142" i="46"/>
  <c r="Y142" i="46" s="1"/>
  <c r="G141" i="46"/>
  <c r="Y141" i="46" s="1"/>
  <c r="G123" i="46"/>
  <c r="Y123" i="46" s="1"/>
  <c r="T120" i="46"/>
  <c r="Y120" i="46" s="1"/>
  <c r="T119" i="46"/>
  <c r="Y119" i="46" s="1"/>
  <c r="T118" i="46"/>
  <c r="G112" i="46"/>
  <c r="Y112" i="46" s="1"/>
  <c r="G111" i="46"/>
  <c r="Y111" i="46" s="1"/>
  <c r="S99" i="46"/>
  <c r="Y99" i="46" s="1"/>
  <c r="S98" i="46"/>
  <c r="S261" i="46" l="1"/>
  <c r="Y98" i="46"/>
  <c r="T261" i="46"/>
  <c r="Y118" i="46"/>
  <c r="G81" i="46"/>
  <c r="Y81" i="46" s="1"/>
  <c r="G236" i="46"/>
  <c r="Y236" i="46" s="1"/>
  <c r="H12" i="47"/>
  <c r="F11" i="47"/>
  <c r="F10" i="47"/>
  <c r="F8" i="47"/>
  <c r="G109" i="46"/>
  <c r="Y109" i="46" s="1"/>
  <c r="G108" i="46"/>
  <c r="Y108" i="46" s="1"/>
  <c r="G106" i="46"/>
  <c r="Y106" i="46" s="1"/>
  <c r="G105" i="46"/>
  <c r="Y105" i="46" s="1"/>
  <c r="G104" i="46"/>
  <c r="Y104" i="46" s="1"/>
  <c r="G103" i="46"/>
  <c r="Y103" i="46" s="1"/>
  <c r="G93" i="46"/>
  <c r="Y93" i="46" s="1"/>
  <c r="G92" i="46"/>
  <c r="Y92" i="46" s="1"/>
  <c r="G91" i="46"/>
  <c r="Y91" i="46" s="1"/>
  <c r="H89" i="46"/>
  <c r="Y89" i="46" s="1"/>
  <c r="G80" i="46" l="1"/>
  <c r="Y80" i="46" s="1"/>
  <c r="G79" i="46"/>
  <c r="Y79" i="46" s="1"/>
  <c r="G78" i="46"/>
  <c r="Y78" i="46" s="1"/>
  <c r="G77" i="46"/>
  <c r="Y77" i="46" s="1"/>
  <c r="G76" i="46"/>
  <c r="Y76" i="46" s="1"/>
  <c r="G75" i="46"/>
  <c r="Y75" i="46" s="1"/>
  <c r="G74" i="46"/>
  <c r="Y74" i="46" s="1"/>
  <c r="G73" i="46"/>
  <c r="Y73" i="46" s="1"/>
  <c r="G72" i="46"/>
  <c r="Y72" i="46" s="1"/>
  <c r="G71" i="46"/>
  <c r="Y71" i="46" s="1"/>
  <c r="I70" i="46"/>
  <c r="Y70" i="46" s="1"/>
  <c r="I69" i="46"/>
  <c r="Y69" i="46" s="1"/>
  <c r="I68" i="46"/>
  <c r="Y68" i="46" s="1"/>
  <c r="I67" i="46"/>
  <c r="Y67" i="46" s="1"/>
  <c r="G65" i="46"/>
  <c r="Y65" i="46" s="1"/>
  <c r="G64" i="46"/>
  <c r="Y64" i="46" s="1"/>
  <c r="I63" i="46"/>
  <c r="Y63" i="46" s="1"/>
  <c r="I62" i="46"/>
  <c r="Y62" i="46" s="1"/>
  <c r="I61" i="46"/>
  <c r="Y61" i="46" s="1"/>
  <c r="G82" i="46"/>
  <c r="Y82" i="46" s="1"/>
  <c r="I60" i="46"/>
  <c r="Y60" i="46" s="1"/>
  <c r="I59" i="46"/>
  <c r="Y59" i="46" s="1"/>
  <c r="G58" i="46"/>
  <c r="Y58" i="46" s="1"/>
  <c r="I57" i="46"/>
  <c r="Y57" i="46" s="1"/>
  <c r="I56" i="46"/>
  <c r="Y56" i="46" s="1"/>
  <c r="I55" i="46"/>
  <c r="Y55" i="46" s="1"/>
  <c r="I54" i="46"/>
  <c r="Y54" i="46" s="1"/>
  <c r="G53" i="46"/>
  <c r="Y53" i="46" s="1"/>
  <c r="I52" i="46"/>
  <c r="Y52" i="46" s="1"/>
  <c r="G51" i="46"/>
  <c r="Y51" i="46" s="1"/>
  <c r="G50" i="46"/>
  <c r="Y50" i="46" s="1"/>
  <c r="G49" i="46"/>
  <c r="Y49" i="46" s="1"/>
  <c r="G48" i="46"/>
  <c r="Y48" i="46" s="1"/>
  <c r="G47" i="46"/>
  <c r="Y47" i="46" s="1"/>
  <c r="G46" i="46"/>
  <c r="Y46" i="46" s="1"/>
  <c r="G45" i="46"/>
  <c r="Y45" i="46" s="1"/>
  <c r="G44" i="46"/>
  <c r="Y44" i="46" s="1"/>
  <c r="G43" i="46"/>
  <c r="Y43" i="46" s="1"/>
  <c r="G42" i="46" l="1"/>
  <c r="Y42" i="46" s="1"/>
  <c r="G40" i="46"/>
  <c r="Y40" i="46" s="1"/>
  <c r="G41" i="46"/>
  <c r="Y41" i="46" s="1"/>
  <c r="G39" i="46"/>
  <c r="Y39" i="46" s="1"/>
  <c r="I37" i="46"/>
  <c r="Y37" i="46" s="1"/>
  <c r="I35" i="46"/>
  <c r="Y35" i="46" s="1"/>
  <c r="I36" i="46"/>
  <c r="Y36" i="46" s="1"/>
  <c r="I34" i="46"/>
  <c r="Y34" i="46" s="1"/>
  <c r="I33" i="46"/>
  <c r="Y33" i="46" s="1"/>
  <c r="I32" i="46"/>
  <c r="Y32" i="46" s="1"/>
  <c r="G30" i="46"/>
  <c r="Y30" i="46" s="1"/>
  <c r="G29" i="46"/>
  <c r="Y29" i="46" s="1"/>
  <c r="J28" i="46"/>
  <c r="Y28" i="46" s="1"/>
  <c r="G27" i="46"/>
  <c r="Y27" i="46" s="1"/>
  <c r="G26" i="46"/>
  <c r="Y26" i="46" s="1"/>
  <c r="G25" i="46"/>
  <c r="Y25" i="46" s="1"/>
  <c r="G24" i="46"/>
  <c r="Y24" i="46" s="1"/>
  <c r="H22" i="46"/>
  <c r="Y22" i="46" s="1"/>
  <c r="G20" i="46"/>
  <c r="Y20" i="46" s="1"/>
  <c r="G19" i="46"/>
  <c r="Y19" i="46" s="1"/>
  <c r="G18" i="46"/>
  <c r="Y18" i="46" s="1"/>
  <c r="G17" i="46"/>
  <c r="Y17" i="46" s="1"/>
  <c r="G16" i="46"/>
  <c r="H15" i="46"/>
  <c r="Y15" i="46" s="1"/>
  <c r="H13" i="46"/>
  <c r="Y13" i="46" s="1"/>
  <c r="H12" i="46"/>
  <c r="Y12" i="46" s="1"/>
  <c r="H11" i="46"/>
  <c r="Y11" i="46" s="1"/>
  <c r="J7" i="46"/>
  <c r="Y7" i="46" s="1"/>
  <c r="J8" i="46"/>
  <c r="Y8" i="46" s="1"/>
  <c r="J9" i="46"/>
  <c r="Y9" i="46" s="1"/>
  <c r="J10" i="46"/>
  <c r="Y10" i="46" s="1"/>
  <c r="H6" i="46"/>
  <c r="P261" i="46"/>
  <c r="O261" i="46"/>
  <c r="N261" i="46"/>
  <c r="M261" i="46"/>
  <c r="K13" i="47"/>
  <c r="K14" i="47"/>
  <c r="G261" i="46" l="1"/>
  <c r="Y16" i="46"/>
  <c r="H261" i="46"/>
  <c r="Y6" i="46"/>
  <c r="Y261" i="46" s="1"/>
  <c r="J274" i="46"/>
  <c r="K274" i="46" s="1"/>
  <c r="F274" i="46"/>
  <c r="J275" i="46"/>
  <c r="K275" i="46" s="1"/>
  <c r="F276" i="46"/>
  <c r="J277" i="46"/>
  <c r="K277" i="46" s="1"/>
  <c r="F275" i="46"/>
  <c r="J276" i="46"/>
  <c r="K276" i="46" s="1"/>
  <c r="F277" i="46"/>
  <c r="I486" i="46"/>
  <c r="I487" i="46" s="1"/>
  <c r="K6" i="47" l="1"/>
  <c r="K7" i="47"/>
  <c r="I27" i="45"/>
  <c r="J9" i="45"/>
  <c r="H28" i="47"/>
  <c r="H30" i="47" s="1"/>
  <c r="J17" i="47"/>
  <c r="I17" i="47"/>
  <c r="H17" i="47"/>
  <c r="E24" i="47" s="1"/>
  <c r="G17" i="47"/>
  <c r="K8" i="47"/>
  <c r="K9" i="47"/>
  <c r="K10" i="47"/>
  <c r="K11" i="47"/>
  <c r="K12" i="47"/>
  <c r="K15" i="47"/>
  <c r="K16" i="47"/>
  <c r="I15" i="45"/>
  <c r="H15" i="45"/>
  <c r="J26" i="45" s="1"/>
  <c r="K26" i="45" s="1"/>
  <c r="F15" i="45"/>
  <c r="J24" i="45" s="1"/>
  <c r="K24" i="45" s="1"/>
  <c r="J14" i="45"/>
  <c r="J11" i="45"/>
  <c r="G15" i="45"/>
  <c r="J8" i="45"/>
  <c r="J7" i="45"/>
  <c r="J12" i="45"/>
  <c r="J13" i="45"/>
  <c r="J6" i="45"/>
  <c r="J10" i="45"/>
  <c r="G21" i="47"/>
  <c r="E17" i="47"/>
  <c r="D17" i="47"/>
  <c r="C17" i="47"/>
  <c r="J281" i="46"/>
  <c r="K281" i="46" s="1"/>
  <c r="L261" i="46"/>
  <c r="F273" i="46" s="1"/>
  <c r="K261" i="46"/>
  <c r="J261" i="46"/>
  <c r="I261" i="46"/>
  <c r="F270" i="46" s="1"/>
  <c r="F267" i="46"/>
  <c r="C261" i="46"/>
  <c r="Y263" i="46" l="1"/>
  <c r="Y262" i="46"/>
  <c r="J290" i="46"/>
  <c r="K290" i="46" s="1"/>
  <c r="F283" i="46"/>
  <c r="F281" i="46"/>
  <c r="J283" i="46"/>
  <c r="K283" i="46" s="1"/>
  <c r="F272" i="46"/>
  <c r="J272" i="46"/>
  <c r="K272" i="46" s="1"/>
  <c r="F282" i="46"/>
  <c r="H265" i="46" s="1"/>
  <c r="J285" i="46"/>
  <c r="K285" i="46" s="1"/>
  <c r="J273" i="46"/>
  <c r="K273" i="46" s="1"/>
  <c r="F278" i="46"/>
  <c r="J280" i="46"/>
  <c r="K280" i="46" s="1"/>
  <c r="F271" i="46"/>
  <c r="J287" i="46"/>
  <c r="K287" i="46" s="1"/>
  <c r="F266" i="46"/>
  <c r="F280" i="46"/>
  <c r="J284" i="46"/>
  <c r="K284" i="46" s="1"/>
  <c r="F279" i="46"/>
  <c r="E24" i="45"/>
  <c r="F269" i="46"/>
  <c r="K17" i="47"/>
  <c r="E23" i="47"/>
  <c r="E22" i="45"/>
  <c r="J15" i="45"/>
  <c r="E15" i="45"/>
  <c r="F17" i="47"/>
  <c r="E23" i="45"/>
  <c r="J25" i="45"/>
  <c r="K25" i="45" s="1"/>
  <c r="G19" i="45"/>
  <c r="D15" i="45"/>
  <c r="C15" i="45"/>
  <c r="K270" i="46" l="1"/>
  <c r="J289" i="46"/>
  <c r="K289" i="46" s="1"/>
  <c r="F268" i="46"/>
  <c r="E22" i="47"/>
  <c r="E26" i="47" s="1"/>
  <c r="E27" i="47" s="1"/>
  <c r="F284" i="46"/>
  <c r="F285" i="46" s="1"/>
  <c r="J23" i="45"/>
  <c r="J27" i="45" s="1"/>
  <c r="E21" i="45"/>
  <c r="E25" i="45" s="1"/>
  <c r="E26" i="45" s="1"/>
  <c r="G20" i="45" s="1"/>
  <c r="J16" i="45"/>
  <c r="K291" i="46" l="1"/>
  <c r="K293" i="46" s="1"/>
  <c r="J291" i="46"/>
  <c r="J293" i="46" s="1"/>
  <c r="G22" i="47"/>
  <c r="I28" i="47"/>
  <c r="I30" i="47" s="1"/>
  <c r="J28" i="47"/>
  <c r="J30" i="47" s="1"/>
  <c r="H266" i="46"/>
  <c r="K23" i="45"/>
  <c r="K27" i="45" s="1"/>
</calcChain>
</file>

<file path=xl/sharedStrings.xml><?xml version="1.0" encoding="utf-8"?>
<sst xmlns="http://schemas.openxmlformats.org/spreadsheetml/2006/main" count="453" uniqueCount="359">
  <si>
    <t>JASA KERJA</t>
  </si>
  <si>
    <t>SAFETY EQUIPMENT</t>
  </si>
  <si>
    <t>MOB - DEMOB</t>
  </si>
  <si>
    <t>Bulan</t>
  </si>
  <si>
    <t>KETERANGAN</t>
  </si>
  <si>
    <t>CASH</t>
  </si>
  <si>
    <t>Gaji</t>
  </si>
  <si>
    <t>Kasbon</t>
  </si>
  <si>
    <t>Consumable</t>
  </si>
  <si>
    <t>Hand Tool</t>
  </si>
  <si>
    <t>Begisting</t>
  </si>
  <si>
    <t>Safety</t>
  </si>
  <si>
    <t>Makan</t>
  </si>
  <si>
    <t>Penginapan</t>
  </si>
  <si>
    <t>Transport Lokal</t>
  </si>
  <si>
    <t>Jumlah</t>
  </si>
  <si>
    <t>SALDO</t>
  </si>
  <si>
    <t>TAGIHAN</t>
  </si>
  <si>
    <t>RINCIAN</t>
  </si>
  <si>
    <t>DP</t>
  </si>
  <si>
    <t xml:space="preserve"> </t>
  </si>
  <si>
    <t>BIAYA</t>
  </si>
  <si>
    <t>SELISIH</t>
  </si>
  <si>
    <t>Hand Tool &amp; Consumable</t>
  </si>
  <si>
    <t>Man Power</t>
  </si>
  <si>
    <t>Equipment</t>
  </si>
  <si>
    <t xml:space="preserve">Penginapan </t>
  </si>
  <si>
    <t>Asuransi Pekerja</t>
  </si>
  <si>
    <t>MCU</t>
  </si>
  <si>
    <t xml:space="preserve">Biaya lain </t>
  </si>
  <si>
    <r>
      <t>G</t>
    </r>
    <r>
      <rPr>
        <b/>
        <sz val="9"/>
        <color theme="1"/>
        <rFont val="Calibri"/>
        <family val="2"/>
        <scheme val="minor"/>
      </rPr>
      <t>a</t>
    </r>
    <r>
      <rPr>
        <b/>
        <sz val="8"/>
        <color theme="1"/>
        <rFont val="Calibri"/>
        <family val="2"/>
        <scheme val="minor"/>
      </rPr>
      <t>ji</t>
    </r>
  </si>
  <si>
    <t>Akomodasi</t>
  </si>
  <si>
    <t>Lain Lain</t>
  </si>
  <si>
    <t>Mob Demob Man Power</t>
  </si>
  <si>
    <t>Mob Demob Equipment</t>
  </si>
  <si>
    <t>Transportasi Lokal</t>
  </si>
  <si>
    <t>Modal</t>
  </si>
  <si>
    <t>Profit   %</t>
  </si>
  <si>
    <t>PO</t>
  </si>
  <si>
    <t>Rab</t>
  </si>
  <si>
    <t xml:space="preserve">Selisih </t>
  </si>
  <si>
    <t>Total</t>
  </si>
  <si>
    <t>Diskon</t>
  </si>
  <si>
    <t xml:space="preserve">Grand Total </t>
  </si>
  <si>
    <t>Lain lain dan Asuransi Pekerja</t>
  </si>
  <si>
    <t>Compressor</t>
  </si>
  <si>
    <t>Transportasi Selama Proyek</t>
  </si>
  <si>
    <t>Jasa Install</t>
  </si>
  <si>
    <t>I Jasa kerja</t>
  </si>
  <si>
    <t>II Special Equipment</t>
  </si>
  <si>
    <t>Transport Man Power</t>
  </si>
  <si>
    <t>Transport Equipment</t>
  </si>
  <si>
    <t>III Mob Demon Man Power/Alat</t>
  </si>
  <si>
    <t>IV Akomodasi</t>
  </si>
  <si>
    <t xml:space="preserve">Makan </t>
  </si>
  <si>
    <t>V Safety Equipment &amp; Asuransi Pekerja</t>
  </si>
  <si>
    <t>VI Consumable Material</t>
  </si>
  <si>
    <t>Handtool, Consumable, Begisting</t>
  </si>
  <si>
    <t>Masker, sarung tangan Googlr dll</t>
  </si>
  <si>
    <t xml:space="preserve">Lain lain </t>
  </si>
  <si>
    <t xml:space="preserve">Transportasi Mesin Compressor </t>
  </si>
  <si>
    <t>Rental  Compressor PDS 175 2 Hari</t>
  </si>
  <si>
    <t>BRICK SK-32</t>
  </si>
  <si>
    <t xml:space="preserve"> BRICK B1 STD (230x114x65)</t>
  </si>
  <si>
    <t>CALCIUM SILICA BOARD (1000x500x50mm)</t>
  </si>
  <si>
    <t xml:space="preserve">Beick SK-32 STD (230x114x65mm) : 135 Pcs </t>
  </si>
  <si>
    <t xml:space="preserve">Insullation Brick B1 STD (230x114x65mm) : 240 Pcs </t>
  </si>
  <si>
    <t xml:space="preserve">Calcium Silica Boars (1000x500x50mm) : 78 Pcs </t>
  </si>
  <si>
    <t xml:space="preserve">RAB </t>
  </si>
  <si>
    <t xml:space="preserve">Ongkos </t>
  </si>
  <si>
    <t xml:space="preserve">Total </t>
  </si>
  <si>
    <t>Transport</t>
  </si>
  <si>
    <t xml:space="preserve">Rab </t>
  </si>
  <si>
    <t>RAB PT. DAIKI (NATARU)</t>
  </si>
  <si>
    <t xml:space="preserve">Jackhammer </t>
  </si>
  <si>
    <t>Mixer</t>
  </si>
  <si>
    <t xml:space="preserve">Vibrator </t>
  </si>
  <si>
    <t>Mesin Las</t>
  </si>
  <si>
    <t>Cutting Brick</t>
  </si>
  <si>
    <t xml:space="preserve">Diamond Blade </t>
  </si>
  <si>
    <t>Repair Refractory Melting 35T Plant 1</t>
  </si>
  <si>
    <t>Repair Refractory Melting 45T Plant 1</t>
  </si>
  <si>
    <t>Repair Refractory Holding 45T Plant 1</t>
  </si>
  <si>
    <t>Jackhammer</t>
  </si>
  <si>
    <t>Vibrator</t>
  </si>
  <si>
    <t>Diamond Blade</t>
  </si>
  <si>
    <t>RAB PT. DAIKI (LEBARAN )</t>
  </si>
  <si>
    <t>2 DAI 2503129</t>
  </si>
  <si>
    <t>2 DAI 2503121</t>
  </si>
  <si>
    <t>2 DAI 2503120</t>
  </si>
  <si>
    <t>2 DAI 2503119</t>
  </si>
  <si>
    <t>Repair Refractoy Gunning Plant 1</t>
  </si>
  <si>
    <t>Repair Refractory Gunning Plant II</t>
  </si>
  <si>
    <t>2 DAI 2503093</t>
  </si>
  <si>
    <t>2 DAI 2503118</t>
  </si>
  <si>
    <t>Repair Refrctory Melting 60T Plant II</t>
  </si>
  <si>
    <t>2 DAI 2503095</t>
  </si>
  <si>
    <t>Repair Rerfactory Rotary Furnace 5T Plant II</t>
  </si>
  <si>
    <t>2 DAI 2503091</t>
  </si>
  <si>
    <t>Repair Refractory Holding 30T Plant II</t>
  </si>
  <si>
    <t>2 DAI 2503086</t>
  </si>
  <si>
    <t>2 DAI 2503088</t>
  </si>
  <si>
    <t>Repair Refractory Furnace 108T Plant II</t>
  </si>
  <si>
    <t>Bayar gaji 32 Orang (Shift Pagi)</t>
  </si>
  <si>
    <t>Kasbon 32 Orang  (Shift Pagi)</t>
  </si>
  <si>
    <t>Bayar gaji 40 Orang (Shift malam)</t>
  </si>
  <si>
    <t>Beli 4 Roll Selang Vibrator 38x6M</t>
  </si>
  <si>
    <t>Beli 10 Lusin Masker</t>
  </si>
  <si>
    <t>Beli 100 Pcs Earplug</t>
  </si>
  <si>
    <t>Beli 104 Pcs Kacamata</t>
  </si>
  <si>
    <t>Beli 50 Lusin sarung Tangan</t>
  </si>
  <si>
    <t>Bayar gaji 29 org (Shifft malam+ Pagi)</t>
  </si>
  <si>
    <t>Kasbon 29 org (shiftv malam+pagi)</t>
  </si>
  <si>
    <t>Bayar gaji Anwar</t>
  </si>
  <si>
    <t>Bayar gaji Rendy Trisukma S</t>
  </si>
  <si>
    <t>Bayar gaji Ardi Wiranata</t>
  </si>
  <si>
    <t>Kasbon Anwar</t>
  </si>
  <si>
    <t>Kasbon Ardi Wiranata</t>
  </si>
  <si>
    <t>Kasbon Rendy Trisukma S</t>
  </si>
  <si>
    <t>Beli Lomh Moil Point 450mm F/TCA-7 (Mata Jackhammer TCA -7)</t>
  </si>
  <si>
    <t>Bei 3 Pcs  M4 Moil Point Hex 25mm (mata Jackhammer Listrik)</t>
  </si>
  <si>
    <t>Beli 10 Pcs Mata jackhammer TPB 60</t>
  </si>
  <si>
    <t>Beli 3 Unit Gerinda Tangan 4" (Makita)</t>
  </si>
  <si>
    <t>Beli 1 Unit Jigsaw (Makita 4327M)</t>
  </si>
  <si>
    <t>Beli 2 Lbr Plat Esser 12 ml</t>
  </si>
  <si>
    <t>Beli 5 Pcs Pin 3"x2,5</t>
  </si>
  <si>
    <t>Beli 4 Btg Siku 5x5</t>
  </si>
  <si>
    <t>Beli 4 Dus  Kawat Las 3,2</t>
  </si>
  <si>
    <t>Beli 6 Pcs Cutting 14" WD</t>
  </si>
  <si>
    <t xml:space="preserve">Jasa Coring </t>
  </si>
  <si>
    <t>DP Pembayaran Jasa Coring</t>
  </si>
  <si>
    <t>Beli 20 Pcs Mata Jackhammer TCA 7</t>
  </si>
  <si>
    <t>Beli 1 Roll Kabel NYYHY 2x1,5 Jembo @ 50M</t>
  </si>
  <si>
    <t>Beli 4 Bh Kap Sorot LED 50W Luxen</t>
  </si>
  <si>
    <t>Beli 5 Bh Stop Kontak 4 Lubang Non Broco</t>
  </si>
  <si>
    <t>Beli 10 Bh Stecker Arde 1331055 Broco</t>
  </si>
  <si>
    <t>Beli 1 Roll NYYHY 3x2,5 Jembo @ 50M</t>
  </si>
  <si>
    <t>Beli 4 Pcs Traffic Cone 70 cm</t>
  </si>
  <si>
    <t>Beli 6 Pcs Boch Hexagon 17 Flat Chisel 1280 (Mata Jackhammer Listrik)</t>
  </si>
  <si>
    <t>Beli 20 Pcs Ember Orange kecil</t>
  </si>
  <si>
    <t>Beli 60 btg Kaso Meranti 4x6</t>
  </si>
  <si>
    <t>Beli 10 Kg Kawat Putih Sedang</t>
  </si>
  <si>
    <t>Beli 5 Kg Paku 5 cm</t>
  </si>
  <si>
    <t>Beli 7 Kg Paku 7 cm</t>
  </si>
  <si>
    <t>Beli 12 Lbr Triplek 12 mm</t>
  </si>
  <si>
    <t>Beli 10 Lbr Triplek 3 mm</t>
  </si>
  <si>
    <t>Beli 4 btg Kaso 4x6</t>
  </si>
  <si>
    <t>Beli 1 Lbr Triplek 3 mm</t>
  </si>
  <si>
    <t>Beli 4 bh Aykan  tepung</t>
  </si>
  <si>
    <t>Beli 2 Roll Benang Nilon Besar</t>
  </si>
  <si>
    <t>Beli 2 Pcs Gembok Honna panjang 40 mm</t>
  </si>
  <si>
    <t>Beli 40 Pcs Ember kecil orange</t>
  </si>
  <si>
    <t>Beli 5 Pcs Jigsaw Kayu Makita nO. 2 Type 34908</t>
  </si>
  <si>
    <t>Beli 4 Pcs Kikir Bacho 4"</t>
  </si>
  <si>
    <t>Beli 2 bh Obeng Minus Sunflag</t>
  </si>
  <si>
    <t xml:space="preserve">Beli 2 bh Obeng Plus Gagang karet Mahoni 5 Inci </t>
  </si>
  <si>
    <t>Beli 4 Pcs Pahat beton ATS 10 Inchi</t>
  </si>
  <si>
    <t>Beli 10 Pcs Pensil Tukang</t>
  </si>
  <si>
    <t>Beli 2 Pcs Tespen Shukaku SKU -278</t>
  </si>
  <si>
    <t>Beli 4 bh Gergaji Kayu Cavanni</t>
  </si>
  <si>
    <t>Beli 2 bh Gelas Ukur besar</t>
  </si>
  <si>
    <t>Beli 4 btg Balok Kayu 5x10 cm 4 M</t>
  </si>
  <si>
    <t>Beli 2 Pack Cutter Kenko L-150</t>
  </si>
  <si>
    <t>Beli 76 Btg Kaso Meranti 4x6</t>
  </si>
  <si>
    <t xml:space="preserve">Beli 10 Kg Kawat Las NSN 309 Dia. 3,2 mm </t>
  </si>
  <si>
    <t>Beli 15 Kg Kawat Putih Sedang</t>
  </si>
  <si>
    <t>Beli 6 Kg Paku 5 cm</t>
  </si>
  <si>
    <t>Beli 8 Kg paku 7 cm</t>
  </si>
  <si>
    <t>Beli 4 Pcs Pisau Cutter Kenko L-500</t>
  </si>
  <si>
    <t>Beli 22 Lbr Triplek 12 mm</t>
  </si>
  <si>
    <t>Beli 8 btg Balok Kayu 5x10 cm  4 M</t>
  </si>
  <si>
    <t>Beli 2 Pcs Isolasi Kabel Nitto 3/4 Inchi x 25 M</t>
  </si>
  <si>
    <t>Beli 140 Btg Kaso Meranti 4x6</t>
  </si>
  <si>
    <t>Beli 3 Pcs Lakban Kertas Daimaru</t>
  </si>
  <si>
    <t>Beli 3 Pcs Lakban Nipon Coklat 2 inchi</t>
  </si>
  <si>
    <t>Beli 1 Kaleng Lem Aibon Aica Aiobon 700g</t>
  </si>
  <si>
    <t>Beli 9 Kg Paku 7 cm</t>
  </si>
  <si>
    <t>Beli 28 Lbr Triplek 12 mm</t>
  </si>
  <si>
    <t>Beli 3 Lbr Triplek 3 mm</t>
  </si>
  <si>
    <t>Beli 5 Pcs Lakban Kertas Daimaru 1 inchi</t>
  </si>
  <si>
    <t>Beli 5 Roll Lakban Bening Daimaru 2 inchi</t>
  </si>
  <si>
    <t>Beli 5 Pcs Lakban Nippon Coklat 2 Inchi</t>
  </si>
  <si>
    <t>Beli 10 Pcs Meteran Soligen 5 m</t>
  </si>
  <si>
    <t>Beli 5 Pcs Palu Kambing Camel gagang Fiber 0,5</t>
  </si>
  <si>
    <t>Beli 6 bh Palu Kambing Camel Gagang Fiber 0,25</t>
  </si>
  <si>
    <t>Beli 4 Pcs Palu kambing Excito kecil</t>
  </si>
  <si>
    <t>Beli 30 bh Sendok Semen Camel 7"</t>
  </si>
  <si>
    <t>Beli 2 Pcs Tang gegep Camel 9"</t>
  </si>
  <si>
    <t>Beli 2 Pcs Tang Kombinasi Profesional</t>
  </si>
  <si>
    <t>Bayar DP Pekerjaan Coring  CV Teknik Perdana</t>
  </si>
  <si>
    <t xml:space="preserve">Beli 1 Unit Handclft </t>
  </si>
  <si>
    <t>Beli bensin dan toll pick up antar alat 2 mobil</t>
  </si>
  <si>
    <t>Ongkos 2 mobil antar material daiki daiki GMT</t>
  </si>
  <si>
    <t>Tip Security &amp; Kuli utk kirim material Daiki</t>
  </si>
  <si>
    <t>Beli 2 gas LPG utk Bakr Sapot Daiki</t>
  </si>
  <si>
    <t xml:space="preserve">DP 3 Truck ambil Castable Indoporlen </t>
  </si>
  <si>
    <t>Beli Terpal (Anwar)</t>
  </si>
  <si>
    <t>Beli Terpal (Niin)</t>
  </si>
  <si>
    <t>Beli 1 Pcs Duct Ventilator Industrial 300mmx10M</t>
  </si>
  <si>
    <t xml:space="preserve">Pelunasan 3 truck ambil material Indoporlen </t>
  </si>
  <si>
    <t>Beli 4 Pcs Ventilator Industrial Fan 300mm (Blower)</t>
  </si>
  <si>
    <t xml:space="preserve">Uang jalan Pak Anwar Kawal alat &amp; begsiting </t>
  </si>
  <si>
    <t xml:space="preserve">Ongkos Mobil antar begisting </t>
  </si>
  <si>
    <t>Beli 10 Pensil Tukang</t>
  </si>
  <si>
    <t>Beli 24 Pack Isi Cutter Kenko</t>
  </si>
  <si>
    <t>Transfer Kas</t>
  </si>
  <si>
    <t>Beli 1 Pcs Daimond Blade NK 14"</t>
  </si>
  <si>
    <t>Beli 1 Pcs Daimond Blade NK 16"</t>
  </si>
  <si>
    <t>Pelunasan sewa Compressor 3 unit 3 hari</t>
  </si>
  <si>
    <t xml:space="preserve">Bayar DP Sewa Kompressor 3 Unit 3 hari </t>
  </si>
  <si>
    <t>Bayar BPJS Daiki Lebaran</t>
  </si>
  <si>
    <t>Beli 5 Pcs Lakban Hitam 2"</t>
  </si>
  <si>
    <t>Beli 5 Pcs Seal Tape</t>
  </si>
  <si>
    <t>Beli 5 Pcs Isolasi Bitto</t>
  </si>
  <si>
    <t>Beli 2 Pcs Kunci Inggris 10"</t>
  </si>
  <si>
    <t>Beli 1 bh Lampu Hannoch 32 W</t>
  </si>
  <si>
    <t>Beli 2 Pcs Lem Tetes Dextone</t>
  </si>
  <si>
    <t>Beli 2 bh Lampu LED Inlite 18 watt</t>
  </si>
  <si>
    <t>Sewa 3 Unit 1 hari Kompressor PDS  (30 maret 2025)</t>
  </si>
  <si>
    <t>Uang makan Operator 1 hari (30 amret 2025)</t>
  </si>
  <si>
    <t>Sewa 3 unit 3 hari Kompressor PDS (1-3 April 2025)</t>
  </si>
  <si>
    <t>Uang makan Operator 5 hari (1-5 April 2025)</t>
  </si>
  <si>
    <t>Sewa 2 unit 2 hari Kompressor PDS (4-5 April 2025)</t>
  </si>
  <si>
    <t>Biaya 5 pcs  Modifikasi Corong Nilon Guunning</t>
  </si>
  <si>
    <t xml:space="preserve">Beli 4 Bks Lem fox </t>
  </si>
  <si>
    <t>Beli 1 bh Kunci Inggris 12</t>
  </si>
  <si>
    <t>Bayar sewa kontrakan rumah 2 unit</t>
  </si>
  <si>
    <t>Baar sewa kontrakan 4 pintu</t>
  </si>
  <si>
    <t>Beli 3 bh Tikar</t>
  </si>
  <si>
    <t>Beli 8 Pcs Tikar Dolpin</t>
  </si>
  <si>
    <t>Biaya Print A3</t>
  </si>
  <si>
    <t>Beli BBM Motor</t>
  </si>
  <si>
    <t>Bayar sewa ELF 4 unit antar pekerja Shift siang</t>
  </si>
  <si>
    <t>Bayar sewa ELF 4 unit antar shift malam</t>
  </si>
  <si>
    <t>Tip Pak Derry</t>
  </si>
  <si>
    <t>Beli 51 bks nasi utk shift malam</t>
  </si>
  <si>
    <t>Beli 3 bks nasi utk maintenace Pak Ade</t>
  </si>
  <si>
    <t>Beli 4 galon Lee mineral air @ 15 Liter</t>
  </si>
  <si>
    <t>Beli solar mobil L-300</t>
  </si>
  <si>
    <t xml:space="preserve">Uang tip Kuli Compressor datang </t>
  </si>
  <si>
    <t>Beli 3 bh Colokan utk Mess</t>
  </si>
  <si>
    <t xml:space="preserve">Tip Maintenace Plant 1 </t>
  </si>
  <si>
    <t>Tip Mainteance Plant 2</t>
  </si>
  <si>
    <t>Beli 2 Pcs Mata gergaji Jigsaw</t>
  </si>
  <si>
    <t>Beli 2 Pcs faceshield</t>
  </si>
  <si>
    <t>Beli 2 Box Mata Gerinda WD tipis</t>
  </si>
  <si>
    <t>Beli 15 Lbr Triplek 3 mm</t>
  </si>
  <si>
    <t>Beli 20 Ikat kawat putih BWG</t>
  </si>
  <si>
    <t>Beli 10 Kg Paku 5 cm</t>
  </si>
  <si>
    <t>Beli 3 Dus Paku GRC</t>
  </si>
  <si>
    <t>Beli 1 Pcs Spidol</t>
  </si>
  <si>
    <t>Beli 6 Box Masker Medis</t>
  </si>
  <si>
    <t>Beli nasi 4 bks utk lembur malam</t>
  </si>
  <si>
    <t>Beli obat tetes mata dan obat obatan</t>
  </si>
  <si>
    <t>Beli BBM Mobil Suzuki</t>
  </si>
  <si>
    <t>Beli Herocyn</t>
  </si>
  <si>
    <t>Top Up Etoll mobil Suzuki</t>
  </si>
  <si>
    <t>Tip team Security</t>
  </si>
  <si>
    <t>Beli 2 Pack kawat LAS RD 260 Dia. 3,2 mm @5Kg</t>
  </si>
  <si>
    <t>Beli 3 Pcs Carbon Brush</t>
  </si>
  <si>
    <t>Beli 2 galon air minum</t>
  </si>
  <si>
    <t>Beli 4 bks nasi utk lembur</t>
  </si>
  <si>
    <t>Bayar sewa ELF 4 unit antar pulang Shift Malam</t>
  </si>
  <si>
    <t>Bayar sewa ELF 4 unit anter pulang shift pagi</t>
  </si>
  <si>
    <t>Uang Rokok Security KKIC Num pang Parkir</t>
  </si>
  <si>
    <t>Uang makan operator Coring</t>
  </si>
  <si>
    <t>Beli BBM Motor Rendy</t>
  </si>
  <si>
    <t xml:space="preserve">Biaya print dokument harian </t>
  </si>
  <si>
    <t>Bayar sewa mobil ELF 4 unit ke proyek utk Shift siang</t>
  </si>
  <si>
    <t>Bayar sewa mobil ELF 4 unit ke proyek utk Shift malam</t>
  </si>
  <si>
    <t>Beli BBM Mobil L300</t>
  </si>
  <si>
    <t>Beli nasi 4 bks utk lembur</t>
  </si>
  <si>
    <t>Uang makan op. coring</t>
  </si>
  <si>
    <t>Beli nasi 5 bks utk lembur</t>
  </si>
  <si>
    <t>Beli obat obatan</t>
  </si>
  <si>
    <t>Top Up Etoll Mobil L300</t>
  </si>
  <si>
    <t>Beli 11 btg Kaso 4x6</t>
  </si>
  <si>
    <t>Beli Pocary Sweat shift siang</t>
  </si>
  <si>
    <t>Beli Pocary sweat shift malam</t>
  </si>
  <si>
    <t>Tip Kuli kawasan datang kaso dan pipa</t>
  </si>
  <si>
    <t>Beli 1 kotak isi cutter</t>
  </si>
  <si>
    <t>Beli 8 pcs Pensil tulkang</t>
  </si>
  <si>
    <t>Beli 10 bks nasi utk lembur</t>
  </si>
  <si>
    <t>Beli Aki mobil L300</t>
  </si>
  <si>
    <t>Beli BBM Mobil L-300</t>
  </si>
  <si>
    <t>Beli BBm mobil Suzuki</t>
  </si>
  <si>
    <t>Beli 3 galon air m inum Lee mineral</t>
  </si>
  <si>
    <t>Tip Kuli dan Forklift turunkan Mixer</t>
  </si>
  <si>
    <t>Beli 30 pcs ember kecil</t>
  </si>
  <si>
    <t>Beli 2 Pcs Diamond Cup</t>
  </si>
  <si>
    <t>Biaya print, strples, map, dan pulpen</t>
  </si>
  <si>
    <t xml:space="preserve">Beli 2 pcs saringan </t>
  </si>
  <si>
    <t xml:space="preserve">Beli 3 dus Masker kesehatan </t>
  </si>
  <si>
    <t xml:space="preserve">Beli 4 pcs kuas cat </t>
  </si>
  <si>
    <t xml:space="preserve">Beli 4 Pcs Diamond Cup </t>
  </si>
  <si>
    <t>Beli BBM motor</t>
  </si>
  <si>
    <t>Beli 2 klg lem Fox</t>
  </si>
  <si>
    <t>Beli BBM mpbil Suzuki</t>
  </si>
  <si>
    <t>Tip op. forklift muat alat ke mobil</t>
  </si>
  <si>
    <t>Bayar mobil ELF dan Carry antar pulang pekerja</t>
  </si>
  <si>
    <t>Tip operair forklift</t>
  </si>
  <si>
    <t>Beli 12 bks nasi utk shift malam</t>
  </si>
  <si>
    <t>Beli 2 bks nasi utk lembur malam</t>
  </si>
  <si>
    <t>Top up Etoll mobil Suzuki</t>
  </si>
  <si>
    <t>Top Up mobil L300</t>
  </si>
  <si>
    <t>Tip operator forklift muat alat 2 mobil</t>
  </si>
  <si>
    <t xml:space="preserve">Uang rokok hansip parkir 2 mobil di mess </t>
  </si>
  <si>
    <t>Sewa 1 unit ELF antar pulang pekerja</t>
  </si>
  <si>
    <t>Top up Etoll mobil L300</t>
  </si>
  <si>
    <t>Beli BBM mobil L300</t>
  </si>
  <si>
    <t>Beli 6 Pack Sarung Tangan Kain</t>
  </si>
  <si>
    <t>Beli nasi 2 bks utk lembur malam</t>
  </si>
  <si>
    <t>Beli 2 b ks nasi utk shift malam</t>
  </si>
  <si>
    <t>Beli batu batre utk Thermogun</t>
  </si>
  <si>
    <t>Tip uang kuli arang dateng</t>
  </si>
  <si>
    <t>Tip Operator Forklift muat Castable (mobil Kuncung)</t>
  </si>
  <si>
    <t>Tip Operator Forklift muat Castable (Truck)</t>
  </si>
  <si>
    <t>Beli nasi 2 bks utk Shift malam</t>
  </si>
  <si>
    <t>Bayarsewa mobil ELF antar pulang pekerja</t>
  </si>
  <si>
    <t>Bayar gaji Dadan</t>
  </si>
  <si>
    <t>Bayar gaji Dadan Hamdani</t>
  </si>
  <si>
    <t>Bayar gaji Edi Kurnaedi</t>
  </si>
  <si>
    <t>Bayar gaji Iwan fauzi</t>
  </si>
  <si>
    <t>bayar gaji Muhammad Sopyan</t>
  </si>
  <si>
    <t>Bayar gaji Sandi ramdani</t>
  </si>
  <si>
    <t>Bayar gaji Suhendar</t>
  </si>
  <si>
    <t>Kasbon Dadan</t>
  </si>
  <si>
    <t>Kasbon Dadan Hamdani</t>
  </si>
  <si>
    <t>Kasbon Edi Kurnaedi</t>
  </si>
  <si>
    <t>Kasbon Muhammd Sopyan</t>
  </si>
  <si>
    <t>Kasbon Sandi Ramdani</t>
  </si>
  <si>
    <t>Kasbon Suhendar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</si>
  <si>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</si>
  <si>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</si>
  <si>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</si>
  <si>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</si>
  <si>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</si>
  <si>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</si>
  <si>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</si>
  <si>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</si>
  <si>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</si>
  <si>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</si>
  <si>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Mesin Mixer</t>
  </si>
  <si>
    <t>Mesin Cutting Brick</t>
  </si>
  <si>
    <t>11</t>
  </si>
  <si>
    <t>Repair Refractory Rotary  Furnace 5T Plant 1</t>
  </si>
  <si>
    <t>Repair Refractory Melting 20T Plant I</t>
  </si>
  <si>
    <t>2-DAI 2411049</t>
  </si>
  <si>
    <t>Mesin Gunning + Asesories</t>
  </si>
  <si>
    <t>Mesin Las 5 unit 7 hari</t>
  </si>
  <si>
    <t>Sewa Mesin Cutting Brick 5 unit 6 hari</t>
  </si>
  <si>
    <t xml:space="preserve">Diamond Blade 3 Pcs </t>
  </si>
  <si>
    <t>Sewa Jackhammer 37 Unit 5 hari</t>
  </si>
  <si>
    <t>Sewa Mixer  10 Unit 5  hari</t>
  </si>
  <si>
    <t>Sewa Vibrator  20 Unit 5  hari</t>
  </si>
  <si>
    <t xml:space="preserve">Uang makan </t>
  </si>
  <si>
    <t>Jackhamer</t>
  </si>
  <si>
    <t xml:space="preserve">Cutting Brick </t>
  </si>
  <si>
    <t xml:space="preserve">Sewa Compressor 2 hari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</si>
</sst>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164" formatCode="[$-409]d\-mmm\-yy;@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??_);_(@_)"/>
    <numFmt numFmtId="168" formatCode="#,##0;[Red]#,##0"/>
    <numFmt numFmtId="169" formatCode="#,##0.00;[Red]#,##0.00"/>
    <numFmt numFmtId="170" formatCode="[$-13809]dd/mm/yyyy;@"/>
  </numFmts>
  <fonts count="17"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Book Antiqua"/>
      <family val="1"/>
    </font>
    <font>
      <sz val="7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165" fontId="10" fillId="0" borderId="0" applyFont="0" applyFill="0" applyBorder="0" applyAlignment="0" applyProtection="0"/>
  </cellStyleXfs>
  <cellXfs count="203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66" fontId="4" fillId="0" borderId="12" xfId="0" applyNumberFormat="1" applyFont="1" applyBorder="1" applyAlignment="1">
      <alignment horizontal="center" vertical="center" wrapText="1"/>
    </xf>
    <xf numFmtId="166" fontId="4" fillId="0" borderId="13" xfId="0" applyNumberFormat="1" applyFont="1" applyBorder="1" applyAlignment="1">
      <alignment horizontal="center" vertical="center" wrapText="1"/>
    </xf>
    <xf numFmtId="166" fontId="4" fillId="0" borderId="15" xfId="0" applyNumberFormat="1" applyFont="1" applyBorder="1" applyAlignment="1">
      <alignment horizontal="center" vertical="center" wrapText="1"/>
    </xf>
    <xf numFmtId="166" fontId="4" fillId="0" borderId="16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166" fontId="4" fillId="2" borderId="22" xfId="0" applyNumberFormat="1" applyFont="1" applyFill="1" applyBorder="1" applyAlignment="1">
      <alignment vertical="center"/>
    </xf>
    <xf numFmtId="166" fontId="4" fillId="2" borderId="23" xfId="0" applyNumberFormat="1" applyFont="1" applyFill="1" applyBorder="1" applyAlignment="1">
      <alignment vertical="center"/>
    </xf>
    <xf numFmtId="166" fontId="4" fillId="2" borderId="21" xfId="0" applyNumberFormat="1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164" fontId="4" fillId="0" borderId="23" xfId="0" applyNumberFormat="1" applyFont="1" applyBorder="1" applyAlignment="1">
      <alignment vertical="center"/>
    </xf>
    <xf numFmtId="166" fontId="4" fillId="0" borderId="16" xfId="1" applyNumberFormat="1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24" xfId="1" applyNumberFormat="1" applyFont="1" applyBorder="1" applyAlignment="1">
      <alignment vertical="center"/>
    </xf>
    <xf numFmtId="167" fontId="1" fillId="0" borderId="0" xfId="1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left" vertical="center"/>
    </xf>
    <xf numFmtId="166" fontId="6" fillId="3" borderId="0" xfId="0" applyNumberFormat="1" applyFont="1" applyFill="1" applyAlignment="1">
      <alignment horizontal="left" vertical="center"/>
    </xf>
    <xf numFmtId="167" fontId="7" fillId="2" borderId="0" xfId="1" applyNumberFormat="1" applyFont="1" applyFill="1" applyBorder="1" applyAlignment="1">
      <alignment horizontal="left" vertical="center"/>
    </xf>
    <xf numFmtId="166" fontId="1" fillId="2" borderId="0" xfId="1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166" fontId="1" fillId="2" borderId="18" xfId="0" applyNumberFormat="1" applyFont="1" applyFill="1" applyBorder="1" applyAlignment="1">
      <alignment horizontal="left" vertical="center"/>
    </xf>
    <xf numFmtId="166" fontId="1" fillId="2" borderId="10" xfId="0" applyNumberFormat="1" applyFont="1" applyFill="1" applyBorder="1" applyAlignment="1">
      <alignment horizontal="center" vertical="center" wrapText="1"/>
    </xf>
    <xf numFmtId="164" fontId="1" fillId="2" borderId="22" xfId="0" applyNumberFormat="1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166" fontId="1" fillId="2" borderId="15" xfId="0" applyNumberFormat="1" applyFont="1" applyFill="1" applyBorder="1" applyAlignment="1">
      <alignment horizontal="center" vertical="center" wrapText="1"/>
    </xf>
    <xf numFmtId="164" fontId="1" fillId="2" borderId="23" xfId="0" applyNumberFormat="1" applyFont="1" applyFill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64" fontId="3" fillId="2" borderId="30" xfId="0" applyNumberFormat="1" applyFont="1" applyFill="1" applyBorder="1" applyAlignment="1">
      <alignment horizontal="left" vertical="center"/>
    </xf>
    <xf numFmtId="166" fontId="3" fillId="2" borderId="31" xfId="0" applyNumberFormat="1" applyFont="1" applyFill="1" applyBorder="1" applyAlignment="1">
      <alignment vertical="center"/>
    </xf>
    <xf numFmtId="166" fontId="1" fillId="0" borderId="32" xfId="0" applyNumberFormat="1" applyFont="1" applyBorder="1" applyAlignment="1">
      <alignment vertical="center"/>
    </xf>
    <xf numFmtId="166" fontId="1" fillId="2" borderId="32" xfId="0" applyNumberFormat="1" applyFont="1" applyFill="1" applyBorder="1" applyAlignment="1">
      <alignment vertical="center"/>
    </xf>
    <xf numFmtId="166" fontId="3" fillId="0" borderId="33" xfId="0" applyNumberFormat="1" applyFont="1" applyBorder="1" applyAlignment="1">
      <alignment horizontal="left" vertical="center"/>
    </xf>
    <xf numFmtId="166" fontId="3" fillId="0" borderId="34" xfId="0" applyNumberFormat="1" applyFont="1" applyBorder="1" applyAlignment="1">
      <alignment vertical="center"/>
    </xf>
    <xf numFmtId="166" fontId="1" fillId="0" borderId="36" xfId="0" applyNumberFormat="1" applyFont="1" applyBorder="1" applyAlignment="1">
      <alignment vertical="center"/>
    </xf>
    <xf numFmtId="166" fontId="1" fillId="0" borderId="36" xfId="1" applyNumberFormat="1" applyFont="1" applyBorder="1" applyAlignment="1">
      <alignment vertical="center"/>
    </xf>
    <xf numFmtId="166" fontId="1" fillId="0" borderId="37" xfId="0" applyNumberFormat="1" applyFont="1" applyBorder="1" applyAlignment="1">
      <alignment vertical="center"/>
    </xf>
    <xf numFmtId="166" fontId="1" fillId="0" borderId="38" xfId="0" applyNumberFormat="1" applyFont="1" applyBorder="1" applyAlignment="1">
      <alignment vertical="center"/>
    </xf>
    <xf numFmtId="166" fontId="9" fillId="2" borderId="0" xfId="1" applyNumberFormat="1" applyFont="1" applyFill="1" applyBorder="1" applyAlignment="1">
      <alignment vertical="center"/>
    </xf>
    <xf numFmtId="166" fontId="1" fillId="2" borderId="0" xfId="1" applyNumberFormat="1" applyFont="1" applyFill="1" applyBorder="1" applyAlignment="1">
      <alignment vertical="center"/>
    </xf>
    <xf numFmtId="166" fontId="4" fillId="0" borderId="13" xfId="0" applyNumberFormat="1" applyFont="1" applyBorder="1" applyAlignment="1">
      <alignment vertical="center" wrapText="1"/>
    </xf>
    <xf numFmtId="0" fontId="12" fillId="0" borderId="16" xfId="0" applyFont="1" applyBorder="1" applyAlignment="1">
      <alignment horizontal="left" vertical="center"/>
    </xf>
    <xf numFmtId="166" fontId="1" fillId="0" borderId="37" xfId="1" applyNumberFormat="1" applyFont="1" applyBorder="1" applyAlignment="1">
      <alignment vertical="center"/>
    </xf>
    <xf numFmtId="166" fontId="4" fillId="2" borderId="19" xfId="0" applyNumberFormat="1" applyFont="1" applyFill="1" applyBorder="1" applyAlignment="1">
      <alignment vertical="center"/>
    </xf>
    <xf numFmtId="166" fontId="4" fillId="2" borderId="20" xfId="0" applyNumberFormat="1" applyFont="1" applyFill="1" applyBorder="1" applyAlignment="1">
      <alignment vertical="center"/>
    </xf>
    <xf numFmtId="166" fontId="1" fillId="2" borderId="35" xfId="1" applyNumberFormat="1" applyFont="1" applyFill="1" applyBorder="1" applyAlignment="1">
      <alignment vertical="center"/>
    </xf>
    <xf numFmtId="166" fontId="1" fillId="0" borderId="50" xfId="1" applyNumberFormat="1" applyFont="1" applyBorder="1" applyAlignment="1">
      <alignment vertical="center"/>
    </xf>
    <xf numFmtId="166" fontId="4" fillId="0" borderId="22" xfId="0" applyNumberFormat="1" applyFont="1" applyBorder="1" applyAlignment="1">
      <alignment vertical="center"/>
    </xf>
    <xf numFmtId="166" fontId="4" fillId="0" borderId="9" xfId="1" applyNumberFormat="1" applyFont="1" applyBorder="1" applyAlignment="1">
      <alignment horizontal="center" vertical="center" wrapText="1"/>
    </xf>
    <xf numFmtId="166" fontId="1" fillId="0" borderId="50" xfId="0" applyNumberFormat="1" applyFont="1" applyBorder="1" applyAlignment="1">
      <alignment horizontal="center" vertical="center"/>
    </xf>
    <xf numFmtId="166" fontId="4" fillId="0" borderId="13" xfId="0" applyNumberFormat="1" applyFont="1" applyBorder="1" applyAlignment="1">
      <alignment vertical="center"/>
    </xf>
    <xf numFmtId="166" fontId="4" fillId="0" borderId="47" xfId="0" applyNumberFormat="1" applyFont="1" applyBorder="1" applyAlignment="1">
      <alignment vertical="center"/>
    </xf>
    <xf numFmtId="166" fontId="4" fillId="0" borderId="51" xfId="1" applyNumberFormat="1" applyFont="1" applyBorder="1" applyAlignment="1">
      <alignment horizontal="center" vertical="center" wrapText="1"/>
    </xf>
    <xf numFmtId="166" fontId="1" fillId="0" borderId="2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166" fontId="14" fillId="2" borderId="0" xfId="1" applyNumberFormat="1" applyFont="1" applyFill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169" fontId="14" fillId="2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4" fillId="2" borderId="52" xfId="0" applyNumberFormat="1" applyFont="1" applyFill="1" applyBorder="1" applyAlignment="1">
      <alignment vertical="center"/>
    </xf>
    <xf numFmtId="166" fontId="1" fillId="0" borderId="0" xfId="1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left" vertical="center"/>
    </xf>
    <xf numFmtId="166" fontId="9" fillId="0" borderId="0" xfId="1" applyNumberFormat="1" applyFont="1" applyFill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3" fillId="0" borderId="50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vertical="center"/>
    </xf>
    <xf numFmtId="164" fontId="4" fillId="0" borderId="28" xfId="0" applyNumberFormat="1" applyFont="1" applyBorder="1" applyAlignment="1">
      <alignment vertical="center"/>
    </xf>
    <xf numFmtId="166" fontId="15" fillId="0" borderId="0" xfId="1" applyNumberFormat="1" applyFont="1" applyFill="1" applyBorder="1" applyAlignment="1">
      <alignment horizontal="left" vertical="center"/>
    </xf>
    <xf numFmtId="166" fontId="9" fillId="0" borderId="53" xfId="1" applyNumberFormat="1" applyFont="1" applyFill="1" applyBorder="1" applyAlignment="1">
      <alignment vertical="center"/>
    </xf>
    <xf numFmtId="168" fontId="1" fillId="0" borderId="53" xfId="0" applyNumberFormat="1" applyFont="1" applyBorder="1" applyAlignment="1">
      <alignment vertical="center"/>
    </xf>
    <xf numFmtId="42" fontId="1" fillId="0" borderId="0" xfId="0" applyNumberFormat="1" applyFont="1" applyAlignment="1">
      <alignment vertical="center"/>
    </xf>
    <xf numFmtId="166" fontId="1" fillId="2" borderId="16" xfId="0" applyNumberFormat="1" applyFont="1" applyFill="1" applyBorder="1" applyAlignment="1">
      <alignment horizontal="left" vertical="center"/>
    </xf>
    <xf numFmtId="166" fontId="4" fillId="0" borderId="14" xfId="0" applyNumberFormat="1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8" fontId="1" fillId="0" borderId="0" xfId="0" applyNumberFormat="1" applyFont="1" applyBorder="1" applyAlignment="1">
      <alignment vertical="center"/>
    </xf>
    <xf numFmtId="166" fontId="4" fillId="0" borderId="18" xfId="0" applyNumberFormat="1" applyFont="1" applyBorder="1" applyAlignment="1">
      <alignment vertical="center"/>
    </xf>
    <xf numFmtId="166" fontId="4" fillId="0" borderId="55" xfId="0" applyNumberFormat="1" applyFont="1" applyBorder="1" applyAlignment="1">
      <alignment vertical="center"/>
    </xf>
    <xf numFmtId="166" fontId="4" fillId="0" borderId="11" xfId="0" applyNumberFormat="1" applyFont="1" applyBorder="1" applyAlignment="1">
      <alignment vertical="center"/>
    </xf>
    <xf numFmtId="166" fontId="4" fillId="0" borderId="10" xfId="0" applyNumberFormat="1" applyFont="1" applyBorder="1" applyAlignment="1">
      <alignment horizontal="center" vertical="center" wrapText="1"/>
    </xf>
    <xf numFmtId="166" fontId="4" fillId="0" borderId="18" xfId="0" applyNumberFormat="1" applyFont="1" applyBorder="1" applyAlignment="1">
      <alignment horizontal="center" vertical="center" wrapText="1"/>
    </xf>
    <xf numFmtId="166" fontId="4" fillId="0" borderId="18" xfId="0" applyNumberFormat="1" applyFont="1" applyBorder="1" applyAlignment="1">
      <alignment vertical="center" wrapText="1"/>
    </xf>
    <xf numFmtId="166" fontId="4" fillId="2" borderId="11" xfId="0" applyNumberFormat="1" applyFont="1" applyFill="1" applyBorder="1" applyAlignment="1">
      <alignment vertical="center"/>
    </xf>
    <xf numFmtId="166" fontId="4" fillId="2" borderId="57" xfId="0" applyNumberFormat="1" applyFont="1" applyFill="1" applyBorder="1" applyAlignment="1">
      <alignment vertical="center"/>
    </xf>
    <xf numFmtId="166" fontId="4" fillId="2" borderId="56" xfId="0" applyNumberFormat="1" applyFont="1" applyFill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Fill="1" applyBorder="1" applyAlignment="1">
      <alignment horizontal="left" vertical="center"/>
    </xf>
    <xf numFmtId="166" fontId="1" fillId="0" borderId="0" xfId="0" applyNumberFormat="1" applyFont="1" applyBorder="1" applyAlignment="1">
      <alignment vertical="center"/>
    </xf>
    <xf numFmtId="42" fontId="1" fillId="0" borderId="0" xfId="0" applyNumberFormat="1" applyFont="1" applyAlignment="1">
      <alignment horizontal="center" vertical="center"/>
    </xf>
    <xf numFmtId="42" fontId="9" fillId="0" borderId="0" xfId="1" applyNumberFormat="1" applyFont="1" applyFill="1" applyBorder="1" applyAlignment="1">
      <alignment horizontal="center" vertical="center"/>
    </xf>
    <xf numFmtId="166" fontId="4" fillId="2" borderId="58" xfId="0" applyNumberFormat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168" fontId="1" fillId="0" borderId="29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166" fontId="1" fillId="0" borderId="53" xfId="0" applyNumberFormat="1" applyFont="1" applyBorder="1" applyAlignment="1">
      <alignment vertical="center"/>
    </xf>
    <xf numFmtId="42" fontId="1" fillId="0" borderId="53" xfId="0" applyNumberFormat="1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42" fontId="3" fillId="0" borderId="59" xfId="0" applyNumberFormat="1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166" fontId="4" fillId="0" borderId="23" xfId="0" applyNumberFormat="1" applyFont="1" applyBorder="1" applyAlignment="1">
      <alignment vertical="center"/>
    </xf>
    <xf numFmtId="166" fontId="4" fillId="0" borderId="23" xfId="0" applyNumberFormat="1" applyFont="1" applyBorder="1" applyAlignment="1">
      <alignment horizontal="center" vertical="center" wrapText="1"/>
    </xf>
    <xf numFmtId="166" fontId="4" fillId="0" borderId="23" xfId="0" applyNumberFormat="1" applyFont="1" applyBorder="1" applyAlignment="1">
      <alignment vertical="center" wrapText="1"/>
    </xf>
    <xf numFmtId="166" fontId="4" fillId="0" borderId="28" xfId="1" applyNumberFormat="1" applyFont="1" applyBorder="1" applyAlignment="1">
      <alignment horizontal="center" vertical="center" wrapText="1"/>
    </xf>
    <xf numFmtId="166" fontId="4" fillId="0" borderId="28" xfId="0" applyNumberFormat="1" applyFont="1" applyBorder="1" applyAlignment="1">
      <alignment horizontal="center" vertical="center" wrapText="1"/>
    </xf>
    <xf numFmtId="166" fontId="4" fillId="0" borderId="28" xfId="0" applyNumberFormat="1" applyFont="1" applyBorder="1" applyAlignment="1">
      <alignment vertical="center" wrapText="1"/>
    </xf>
    <xf numFmtId="166" fontId="8" fillId="0" borderId="28" xfId="0" applyNumberFormat="1" applyFont="1" applyBorder="1" applyAlignment="1">
      <alignment horizontal="center" vertical="center" wrapText="1"/>
    </xf>
    <xf numFmtId="166" fontId="4" fillId="2" borderId="28" xfId="0" applyNumberFormat="1" applyFont="1" applyFill="1" applyBorder="1" applyAlignment="1">
      <alignment vertical="center"/>
    </xf>
    <xf numFmtId="166" fontId="1" fillId="0" borderId="38" xfId="1" applyNumberFormat="1" applyFont="1" applyBorder="1" applyAlignment="1">
      <alignment vertical="center"/>
    </xf>
    <xf numFmtId="166" fontId="4" fillId="2" borderId="7" xfId="0" applyNumberFormat="1" applyFont="1" applyFill="1" applyBorder="1" applyAlignment="1">
      <alignment vertical="center"/>
    </xf>
    <xf numFmtId="170" fontId="1" fillId="0" borderId="2" xfId="0" applyNumberFormat="1" applyFont="1" applyBorder="1" applyAlignment="1">
      <alignment vertical="center"/>
    </xf>
    <xf numFmtId="170" fontId="3" fillId="0" borderId="11" xfId="0" applyNumberFormat="1" applyFont="1" applyBorder="1" applyAlignment="1">
      <alignment horizontal="center" vertical="center" wrapText="1"/>
    </xf>
    <xf numFmtId="170" fontId="4" fillId="0" borderId="23" xfId="0" applyNumberFormat="1" applyFont="1" applyBorder="1" applyAlignment="1">
      <alignment vertical="center"/>
    </xf>
    <xf numFmtId="170" fontId="4" fillId="0" borderId="28" xfId="0" applyNumberFormat="1" applyFont="1" applyBorder="1" applyAlignment="1">
      <alignment vertical="center"/>
    </xf>
    <xf numFmtId="170" fontId="1" fillId="0" borderId="24" xfId="0" applyNumberFormat="1" applyFont="1" applyBorder="1" applyAlignment="1">
      <alignment vertical="center"/>
    </xf>
    <xf numFmtId="170" fontId="1" fillId="0" borderId="0" xfId="0" applyNumberFormat="1" applyFont="1" applyAlignment="1">
      <alignment vertical="center"/>
    </xf>
    <xf numFmtId="170" fontId="1" fillId="2" borderId="0" xfId="0" applyNumberFormat="1" applyFont="1" applyFill="1" applyAlignment="1">
      <alignment horizontal="left" vertical="center"/>
    </xf>
    <xf numFmtId="170" fontId="1" fillId="2" borderId="11" xfId="0" applyNumberFormat="1" applyFont="1" applyFill="1" applyBorder="1" applyAlignment="1">
      <alignment horizontal="left" vertical="center"/>
    </xf>
    <xf numFmtId="170" fontId="1" fillId="2" borderId="22" xfId="0" applyNumberFormat="1" applyFont="1" applyFill="1" applyBorder="1" applyAlignment="1">
      <alignment horizontal="left" vertical="center"/>
    </xf>
    <xf numFmtId="170" fontId="1" fillId="2" borderId="23" xfId="0" applyNumberFormat="1" applyFont="1" applyFill="1" applyBorder="1" applyAlignment="1">
      <alignment horizontal="left" vertical="center"/>
    </xf>
    <xf numFmtId="170" fontId="1" fillId="0" borderId="29" xfId="0" applyNumberFormat="1" applyFont="1" applyBorder="1" applyAlignment="1">
      <alignment vertical="center"/>
    </xf>
    <xf numFmtId="168" fontId="14" fillId="2" borderId="0" xfId="1" applyNumberFormat="1" applyFont="1" applyFill="1" applyAlignment="1">
      <alignment horizontal="center" vertical="center"/>
    </xf>
    <xf numFmtId="168" fontId="9" fillId="2" borderId="0" xfId="1" applyNumberFormat="1" applyFont="1" applyFill="1" applyBorder="1" applyAlignment="1">
      <alignment vertical="center"/>
    </xf>
    <xf numFmtId="168" fontId="3" fillId="0" borderId="0" xfId="0" applyNumberFormat="1" applyFont="1" applyAlignment="1">
      <alignment vertical="center"/>
    </xf>
    <xf numFmtId="168" fontId="1" fillId="0" borderId="0" xfId="1" applyNumberFormat="1" applyFont="1" applyFill="1" applyBorder="1" applyAlignment="1">
      <alignment horizontal="left" vertical="center"/>
    </xf>
    <xf numFmtId="168" fontId="3" fillId="0" borderId="0" xfId="1" applyNumberFormat="1" applyFont="1" applyFill="1" applyBorder="1" applyAlignment="1">
      <alignment horizontal="left" vertical="center"/>
    </xf>
    <xf numFmtId="168" fontId="1" fillId="0" borderId="0" xfId="0" applyNumberFormat="1" applyFont="1" applyBorder="1" applyAlignment="1">
      <alignment vertical="center" wrapText="1"/>
    </xf>
    <xf numFmtId="168" fontId="15" fillId="0" borderId="0" xfId="1" applyNumberFormat="1" applyFont="1" applyFill="1" applyBorder="1" applyAlignment="1">
      <alignment horizontal="left" vertical="center"/>
    </xf>
    <xf numFmtId="168" fontId="1" fillId="2" borderId="0" xfId="1" applyNumberFormat="1" applyFont="1" applyFill="1" applyBorder="1" applyAlignment="1">
      <alignment horizontal="center" vertical="center"/>
    </xf>
    <xf numFmtId="42" fontId="3" fillId="0" borderId="11" xfId="0" applyNumberFormat="1" applyFont="1" applyBorder="1" applyAlignment="1">
      <alignment horizontal="center" vertical="center" wrapText="1"/>
    </xf>
    <xf numFmtId="42" fontId="4" fillId="0" borderId="23" xfId="0" applyNumberFormat="1" applyFont="1" applyBorder="1" applyAlignment="1">
      <alignment horizontal="center" vertical="center" wrapText="1"/>
    </xf>
    <xf numFmtId="42" fontId="4" fillId="0" borderId="28" xfId="0" applyNumberFormat="1" applyFont="1" applyBorder="1" applyAlignment="1">
      <alignment horizontal="center" vertical="center" wrapText="1"/>
    </xf>
    <xf numFmtId="42" fontId="1" fillId="0" borderId="24" xfId="1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6" fontId="1" fillId="0" borderId="32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/>
    </xf>
    <xf numFmtId="166" fontId="1" fillId="0" borderId="38" xfId="0" applyNumberFormat="1" applyFont="1" applyBorder="1" applyAlignment="1">
      <alignment horizontal="center" vertical="center"/>
    </xf>
    <xf numFmtId="42" fontId="3" fillId="0" borderId="0" xfId="0" applyNumberFormat="1" applyFont="1" applyBorder="1" applyAlignment="1">
      <alignment vertical="center"/>
    </xf>
    <xf numFmtId="42" fontId="1" fillId="0" borderId="11" xfId="0" applyNumberFormat="1" applyFont="1" applyBorder="1" applyAlignment="1">
      <alignment horizontal="center" vertical="center" wrapText="1"/>
    </xf>
    <xf numFmtId="42" fontId="1" fillId="0" borderId="23" xfId="0" applyNumberFormat="1" applyFont="1" applyBorder="1" applyAlignment="1">
      <alignment horizontal="center" vertical="center" wrapText="1"/>
    </xf>
    <xf numFmtId="42" fontId="1" fillId="0" borderId="28" xfId="0" applyNumberFormat="1" applyFont="1" applyBorder="1" applyAlignment="1">
      <alignment horizontal="center" vertical="center" wrapText="1"/>
    </xf>
    <xf numFmtId="14" fontId="4" fillId="0" borderId="23" xfId="0" applyNumberFormat="1" applyFont="1" applyBorder="1" applyAlignment="1">
      <alignment horizontal="left" vertical="center"/>
    </xf>
    <xf numFmtId="170" fontId="1" fillId="0" borderId="0" xfId="0" quotePrefix="1" applyNumberFormat="1" applyFont="1" applyAlignment="1">
      <alignment horizontal="right" vertical="center"/>
    </xf>
    <xf numFmtId="42" fontId="1" fillId="0" borderId="53" xfId="0" applyNumberFormat="1" applyFont="1" applyBorder="1" applyAlignment="1">
      <alignment horizontal="center" vertical="center"/>
    </xf>
    <xf numFmtId="42" fontId="1" fillId="0" borderId="0" xfId="0" applyNumberFormat="1" applyFont="1" applyFill="1" applyAlignment="1">
      <alignment vertical="center"/>
    </xf>
    <xf numFmtId="42" fontId="1" fillId="0" borderId="0" xfId="0" applyNumberFormat="1" applyFont="1" applyFill="1" applyAlignment="1">
      <alignment horizontal="center" vertical="center"/>
    </xf>
    <xf numFmtId="0" fontId="11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0" fontId="3" fillId="0" borderId="39" xfId="0" applyNumberFormat="1" applyFont="1" applyBorder="1" applyAlignment="1">
      <alignment horizontal="center" vertical="center" wrapText="1"/>
    </xf>
    <xf numFmtId="170" fontId="3" fillId="0" borderId="40" xfId="0" applyNumberFormat="1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168" fontId="3" fillId="0" borderId="41" xfId="0" applyNumberFormat="1" applyFont="1" applyBorder="1" applyAlignment="1">
      <alignment horizontal="center" vertical="center" wrapText="1"/>
    </xf>
    <xf numFmtId="168" fontId="3" fillId="0" borderId="42" xfId="0" applyNumberFormat="1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448</xdr:row>
      <xdr:rowOff>0</xdr:rowOff>
    </xdr:from>
    <xdr:to>
      <xdr:col>7</xdr:col>
      <xdr:colOff>304800</xdr:colOff>
      <xdr:row>485</xdr:row>
      <xdr:rowOff>182033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D4D25-7634-4067-AECE-FF8E0B8B7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006875"/>
          <a:ext cx="8505825" cy="7582958"/>
        </a:xfrm>
        <a:prstGeom prst="rect">
          <a:avLst/>
        </a:prstGeom>
      </xdr:spPr>
    </xdr:pic>
    <xdr:clientData/>
  </xdr:twoCellAnchor>
  <xdr:twoCellAnchor editAs="oneCell">
    <xdr:from>
      <xdr:col>7</xdr:col>
      <xdr:colOff>1609725</xdr:colOff>
      <xdr:row>437</xdr:row>
      <xdr:rowOff>133350</xdr:rowOff>
    </xdr:from>
    <xdr:to>
      <xdr:col>18</xdr:col>
      <xdr:colOff>182165</xdr:colOff>
      <xdr:row>476</xdr:row>
      <xdr:rowOff>77281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F92F9F-DCBD-4668-A27E-77B75473C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0" y="53940075"/>
          <a:ext cx="8526065" cy="7744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6</xdr:col>
      <xdr:colOff>782068</xdr:colOff>
      <xdr:row>71</xdr:row>
      <xdr:rowOff>105934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87988B-C28E-4F3E-85EF-37DEF5717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00750"/>
          <a:ext cx="7297168" cy="830695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3</xdr:row>
      <xdr:rowOff>85725</xdr:rowOff>
    </xdr:from>
    <xdr:to>
      <xdr:col>21</xdr:col>
      <xdr:colOff>458218</xdr:colOff>
      <xdr:row>19</xdr:row>
      <xdr:rowOff>9961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1CBA6-F0B2-470E-BF78-612449C0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8100" y="685800"/>
          <a:ext cx="7297168" cy="3124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0</xdr:rowOff>
    </xdr:from>
    <xdr:to>
      <xdr:col>20</xdr:col>
      <xdr:colOff>47625</xdr:colOff>
      <xdr:row>34</xdr:row>
      <xdr:rowOff>48581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314C6-9F21-4E10-86D3-4A5B0ACE3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9675" y="0"/>
          <a:ext cx="5010150" cy="6849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57150</xdr:rowOff>
    </xdr:from>
    <xdr:to>
      <xdr:col>6</xdr:col>
      <xdr:colOff>791595</xdr:colOff>
      <xdr:row>71</xdr:row>
      <xdr:rowOff>48796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7CAEE0-2AE8-40AB-8711-1C65CBF22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57875"/>
          <a:ext cx="7306695" cy="83926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9525</xdr:rowOff>
    </xdr:from>
    <xdr:to>
      <xdr:col>11</xdr:col>
      <xdr:colOff>495812</xdr:colOff>
      <xdr:row>26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772F7-F15F-4A76-AD75-FC2730A1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3775" y="9525"/>
          <a:ext cx="3667637" cy="49625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0</xdr:row>
      <xdr:rowOff>57150</xdr:rowOff>
    </xdr:from>
    <xdr:to>
      <xdr:col>5</xdr:col>
      <xdr:colOff>352425</xdr:colOff>
      <xdr:row>31</xdr:row>
      <xdr:rowOff>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40711E-E90F-49C0-A540-6DADF7B7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6" y="57150"/>
          <a:ext cx="3276599" cy="5849282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180976</xdr:colOff>
      <xdr:row>2</xdr:row>
      <xdr:rowOff>104776</xdr:rowOff>
    </xdr:from>
    <xdr:to>
      <xdr:col>25</xdr:col>
      <xdr:colOff>466726</xdr:colOff>
      <xdr:row>27</xdr:row>
      <xdr:rowOff>161926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A723BF-EBD5-4AB1-BC88-61503D759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6176" y="485776"/>
          <a:ext cx="8210550" cy="4819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23</xdr:col>
      <xdr:colOff>87098</xdr:colOff>
      <xdr:row>64</xdr:row>
      <xdr:rowOff>19824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208D3A-0EDF-4A0D-91E0-7B6E1FDD8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6667500"/>
          <a:ext cx="9840698" cy="5544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65E4-D03E-4FCF-9B04-BFD3FD6F8FE1}">
  <dimension ref="A1:Z493"/>
  <sheetViews>
    <sheetView tabSelected="1" workbookViewId="0">
      <pane ySplit="1875" topLeftCell="A268" activePane="bottomLeft"/>
      <selection activeCell="D3" sqref="D3:D5"/>
      <selection pane="bottomLeft" activeCell="M257" sqref="M257"/>
    </sheetView>
  </sheetViews>
  <sheetFormatPr defaultColWidth="9.140625" defaultRowHeight="15.75" customHeight="1"/>
  <cols>
    <col min="1" max="1" width="10.28515625" style="132" customWidth="1"/>
    <col min="2" max="2" width="31.85546875" style="153" customWidth="1"/>
    <col min="3" max="4" width="15.7109375" style="1" customWidth="1"/>
    <col min="5" max="5" width="16.7109375" style="1" customWidth="1"/>
    <col min="6" max="6" width="14" style="1" customWidth="1"/>
    <col min="7" max="7" width="18.7109375" style="1" customWidth="1"/>
    <col min="8" max="8" width="25" style="67" customWidth="1"/>
    <col min="9" max="9" width="16.28515625" style="1" customWidth="1"/>
    <col min="10" max="11" width="13.140625" style="1" customWidth="1"/>
    <col min="12" max="12" width="11.28515625" style="1" customWidth="1"/>
    <col min="13" max="13" width="12.5703125" style="1" customWidth="1"/>
    <col min="14" max="14" width="11.42578125" style="1" customWidth="1"/>
    <col min="15" max="15" width="11.85546875" style="1" customWidth="1"/>
    <col min="16" max="16" width="12.5703125" style="1" customWidth="1"/>
    <col min="17" max="17" width="11.85546875" style="1" customWidth="1"/>
    <col min="18" max="18" width="10.140625" style="1" customWidth="1"/>
    <col min="19" max="21" width="11" style="1" customWidth="1"/>
    <col min="22" max="23" width="10.7109375" style="1" customWidth="1"/>
    <col min="24" max="24" width="12.85546875" style="1" customWidth="1"/>
    <col min="25" max="25" width="15" style="1" customWidth="1"/>
    <col min="26" max="26" width="9.140625" style="1"/>
    <col min="27" max="27" width="14.28515625" style="1" customWidth="1"/>
    <col min="28" max="16384" width="9.140625" style="1"/>
  </cols>
  <sheetData>
    <row r="1" spans="1:26" ht="15.75" customHeight="1">
      <c r="A1" s="176" t="s">
        <v>86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7"/>
      <c r="T1" s="177"/>
      <c r="U1" s="177"/>
      <c r="V1" s="177"/>
      <c r="W1" s="178"/>
      <c r="X1" s="69"/>
      <c r="Y1" s="69"/>
    </row>
    <row r="2" spans="1:26" ht="15.75" customHeight="1">
      <c r="A2" s="127"/>
      <c r="B2" s="150"/>
      <c r="C2" s="4"/>
      <c r="D2" s="4"/>
      <c r="E2" s="179" t="s">
        <v>0</v>
      </c>
      <c r="F2" s="180"/>
      <c r="G2" s="181" t="s">
        <v>23</v>
      </c>
      <c r="H2" s="182"/>
      <c r="I2" s="182"/>
      <c r="J2" s="180" t="s">
        <v>1</v>
      </c>
      <c r="K2" s="180"/>
      <c r="L2" s="180"/>
      <c r="M2" s="180"/>
      <c r="N2" s="180"/>
      <c r="O2" s="180"/>
      <c r="P2" s="183"/>
      <c r="Q2" s="179" t="s">
        <v>2</v>
      </c>
      <c r="R2" s="183"/>
      <c r="S2" s="184" t="s">
        <v>31</v>
      </c>
      <c r="T2" s="185"/>
      <c r="U2" s="185"/>
      <c r="V2" s="185" t="s">
        <v>32</v>
      </c>
      <c r="W2" s="186"/>
      <c r="X2" s="187"/>
      <c r="Y2" s="190" t="s">
        <v>15</v>
      </c>
    </row>
    <row r="3" spans="1:26" ht="15.75" customHeight="1">
      <c r="A3" s="194" t="s">
        <v>3</v>
      </c>
      <c r="B3" s="190" t="s">
        <v>4</v>
      </c>
      <c r="C3" s="188" t="s">
        <v>5</v>
      </c>
      <c r="D3" s="188" t="s">
        <v>129</v>
      </c>
      <c r="E3" s="196" t="s">
        <v>30</v>
      </c>
      <c r="F3" s="190" t="s">
        <v>7</v>
      </c>
      <c r="G3" s="190" t="s">
        <v>8</v>
      </c>
      <c r="H3" s="198" t="s">
        <v>9</v>
      </c>
      <c r="I3" s="190" t="s">
        <v>10</v>
      </c>
      <c r="J3" s="188" t="s">
        <v>11</v>
      </c>
      <c r="K3" s="200" t="s">
        <v>83</v>
      </c>
      <c r="L3" s="188" t="s">
        <v>75</v>
      </c>
      <c r="M3" s="188" t="s">
        <v>84</v>
      </c>
      <c r="N3" s="188" t="s">
        <v>77</v>
      </c>
      <c r="O3" s="188" t="s">
        <v>78</v>
      </c>
      <c r="P3" s="188" t="s">
        <v>85</v>
      </c>
      <c r="Q3" s="168" t="s">
        <v>24</v>
      </c>
      <c r="R3" s="170" t="s">
        <v>25</v>
      </c>
      <c r="S3" s="172" t="s">
        <v>26</v>
      </c>
      <c r="T3" s="174" t="s">
        <v>12</v>
      </c>
      <c r="U3" s="190" t="s">
        <v>14</v>
      </c>
      <c r="V3" s="174" t="s">
        <v>27</v>
      </c>
      <c r="W3" s="174" t="s">
        <v>28</v>
      </c>
      <c r="X3" s="192" t="s">
        <v>29</v>
      </c>
      <c r="Y3" s="191"/>
    </row>
    <row r="4" spans="1:26" ht="15.75" customHeight="1">
      <c r="A4" s="195"/>
      <c r="B4" s="191"/>
      <c r="C4" s="189"/>
      <c r="D4" s="189"/>
      <c r="E4" s="197"/>
      <c r="F4" s="191"/>
      <c r="G4" s="191"/>
      <c r="H4" s="199"/>
      <c r="I4" s="191"/>
      <c r="J4" s="189"/>
      <c r="K4" s="173"/>
      <c r="L4" s="189"/>
      <c r="M4" s="189"/>
      <c r="N4" s="189"/>
      <c r="O4" s="189"/>
      <c r="P4" s="189"/>
      <c r="Q4" s="169"/>
      <c r="R4" s="171"/>
      <c r="S4" s="173"/>
      <c r="T4" s="175"/>
      <c r="U4" s="191"/>
      <c r="V4" s="191"/>
      <c r="W4" s="191"/>
      <c r="X4" s="193"/>
      <c r="Y4" s="191"/>
      <c r="Z4" s="10"/>
    </row>
    <row r="5" spans="1:26" ht="15.75" customHeight="1">
      <c r="A5" s="195"/>
      <c r="B5" s="191"/>
      <c r="C5" s="189"/>
      <c r="D5" s="189"/>
      <c r="E5" s="197"/>
      <c r="F5" s="191"/>
      <c r="G5" s="191"/>
      <c r="H5" s="199"/>
      <c r="I5" s="191"/>
      <c r="J5" s="189"/>
      <c r="K5" s="173"/>
      <c r="L5" s="189"/>
      <c r="M5" s="189"/>
      <c r="N5" s="189"/>
      <c r="O5" s="189"/>
      <c r="P5" s="189"/>
      <c r="Q5" s="169"/>
      <c r="R5" s="171"/>
      <c r="S5" s="173"/>
      <c r="T5" s="175"/>
      <c r="U5" s="191"/>
      <c r="V5" s="191"/>
      <c r="W5" s="191"/>
      <c r="X5" s="193"/>
      <c r="Y5" s="191"/>
      <c r="Z5" s="10"/>
    </row>
    <row r="6" spans="1:26" ht="15.75" customHeight="1">
      <c r="A6" s="128">
        <v>45723</v>
      </c>
      <c r="B6" s="156" t="s">
        <v>106</v>
      </c>
      <c r="C6" s="114"/>
      <c r="D6" s="114"/>
      <c r="E6" s="115"/>
      <c r="F6" s="114"/>
      <c r="G6" s="114"/>
      <c r="H6" s="146">
        <f>4*1100000</f>
        <v>4400000</v>
      </c>
      <c r="I6" s="114"/>
      <c r="J6" s="114"/>
      <c r="K6" s="115"/>
      <c r="L6" s="114"/>
      <c r="M6" s="114"/>
      <c r="N6" s="114"/>
      <c r="O6" s="114"/>
      <c r="P6" s="114"/>
      <c r="Q6" s="115"/>
      <c r="R6" s="116"/>
      <c r="S6" s="115"/>
      <c r="T6" s="115"/>
      <c r="U6" s="114"/>
      <c r="V6" s="114"/>
      <c r="W6" s="114"/>
      <c r="X6" s="114"/>
      <c r="Y6" s="160">
        <f>E6+F6+G6+H6+I6+J6+K6+L6+M6+N6+O6+P6+Q6+R6+S6+T6+U6+V6+W6+X6</f>
        <v>4400000</v>
      </c>
      <c r="Z6" s="10"/>
    </row>
    <row r="7" spans="1:26" ht="15.75" customHeight="1">
      <c r="A7" s="129"/>
      <c r="B7" s="151" t="s">
        <v>107</v>
      </c>
      <c r="C7" s="117"/>
      <c r="D7" s="117"/>
      <c r="E7" s="117"/>
      <c r="F7" s="117"/>
      <c r="G7" s="118"/>
      <c r="H7" s="147"/>
      <c r="I7" s="119"/>
      <c r="J7" s="118">
        <f>10*50000</f>
        <v>500000</v>
      </c>
      <c r="K7" s="118"/>
      <c r="L7" s="118"/>
      <c r="M7" s="118"/>
      <c r="N7" s="118"/>
      <c r="O7" s="118"/>
      <c r="P7" s="118"/>
      <c r="Q7" s="118"/>
      <c r="R7" s="118"/>
      <c r="S7" s="12"/>
      <c r="T7" s="12"/>
      <c r="U7" s="12"/>
      <c r="V7" s="12"/>
      <c r="W7" s="12"/>
      <c r="X7" s="12"/>
      <c r="Y7" s="161">
        <f t="shared" ref="Y7:Y70" si="0">E7+F7+G7+H7+I7+J7+K7+L7+M7+N7+O7+P7+Q7+R7+S7+T7+U7+V7+W7+X7</f>
        <v>500000</v>
      </c>
      <c r="Z7" s="10"/>
    </row>
    <row r="8" spans="1:26" ht="15.75" customHeight="1">
      <c r="A8" s="129"/>
      <c r="B8" s="151" t="s">
        <v>108</v>
      </c>
      <c r="C8" s="117"/>
      <c r="D8" s="117"/>
      <c r="E8" s="117"/>
      <c r="F8" s="117"/>
      <c r="G8" s="118"/>
      <c r="H8" s="147"/>
      <c r="I8" s="119"/>
      <c r="J8" s="118">
        <f>100*1000</f>
        <v>100000</v>
      </c>
      <c r="K8" s="118"/>
      <c r="L8" s="118"/>
      <c r="M8" s="118"/>
      <c r="N8" s="118"/>
      <c r="O8" s="118"/>
      <c r="P8" s="118"/>
      <c r="Q8" s="118"/>
      <c r="R8" s="118"/>
      <c r="S8" s="12"/>
      <c r="T8" s="12"/>
      <c r="U8" s="12"/>
      <c r="V8" s="12"/>
      <c r="W8" s="12"/>
      <c r="X8" s="12"/>
      <c r="Y8" s="161">
        <f t="shared" si="0"/>
        <v>100000</v>
      </c>
      <c r="Z8" s="10"/>
    </row>
    <row r="9" spans="1:26" ht="15.75" customHeight="1">
      <c r="A9" s="129"/>
      <c r="B9" s="151" t="s">
        <v>109</v>
      </c>
      <c r="C9" s="117"/>
      <c r="D9" s="117"/>
      <c r="E9" s="117"/>
      <c r="F9" s="117"/>
      <c r="G9" s="118"/>
      <c r="H9" s="147"/>
      <c r="I9" s="119"/>
      <c r="J9" s="118">
        <f>104*15000</f>
        <v>1560000</v>
      </c>
      <c r="K9" s="118"/>
      <c r="L9" s="118"/>
      <c r="M9" s="118"/>
      <c r="N9" s="118"/>
      <c r="O9" s="118"/>
      <c r="P9" s="118"/>
      <c r="Q9" s="118"/>
      <c r="R9" s="118"/>
      <c r="S9" s="12"/>
      <c r="T9" s="12"/>
      <c r="U9" s="12"/>
      <c r="V9" s="12"/>
      <c r="W9" s="12"/>
      <c r="X9" s="12"/>
      <c r="Y9" s="161">
        <f t="shared" si="0"/>
        <v>1560000</v>
      </c>
      <c r="Z9" s="10"/>
    </row>
    <row r="10" spans="1:26" ht="15.75" customHeight="1">
      <c r="A10" s="129"/>
      <c r="B10" s="151" t="s">
        <v>110</v>
      </c>
      <c r="C10" s="117"/>
      <c r="D10" s="117"/>
      <c r="E10" s="117"/>
      <c r="F10" s="117"/>
      <c r="G10" s="118"/>
      <c r="H10" s="147"/>
      <c r="I10" s="119"/>
      <c r="J10" s="118">
        <f>875000</f>
        <v>875000</v>
      </c>
      <c r="K10" s="118"/>
      <c r="L10" s="118"/>
      <c r="M10" s="118"/>
      <c r="N10" s="118"/>
      <c r="O10" s="118"/>
      <c r="P10" s="118"/>
      <c r="Q10" s="118"/>
      <c r="R10" s="118"/>
      <c r="S10" s="12"/>
      <c r="T10" s="12"/>
      <c r="U10" s="12"/>
      <c r="V10" s="12"/>
      <c r="W10" s="12"/>
      <c r="X10" s="12"/>
      <c r="Y10" s="161">
        <f t="shared" si="0"/>
        <v>875000</v>
      </c>
      <c r="Z10" s="10"/>
    </row>
    <row r="11" spans="1:26" ht="15.75" customHeight="1">
      <c r="A11" s="129"/>
      <c r="B11" s="151" t="s">
        <v>119</v>
      </c>
      <c r="C11" s="117"/>
      <c r="D11" s="117"/>
      <c r="E11" s="117"/>
      <c r="F11" s="117"/>
      <c r="G11" s="118"/>
      <c r="H11" s="118">
        <f>13*357000</f>
        <v>4641000</v>
      </c>
      <c r="I11" s="119"/>
      <c r="J11" s="118"/>
      <c r="K11" s="118"/>
      <c r="L11" s="118"/>
      <c r="M11" s="118"/>
      <c r="N11" s="118"/>
      <c r="O11" s="118"/>
      <c r="P11" s="118"/>
      <c r="Q11" s="118"/>
      <c r="R11" s="118"/>
      <c r="S11" s="12"/>
      <c r="T11" s="12"/>
      <c r="U11" s="12"/>
      <c r="V11" s="12"/>
      <c r="W11" s="12"/>
      <c r="X11" s="12"/>
      <c r="Y11" s="161">
        <f t="shared" si="0"/>
        <v>4641000</v>
      </c>
      <c r="Z11" s="10"/>
    </row>
    <row r="12" spans="1:26" ht="15.75" customHeight="1">
      <c r="A12" s="129"/>
      <c r="B12" s="151" t="s">
        <v>120</v>
      </c>
      <c r="C12" s="117"/>
      <c r="D12" s="117"/>
      <c r="E12" s="117"/>
      <c r="F12" s="117"/>
      <c r="G12" s="118"/>
      <c r="H12" s="118">
        <f>3*615000</f>
        <v>1845000</v>
      </c>
      <c r="I12" s="119"/>
      <c r="J12" s="118"/>
      <c r="K12" s="118"/>
      <c r="L12" s="118"/>
      <c r="M12" s="118"/>
      <c r="N12" s="118"/>
      <c r="O12" s="118"/>
      <c r="P12" s="118"/>
      <c r="Q12" s="118"/>
      <c r="R12" s="118"/>
      <c r="S12" s="12"/>
      <c r="T12" s="12"/>
      <c r="U12" s="12"/>
      <c r="V12" s="12"/>
      <c r="W12" s="12"/>
      <c r="X12" s="12"/>
      <c r="Y12" s="161">
        <f t="shared" si="0"/>
        <v>1845000</v>
      </c>
      <c r="Z12" s="10"/>
    </row>
    <row r="13" spans="1:26" ht="15.75" customHeight="1">
      <c r="A13" s="129">
        <v>45728</v>
      </c>
      <c r="B13" s="151" t="s">
        <v>121</v>
      </c>
      <c r="C13" s="117"/>
      <c r="D13" s="117"/>
      <c r="E13" s="117"/>
      <c r="F13" s="117"/>
      <c r="G13" s="118"/>
      <c r="H13" s="118">
        <f>6067748</f>
        <v>6067748</v>
      </c>
      <c r="I13" s="119"/>
      <c r="J13" s="118"/>
      <c r="K13" s="118"/>
      <c r="L13" s="118"/>
      <c r="M13" s="118"/>
      <c r="N13" s="118"/>
      <c r="O13" s="118"/>
      <c r="P13" s="118"/>
      <c r="Q13" s="118"/>
      <c r="R13" s="118"/>
      <c r="S13" s="12"/>
      <c r="T13" s="12"/>
      <c r="U13" s="12"/>
      <c r="V13" s="12"/>
      <c r="W13" s="12"/>
      <c r="X13" s="12"/>
      <c r="Y13" s="161">
        <f t="shared" si="0"/>
        <v>6067748</v>
      </c>
      <c r="Z13" s="10"/>
    </row>
    <row r="14" spans="1:26" ht="15.75" customHeight="1">
      <c r="A14" s="129">
        <v>45733</v>
      </c>
      <c r="B14" s="151" t="s">
        <v>123</v>
      </c>
      <c r="C14" s="117"/>
      <c r="D14" s="117"/>
      <c r="E14" s="117"/>
      <c r="F14" s="117"/>
      <c r="G14" s="118"/>
      <c r="H14" s="147">
        <v>1075000</v>
      </c>
      <c r="I14" s="119"/>
      <c r="J14" s="118"/>
      <c r="K14" s="118"/>
      <c r="L14" s="118"/>
      <c r="M14" s="118"/>
      <c r="N14" s="118"/>
      <c r="O14" s="118"/>
      <c r="P14" s="118"/>
      <c r="Q14" s="118"/>
      <c r="R14" s="118"/>
      <c r="S14" s="12"/>
      <c r="T14" s="12"/>
      <c r="U14" s="12"/>
      <c r="V14" s="12"/>
      <c r="W14" s="12"/>
      <c r="X14" s="12"/>
      <c r="Y14" s="161">
        <f t="shared" si="0"/>
        <v>1075000</v>
      </c>
      <c r="Z14" s="10"/>
    </row>
    <row r="15" spans="1:26" ht="15.75" customHeight="1">
      <c r="A15" s="129"/>
      <c r="B15" s="151" t="s">
        <v>122</v>
      </c>
      <c r="C15" s="117"/>
      <c r="D15" s="117"/>
      <c r="E15" s="117"/>
      <c r="F15" s="117"/>
      <c r="G15" s="118"/>
      <c r="H15" s="147">
        <f>3*750000</f>
        <v>2250000</v>
      </c>
      <c r="I15" s="119"/>
      <c r="J15" s="118"/>
      <c r="K15" s="118"/>
      <c r="L15" s="118"/>
      <c r="M15" s="118"/>
      <c r="N15" s="118"/>
      <c r="O15" s="118"/>
      <c r="P15" s="118"/>
      <c r="Q15" s="118"/>
      <c r="R15" s="118"/>
      <c r="S15" s="12"/>
      <c r="T15" s="12"/>
      <c r="U15" s="12"/>
      <c r="V15" s="12"/>
      <c r="W15" s="12"/>
      <c r="X15" s="12"/>
      <c r="Y15" s="161">
        <f t="shared" si="0"/>
        <v>2250000</v>
      </c>
      <c r="Z15" s="10"/>
    </row>
    <row r="16" spans="1:26" ht="15.75" customHeight="1">
      <c r="A16" s="129">
        <v>45734</v>
      </c>
      <c r="B16" s="151" t="s">
        <v>124</v>
      </c>
      <c r="C16" s="117"/>
      <c r="D16" s="117"/>
      <c r="E16" s="117"/>
      <c r="F16" s="117"/>
      <c r="G16" s="118">
        <f>2*4130000</f>
        <v>8260000</v>
      </c>
      <c r="H16" s="147"/>
      <c r="I16" s="119"/>
      <c r="J16" s="118"/>
      <c r="K16" s="118"/>
      <c r="L16" s="118"/>
      <c r="M16" s="118"/>
      <c r="N16" s="118"/>
      <c r="O16" s="118"/>
      <c r="P16" s="118"/>
      <c r="Q16" s="118"/>
      <c r="R16" s="118"/>
      <c r="S16" s="12"/>
      <c r="T16" s="12"/>
      <c r="U16" s="12"/>
      <c r="V16" s="12"/>
      <c r="W16" s="12"/>
      <c r="X16" s="12"/>
      <c r="Y16" s="161">
        <f t="shared" si="0"/>
        <v>8260000</v>
      </c>
      <c r="Z16" s="10"/>
    </row>
    <row r="17" spans="1:26" ht="15.75" customHeight="1">
      <c r="A17" s="129"/>
      <c r="B17" s="151" t="s">
        <v>125</v>
      </c>
      <c r="C17" s="117"/>
      <c r="D17" s="117"/>
      <c r="E17" s="117"/>
      <c r="F17" s="117"/>
      <c r="G17" s="118">
        <f>5*563000</f>
        <v>2815000</v>
      </c>
      <c r="H17" s="147"/>
      <c r="I17" s="119"/>
      <c r="J17" s="118"/>
      <c r="K17" s="118"/>
      <c r="L17" s="118"/>
      <c r="M17" s="118"/>
      <c r="N17" s="118"/>
      <c r="O17" s="118"/>
      <c r="P17" s="118"/>
      <c r="Q17" s="118"/>
      <c r="R17" s="118"/>
      <c r="S17" s="12"/>
      <c r="T17" s="12"/>
      <c r="U17" s="12"/>
      <c r="V17" s="12"/>
      <c r="W17" s="12"/>
      <c r="X17" s="12"/>
      <c r="Y17" s="161">
        <f t="shared" si="0"/>
        <v>2815000</v>
      </c>
      <c r="Z17" s="10"/>
    </row>
    <row r="18" spans="1:26" ht="15.75" customHeight="1">
      <c r="A18" s="129"/>
      <c r="B18" s="151" t="s">
        <v>126</v>
      </c>
      <c r="C18" s="117"/>
      <c r="D18" s="117"/>
      <c r="E18" s="117"/>
      <c r="F18" s="117"/>
      <c r="G18" s="118">
        <f>4*22500</f>
        <v>90000</v>
      </c>
      <c r="H18" s="147"/>
      <c r="I18" s="119"/>
      <c r="J18" s="118"/>
      <c r="K18" s="118"/>
      <c r="L18" s="118"/>
      <c r="M18" s="118"/>
      <c r="N18" s="118"/>
      <c r="O18" s="118"/>
      <c r="P18" s="118"/>
      <c r="Q18" s="118"/>
      <c r="R18" s="118"/>
      <c r="S18" s="12"/>
      <c r="T18" s="12"/>
      <c r="U18" s="12"/>
      <c r="V18" s="12"/>
      <c r="W18" s="12"/>
      <c r="X18" s="12"/>
      <c r="Y18" s="161">
        <f t="shared" si="0"/>
        <v>90000</v>
      </c>
      <c r="Z18" s="10"/>
    </row>
    <row r="19" spans="1:26" ht="15.75" customHeight="1">
      <c r="A19" s="129"/>
      <c r="B19" s="151" t="s">
        <v>127</v>
      </c>
      <c r="C19" s="117"/>
      <c r="D19" s="117"/>
      <c r="E19" s="117"/>
      <c r="F19" s="117"/>
      <c r="G19" s="118">
        <f>4*150000</f>
        <v>600000</v>
      </c>
      <c r="H19" s="147"/>
      <c r="I19" s="119"/>
      <c r="J19" s="118"/>
      <c r="K19" s="118"/>
      <c r="L19" s="118"/>
      <c r="M19" s="118"/>
      <c r="N19" s="118"/>
      <c r="O19" s="118"/>
      <c r="P19" s="118"/>
      <c r="Q19" s="118"/>
      <c r="R19" s="118"/>
      <c r="S19" s="12"/>
      <c r="T19" s="12"/>
      <c r="U19" s="12"/>
      <c r="V19" s="12"/>
      <c r="W19" s="12"/>
      <c r="X19" s="12"/>
      <c r="Y19" s="161">
        <f t="shared" si="0"/>
        <v>600000</v>
      </c>
      <c r="Z19" s="10"/>
    </row>
    <row r="20" spans="1:26" ht="15.75" customHeight="1">
      <c r="A20" s="129"/>
      <c r="B20" s="151" t="s">
        <v>128</v>
      </c>
      <c r="C20" s="117"/>
      <c r="D20" s="117"/>
      <c r="E20" s="117"/>
      <c r="F20" s="117"/>
      <c r="G20" s="118">
        <f>6*45000</f>
        <v>270000</v>
      </c>
      <c r="H20" s="147"/>
      <c r="I20" s="119"/>
      <c r="J20" s="118"/>
      <c r="K20" s="118"/>
      <c r="L20" s="118"/>
      <c r="M20" s="118"/>
      <c r="N20" s="118"/>
      <c r="O20" s="118"/>
      <c r="P20" s="118"/>
      <c r="Q20" s="118"/>
      <c r="R20" s="118"/>
      <c r="S20" s="12"/>
      <c r="T20" s="12"/>
      <c r="U20" s="12"/>
      <c r="V20" s="12"/>
      <c r="W20" s="12"/>
      <c r="X20" s="12"/>
      <c r="Y20" s="161">
        <f t="shared" si="0"/>
        <v>270000</v>
      </c>
      <c r="Z20" s="10"/>
    </row>
    <row r="21" spans="1:26" ht="15.75" customHeight="1">
      <c r="A21" s="129">
        <v>45735</v>
      </c>
      <c r="B21" s="151" t="s">
        <v>130</v>
      </c>
      <c r="C21" s="117"/>
      <c r="D21" s="117">
        <v>10500000</v>
      </c>
      <c r="E21" s="117"/>
      <c r="F21" s="117"/>
      <c r="G21" s="118"/>
      <c r="H21" s="147"/>
      <c r="I21" s="119"/>
      <c r="J21" s="118"/>
      <c r="K21" s="118"/>
      <c r="L21" s="118"/>
      <c r="M21" s="118"/>
      <c r="N21" s="118"/>
      <c r="O21" s="118"/>
      <c r="P21" s="118"/>
      <c r="Q21" s="118"/>
      <c r="R21" s="118"/>
      <c r="S21" s="12"/>
      <c r="T21" s="12"/>
      <c r="U21" s="12"/>
      <c r="V21" s="12"/>
      <c r="W21" s="12"/>
      <c r="X21" s="12"/>
      <c r="Y21" s="161">
        <f t="shared" si="0"/>
        <v>0</v>
      </c>
      <c r="Z21" s="10"/>
    </row>
    <row r="22" spans="1:26" ht="15.75" customHeight="1">
      <c r="A22" s="129">
        <v>45735</v>
      </c>
      <c r="B22" s="151" t="s">
        <v>131</v>
      </c>
      <c r="C22" s="117"/>
      <c r="D22" s="117"/>
      <c r="E22" s="117"/>
      <c r="F22" s="117"/>
      <c r="G22" s="118"/>
      <c r="H22" s="147">
        <f>20*357000</f>
        <v>7140000</v>
      </c>
      <c r="I22" s="119"/>
      <c r="J22" s="118"/>
      <c r="K22" s="118"/>
      <c r="L22" s="118"/>
      <c r="M22" s="118"/>
      <c r="N22" s="118"/>
      <c r="O22" s="118"/>
      <c r="P22" s="118"/>
      <c r="Q22" s="118"/>
      <c r="R22" s="118"/>
      <c r="S22" s="12"/>
      <c r="T22" s="12"/>
      <c r="U22" s="12"/>
      <c r="V22" s="12"/>
      <c r="W22" s="12"/>
      <c r="X22" s="12"/>
      <c r="Y22" s="161">
        <f t="shared" si="0"/>
        <v>7140000</v>
      </c>
      <c r="Z22" s="10"/>
    </row>
    <row r="23" spans="1:26" ht="15.75" customHeight="1">
      <c r="A23" s="129">
        <v>45736</v>
      </c>
      <c r="B23" s="151" t="s">
        <v>132</v>
      </c>
      <c r="C23" s="117"/>
      <c r="D23" s="117"/>
      <c r="E23" s="117"/>
      <c r="F23" s="117"/>
      <c r="G23" s="118">
        <v>490000</v>
      </c>
      <c r="H23" s="147"/>
      <c r="I23" s="119"/>
      <c r="J23" s="118"/>
      <c r="K23" s="118"/>
      <c r="L23" s="118"/>
      <c r="M23" s="118"/>
      <c r="N23" s="118"/>
      <c r="O23" s="118"/>
      <c r="P23" s="118"/>
      <c r="Q23" s="118"/>
      <c r="R23" s="118"/>
      <c r="S23" s="12"/>
      <c r="T23" s="12"/>
      <c r="U23" s="12"/>
      <c r="V23" s="12"/>
      <c r="W23" s="12"/>
      <c r="X23" s="12"/>
      <c r="Y23" s="161">
        <f t="shared" si="0"/>
        <v>490000</v>
      </c>
      <c r="Z23" s="10"/>
    </row>
    <row r="24" spans="1:26" ht="15.75" customHeight="1">
      <c r="A24" s="129"/>
      <c r="B24" s="151" t="s">
        <v>133</v>
      </c>
      <c r="C24" s="117"/>
      <c r="D24" s="117"/>
      <c r="E24" s="117"/>
      <c r="F24" s="117"/>
      <c r="G24" s="118">
        <f>4*231000</f>
        <v>924000</v>
      </c>
      <c r="H24" s="147"/>
      <c r="I24" s="119"/>
      <c r="J24" s="118"/>
      <c r="K24" s="118"/>
      <c r="L24" s="118"/>
      <c r="M24" s="118"/>
      <c r="N24" s="118"/>
      <c r="O24" s="118"/>
      <c r="P24" s="118"/>
      <c r="Q24" s="118"/>
      <c r="R24" s="118"/>
      <c r="S24" s="12"/>
      <c r="T24" s="12"/>
      <c r="U24" s="12"/>
      <c r="V24" s="12"/>
      <c r="W24" s="12"/>
      <c r="X24" s="12"/>
      <c r="Y24" s="161">
        <f t="shared" si="0"/>
        <v>924000</v>
      </c>
      <c r="Z24" s="10"/>
    </row>
    <row r="25" spans="1:26" ht="15.75" customHeight="1">
      <c r="A25" s="129"/>
      <c r="B25" s="151" t="s">
        <v>134</v>
      </c>
      <c r="C25" s="117"/>
      <c r="D25" s="117"/>
      <c r="E25" s="117"/>
      <c r="F25" s="117"/>
      <c r="G25" s="118">
        <f>5*38000</f>
        <v>190000</v>
      </c>
      <c r="H25" s="147"/>
      <c r="I25" s="119"/>
      <c r="J25" s="118"/>
      <c r="K25" s="118"/>
      <c r="L25" s="118"/>
      <c r="M25" s="118"/>
      <c r="N25" s="118"/>
      <c r="O25" s="118"/>
      <c r="P25" s="118"/>
      <c r="Q25" s="118"/>
      <c r="R25" s="118"/>
      <c r="S25" s="12"/>
      <c r="T25" s="12"/>
      <c r="U25" s="12"/>
      <c r="V25" s="12"/>
      <c r="W25" s="12"/>
      <c r="X25" s="12"/>
      <c r="Y25" s="161">
        <f t="shared" si="0"/>
        <v>190000</v>
      </c>
      <c r="Z25" s="10"/>
    </row>
    <row r="26" spans="1:26" ht="15.75" customHeight="1">
      <c r="A26" s="129"/>
      <c r="B26" s="151" t="s">
        <v>135</v>
      </c>
      <c r="C26" s="117"/>
      <c r="D26" s="117"/>
      <c r="E26" s="117"/>
      <c r="F26" s="117"/>
      <c r="G26" s="118">
        <f>10*10500</f>
        <v>105000</v>
      </c>
      <c r="H26" s="147"/>
      <c r="I26" s="119"/>
      <c r="J26" s="118"/>
      <c r="K26" s="118"/>
      <c r="L26" s="118"/>
      <c r="M26" s="118"/>
      <c r="N26" s="118"/>
      <c r="O26" s="118"/>
      <c r="P26" s="118"/>
      <c r="Q26" s="118"/>
      <c r="R26" s="118"/>
      <c r="S26" s="12"/>
      <c r="T26" s="12"/>
      <c r="U26" s="12"/>
      <c r="V26" s="12"/>
      <c r="W26" s="12"/>
      <c r="X26" s="12"/>
      <c r="Y26" s="161">
        <f t="shared" si="0"/>
        <v>105000</v>
      </c>
      <c r="Z26" s="10"/>
    </row>
    <row r="27" spans="1:26" ht="15.75" customHeight="1">
      <c r="A27" s="129"/>
      <c r="B27" s="151" t="s">
        <v>136</v>
      </c>
      <c r="C27" s="117"/>
      <c r="D27" s="117"/>
      <c r="E27" s="117"/>
      <c r="F27" s="117"/>
      <c r="G27" s="118">
        <f>1067000</f>
        <v>1067000</v>
      </c>
      <c r="H27" s="147"/>
      <c r="I27" s="119"/>
      <c r="J27" s="118"/>
      <c r="K27" s="118"/>
      <c r="L27" s="118"/>
      <c r="M27" s="118"/>
      <c r="N27" s="118"/>
      <c r="O27" s="118"/>
      <c r="P27" s="118"/>
      <c r="Q27" s="118"/>
      <c r="R27" s="118"/>
      <c r="S27" s="12"/>
      <c r="T27" s="12"/>
      <c r="U27" s="12"/>
      <c r="V27" s="12"/>
      <c r="W27" s="12"/>
      <c r="X27" s="12"/>
      <c r="Y27" s="161">
        <f t="shared" si="0"/>
        <v>1067000</v>
      </c>
      <c r="Z27" s="10"/>
    </row>
    <row r="28" spans="1:26" ht="15.75" customHeight="1">
      <c r="A28" s="129">
        <v>45736</v>
      </c>
      <c r="B28" s="151" t="s">
        <v>137</v>
      </c>
      <c r="C28" s="117"/>
      <c r="D28" s="117"/>
      <c r="E28" s="117"/>
      <c r="F28" s="117"/>
      <c r="G28" s="118"/>
      <c r="H28" s="147"/>
      <c r="I28" s="119"/>
      <c r="J28" s="118">
        <f>4*77000</f>
        <v>308000</v>
      </c>
      <c r="K28" s="118"/>
      <c r="L28" s="118"/>
      <c r="M28" s="118"/>
      <c r="N28" s="118"/>
      <c r="O28" s="118"/>
      <c r="P28" s="118"/>
      <c r="Q28" s="118"/>
      <c r="R28" s="118"/>
      <c r="S28" s="12"/>
      <c r="T28" s="12"/>
      <c r="U28" s="12"/>
      <c r="V28" s="12"/>
      <c r="W28" s="12"/>
      <c r="X28" s="12"/>
      <c r="Y28" s="161">
        <f t="shared" si="0"/>
        <v>308000</v>
      </c>
      <c r="Z28" s="10"/>
    </row>
    <row r="29" spans="1:26" ht="15.75" customHeight="1">
      <c r="A29" s="129"/>
      <c r="B29" s="151" t="s">
        <v>138</v>
      </c>
      <c r="C29" s="117"/>
      <c r="D29" s="117"/>
      <c r="E29" s="117"/>
      <c r="F29" s="117"/>
      <c r="G29" s="118">
        <f>6*75000</f>
        <v>450000</v>
      </c>
      <c r="H29" s="147"/>
      <c r="I29" s="119"/>
      <c r="J29" s="118"/>
      <c r="K29" s="118"/>
      <c r="L29" s="118"/>
      <c r="M29" s="118"/>
      <c r="N29" s="118"/>
      <c r="O29" s="118"/>
      <c r="P29" s="118"/>
      <c r="Q29" s="118"/>
      <c r="R29" s="118"/>
      <c r="S29" s="12"/>
      <c r="T29" s="12"/>
      <c r="U29" s="12"/>
      <c r="V29" s="12"/>
      <c r="W29" s="12"/>
      <c r="X29" s="12"/>
      <c r="Y29" s="161">
        <f t="shared" si="0"/>
        <v>450000</v>
      </c>
      <c r="Z29" s="10"/>
    </row>
    <row r="30" spans="1:26" ht="15.75" customHeight="1">
      <c r="A30" s="129">
        <v>45736</v>
      </c>
      <c r="B30" s="151" t="s">
        <v>139</v>
      </c>
      <c r="C30" s="117"/>
      <c r="D30" s="117"/>
      <c r="E30" s="117"/>
      <c r="F30" s="117"/>
      <c r="G30" s="118">
        <f>20*9000</f>
        <v>180000</v>
      </c>
      <c r="H30" s="147"/>
      <c r="I30" s="119"/>
      <c r="J30" s="118"/>
      <c r="K30" s="118"/>
      <c r="L30" s="118"/>
      <c r="M30" s="118"/>
      <c r="N30" s="118"/>
      <c r="O30" s="118"/>
      <c r="P30" s="118"/>
      <c r="Q30" s="118"/>
      <c r="R30" s="118"/>
      <c r="S30" s="12"/>
      <c r="T30" s="12"/>
      <c r="U30" s="12"/>
      <c r="V30" s="12"/>
      <c r="W30" s="12"/>
      <c r="X30" s="12"/>
      <c r="Y30" s="161">
        <f t="shared" si="0"/>
        <v>180000</v>
      </c>
      <c r="Z30" s="10"/>
    </row>
    <row r="31" spans="1:26" ht="15.75" customHeight="1">
      <c r="A31" s="129"/>
      <c r="B31" s="151" t="s">
        <v>140</v>
      </c>
      <c r="C31" s="117"/>
      <c r="D31" s="117"/>
      <c r="E31" s="117"/>
      <c r="F31" s="117"/>
      <c r="G31" s="118"/>
      <c r="H31" s="147"/>
      <c r="I31" s="119">
        <f>60*36000</f>
        <v>2160000</v>
      </c>
      <c r="J31" s="118"/>
      <c r="K31" s="118"/>
      <c r="L31" s="118"/>
      <c r="M31" s="118"/>
      <c r="N31" s="118"/>
      <c r="O31" s="118"/>
      <c r="P31" s="118"/>
      <c r="Q31" s="118"/>
      <c r="R31" s="118"/>
      <c r="S31" s="12"/>
      <c r="T31" s="12"/>
      <c r="U31" s="12"/>
      <c r="V31" s="12"/>
      <c r="W31" s="12"/>
      <c r="X31" s="12"/>
      <c r="Y31" s="161">
        <f t="shared" si="0"/>
        <v>2160000</v>
      </c>
      <c r="Z31" s="10"/>
    </row>
    <row r="32" spans="1:26" ht="15.75" customHeight="1">
      <c r="A32" s="129"/>
      <c r="B32" s="151" t="s">
        <v>141</v>
      </c>
      <c r="C32" s="117"/>
      <c r="D32" s="117"/>
      <c r="E32" s="117"/>
      <c r="F32" s="117"/>
      <c r="G32" s="118"/>
      <c r="H32" s="147"/>
      <c r="I32" s="119">
        <f>10*30000</f>
        <v>300000</v>
      </c>
      <c r="J32" s="118"/>
      <c r="K32" s="118"/>
      <c r="L32" s="118"/>
      <c r="M32" s="118"/>
      <c r="N32" s="118"/>
      <c r="O32" s="118"/>
      <c r="P32" s="118"/>
      <c r="Q32" s="118"/>
      <c r="R32" s="118"/>
      <c r="S32" s="12"/>
      <c r="T32" s="12"/>
      <c r="U32" s="12"/>
      <c r="V32" s="12"/>
      <c r="W32" s="12"/>
      <c r="X32" s="12"/>
      <c r="Y32" s="161">
        <f t="shared" si="0"/>
        <v>300000</v>
      </c>
      <c r="Z32" s="10"/>
    </row>
    <row r="33" spans="1:26" ht="15.75" customHeight="1">
      <c r="A33" s="129"/>
      <c r="B33" s="151" t="s">
        <v>142</v>
      </c>
      <c r="C33" s="117"/>
      <c r="D33" s="117"/>
      <c r="E33" s="117"/>
      <c r="F33" s="117"/>
      <c r="G33" s="118"/>
      <c r="H33" s="147"/>
      <c r="I33" s="119">
        <f>5*18000</f>
        <v>90000</v>
      </c>
      <c r="J33" s="118"/>
      <c r="K33" s="118"/>
      <c r="L33" s="118"/>
      <c r="M33" s="118"/>
      <c r="N33" s="118"/>
      <c r="O33" s="118"/>
      <c r="P33" s="118"/>
      <c r="Q33" s="118"/>
      <c r="R33" s="118"/>
      <c r="S33" s="12"/>
      <c r="T33" s="12"/>
      <c r="U33" s="12"/>
      <c r="V33" s="12"/>
      <c r="W33" s="12"/>
      <c r="X33" s="12"/>
      <c r="Y33" s="161">
        <f t="shared" si="0"/>
        <v>90000</v>
      </c>
      <c r="Z33" s="10"/>
    </row>
    <row r="34" spans="1:26" ht="15.75" customHeight="1">
      <c r="A34" s="129"/>
      <c r="B34" s="151" t="s">
        <v>143</v>
      </c>
      <c r="C34" s="117"/>
      <c r="D34" s="117"/>
      <c r="E34" s="117"/>
      <c r="F34" s="117"/>
      <c r="G34" s="118"/>
      <c r="H34" s="147"/>
      <c r="I34" s="119">
        <f>7*18000</f>
        <v>126000</v>
      </c>
      <c r="J34" s="118"/>
      <c r="K34" s="118"/>
      <c r="L34" s="118"/>
      <c r="M34" s="118"/>
      <c r="N34" s="118"/>
      <c r="O34" s="118"/>
      <c r="P34" s="118"/>
      <c r="Q34" s="118"/>
      <c r="R34" s="118"/>
      <c r="S34" s="12"/>
      <c r="T34" s="12"/>
      <c r="U34" s="12"/>
      <c r="V34" s="12"/>
      <c r="W34" s="12"/>
      <c r="X34" s="12"/>
      <c r="Y34" s="161">
        <f t="shared" si="0"/>
        <v>126000</v>
      </c>
      <c r="Z34" s="10"/>
    </row>
    <row r="35" spans="1:26" ht="15.75" customHeight="1">
      <c r="A35" s="129"/>
      <c r="B35" s="151" t="s">
        <v>144</v>
      </c>
      <c r="C35" s="117"/>
      <c r="D35" s="117"/>
      <c r="E35" s="117"/>
      <c r="F35" s="117"/>
      <c r="G35" s="118"/>
      <c r="H35" s="147"/>
      <c r="I35" s="119">
        <f>3*18000</f>
        <v>54000</v>
      </c>
      <c r="J35" s="118"/>
      <c r="K35" s="118"/>
      <c r="L35" s="118"/>
      <c r="M35" s="118"/>
      <c r="N35" s="118"/>
      <c r="O35" s="118"/>
      <c r="P35" s="118"/>
      <c r="Q35" s="118"/>
      <c r="R35" s="118"/>
      <c r="S35" s="12"/>
      <c r="T35" s="12"/>
      <c r="U35" s="12"/>
      <c r="V35" s="12"/>
      <c r="W35" s="12"/>
      <c r="X35" s="12"/>
      <c r="Y35" s="161">
        <f t="shared" si="0"/>
        <v>54000</v>
      </c>
      <c r="Z35" s="10"/>
    </row>
    <row r="36" spans="1:26" ht="15.75" customHeight="1">
      <c r="A36" s="129"/>
      <c r="B36" s="151" t="s">
        <v>145</v>
      </c>
      <c r="C36" s="117"/>
      <c r="D36" s="117"/>
      <c r="E36" s="117"/>
      <c r="F36" s="117"/>
      <c r="G36" s="118"/>
      <c r="H36" s="147"/>
      <c r="I36" s="119">
        <f>12*155000</f>
        <v>1860000</v>
      </c>
      <c r="J36" s="118"/>
      <c r="K36" s="118"/>
      <c r="L36" s="118"/>
      <c r="M36" s="118"/>
      <c r="N36" s="118"/>
      <c r="O36" s="118"/>
      <c r="P36" s="118"/>
      <c r="Q36" s="118"/>
      <c r="R36" s="118"/>
      <c r="S36" s="12"/>
      <c r="T36" s="12"/>
      <c r="U36" s="12"/>
      <c r="V36" s="12"/>
      <c r="W36" s="12"/>
      <c r="X36" s="12"/>
      <c r="Y36" s="161">
        <f t="shared" si="0"/>
        <v>1860000</v>
      </c>
      <c r="Z36" s="10"/>
    </row>
    <row r="37" spans="1:26" ht="15.75" customHeight="1">
      <c r="A37" s="129">
        <v>45736</v>
      </c>
      <c r="B37" s="151" t="s">
        <v>146</v>
      </c>
      <c r="C37" s="117"/>
      <c r="D37" s="117"/>
      <c r="E37" s="117"/>
      <c r="F37" s="117"/>
      <c r="G37" s="118"/>
      <c r="H37" s="147"/>
      <c r="I37" s="119">
        <f>4*36000</f>
        <v>144000</v>
      </c>
      <c r="J37" s="118"/>
      <c r="K37" s="118"/>
      <c r="L37" s="118"/>
      <c r="M37" s="118"/>
      <c r="N37" s="118"/>
      <c r="O37" s="118"/>
      <c r="P37" s="118"/>
      <c r="Q37" s="118"/>
      <c r="R37" s="118"/>
      <c r="S37" s="12"/>
      <c r="T37" s="12"/>
      <c r="U37" s="12"/>
      <c r="V37" s="12"/>
      <c r="W37" s="12"/>
      <c r="X37" s="12"/>
      <c r="Y37" s="161">
        <f t="shared" si="0"/>
        <v>144000</v>
      </c>
      <c r="Z37" s="10"/>
    </row>
    <row r="38" spans="1:26" ht="15.75" customHeight="1">
      <c r="A38" s="129"/>
      <c r="B38" s="151" t="s">
        <v>147</v>
      </c>
      <c r="C38" s="117"/>
      <c r="D38" s="117"/>
      <c r="E38" s="117"/>
      <c r="F38" s="117"/>
      <c r="G38" s="118"/>
      <c r="H38" s="147"/>
      <c r="I38" s="119">
        <v>72000</v>
      </c>
      <c r="J38" s="118"/>
      <c r="K38" s="118"/>
      <c r="L38" s="118"/>
      <c r="M38" s="118"/>
      <c r="N38" s="118"/>
      <c r="O38" s="118"/>
      <c r="P38" s="118"/>
      <c r="Q38" s="118"/>
      <c r="R38" s="118"/>
      <c r="S38" s="12"/>
      <c r="T38" s="12"/>
      <c r="U38" s="12"/>
      <c r="V38" s="12"/>
      <c r="W38" s="12"/>
      <c r="X38" s="12"/>
      <c r="Y38" s="161">
        <f t="shared" si="0"/>
        <v>72000</v>
      </c>
      <c r="Z38" s="10"/>
    </row>
    <row r="39" spans="1:26" ht="15.75" customHeight="1">
      <c r="A39" s="129">
        <v>45736</v>
      </c>
      <c r="B39" s="151" t="s">
        <v>148</v>
      </c>
      <c r="C39" s="117"/>
      <c r="D39" s="117"/>
      <c r="E39" s="117"/>
      <c r="F39" s="117"/>
      <c r="G39" s="118">
        <f>4*15000</f>
        <v>60000</v>
      </c>
      <c r="H39" s="147"/>
      <c r="I39" s="119"/>
      <c r="J39" s="118"/>
      <c r="K39" s="118"/>
      <c r="L39" s="118"/>
      <c r="M39" s="118"/>
      <c r="N39" s="118"/>
      <c r="O39" s="118"/>
      <c r="P39" s="118"/>
      <c r="Q39" s="118"/>
      <c r="R39" s="118"/>
      <c r="S39" s="12"/>
      <c r="T39" s="12"/>
      <c r="U39" s="12"/>
      <c r="V39" s="12"/>
      <c r="W39" s="12"/>
      <c r="X39" s="12"/>
      <c r="Y39" s="161">
        <f t="shared" si="0"/>
        <v>60000</v>
      </c>
      <c r="Z39" s="10"/>
    </row>
    <row r="40" spans="1:26" ht="15.75" customHeight="1">
      <c r="A40" s="129"/>
      <c r="B40" s="151" t="s">
        <v>149</v>
      </c>
      <c r="C40" s="117"/>
      <c r="D40" s="117"/>
      <c r="E40" s="117"/>
      <c r="F40" s="117"/>
      <c r="G40" s="118">
        <f>2*5000</f>
        <v>10000</v>
      </c>
      <c r="H40" s="147"/>
      <c r="I40" s="119"/>
      <c r="J40" s="118"/>
      <c r="K40" s="118"/>
      <c r="L40" s="118"/>
      <c r="M40" s="118"/>
      <c r="N40" s="118"/>
      <c r="O40" s="118"/>
      <c r="P40" s="118"/>
      <c r="Q40" s="118"/>
      <c r="R40" s="118"/>
      <c r="S40" s="12"/>
      <c r="T40" s="12"/>
      <c r="U40" s="12"/>
      <c r="V40" s="12"/>
      <c r="W40" s="12"/>
      <c r="X40" s="12"/>
      <c r="Y40" s="161">
        <f t="shared" si="0"/>
        <v>10000</v>
      </c>
      <c r="Z40" s="10"/>
    </row>
    <row r="41" spans="1:26" ht="15.75" customHeight="1">
      <c r="A41" s="129"/>
      <c r="B41" s="151" t="s">
        <v>160</v>
      </c>
      <c r="C41" s="117"/>
      <c r="D41" s="117"/>
      <c r="E41" s="117"/>
      <c r="F41" s="117"/>
      <c r="G41" s="118">
        <f>2*75000</f>
        <v>150000</v>
      </c>
      <c r="H41" s="147"/>
      <c r="I41" s="119"/>
      <c r="J41" s="118"/>
      <c r="K41" s="118"/>
      <c r="L41" s="118"/>
      <c r="M41" s="118"/>
      <c r="N41" s="118"/>
      <c r="O41" s="118"/>
      <c r="P41" s="118"/>
      <c r="Q41" s="118"/>
      <c r="R41" s="118"/>
      <c r="S41" s="12"/>
      <c r="T41" s="12"/>
      <c r="U41" s="12"/>
      <c r="V41" s="12"/>
      <c r="W41" s="12"/>
      <c r="X41" s="12"/>
      <c r="Y41" s="161">
        <f t="shared" si="0"/>
        <v>150000</v>
      </c>
      <c r="Z41" s="10"/>
    </row>
    <row r="42" spans="1:26" ht="15.75" customHeight="1">
      <c r="A42" s="129"/>
      <c r="B42" s="151" t="s">
        <v>150</v>
      </c>
      <c r="C42" s="117"/>
      <c r="D42" s="117"/>
      <c r="E42" s="117"/>
      <c r="F42" s="117"/>
      <c r="G42" s="118">
        <f>2*30000</f>
        <v>60000</v>
      </c>
      <c r="H42" s="147"/>
      <c r="I42" s="119"/>
      <c r="J42" s="118"/>
      <c r="K42" s="118"/>
      <c r="L42" s="118"/>
      <c r="M42" s="118"/>
      <c r="N42" s="118"/>
      <c r="O42" s="118"/>
      <c r="P42" s="118"/>
      <c r="Q42" s="118"/>
      <c r="R42" s="118"/>
      <c r="S42" s="12"/>
      <c r="T42" s="12"/>
      <c r="U42" s="12"/>
      <c r="V42" s="12"/>
      <c r="W42" s="12"/>
      <c r="X42" s="12"/>
      <c r="Y42" s="161">
        <f t="shared" si="0"/>
        <v>60000</v>
      </c>
      <c r="Z42" s="10"/>
    </row>
    <row r="43" spans="1:26" ht="15.75" customHeight="1">
      <c r="A43" s="129">
        <v>45736</v>
      </c>
      <c r="B43" s="151" t="s">
        <v>151</v>
      </c>
      <c r="C43" s="117"/>
      <c r="D43" s="117"/>
      <c r="E43" s="117"/>
      <c r="F43" s="117"/>
      <c r="G43" s="118">
        <f>40*9000</f>
        <v>360000</v>
      </c>
      <c r="H43" s="147"/>
      <c r="I43" s="119"/>
      <c r="J43" s="118"/>
      <c r="K43" s="118"/>
      <c r="L43" s="118"/>
      <c r="M43" s="118"/>
      <c r="N43" s="118"/>
      <c r="O43" s="118"/>
      <c r="P43" s="118"/>
      <c r="Q43" s="118"/>
      <c r="R43" s="118"/>
      <c r="S43" s="12"/>
      <c r="T43" s="12"/>
      <c r="U43" s="12"/>
      <c r="V43" s="12"/>
      <c r="W43" s="12"/>
      <c r="X43" s="12"/>
      <c r="Y43" s="161">
        <f t="shared" si="0"/>
        <v>360000</v>
      </c>
      <c r="Z43" s="10"/>
    </row>
    <row r="44" spans="1:26" ht="15.75" customHeight="1">
      <c r="A44" s="129"/>
      <c r="B44" s="151" t="s">
        <v>159</v>
      </c>
      <c r="C44" s="117"/>
      <c r="D44" s="117"/>
      <c r="E44" s="117"/>
      <c r="F44" s="117"/>
      <c r="G44" s="118">
        <f>4*55000</f>
        <v>220000</v>
      </c>
      <c r="H44" s="147"/>
      <c r="I44" s="119"/>
      <c r="J44" s="118"/>
      <c r="K44" s="118"/>
      <c r="L44" s="118"/>
      <c r="M44" s="118"/>
      <c r="N44" s="118"/>
      <c r="O44" s="118"/>
      <c r="P44" s="118"/>
      <c r="Q44" s="118"/>
      <c r="R44" s="118"/>
      <c r="S44" s="12"/>
      <c r="T44" s="12"/>
      <c r="U44" s="12"/>
      <c r="V44" s="12"/>
      <c r="W44" s="12"/>
      <c r="X44" s="12"/>
      <c r="Y44" s="161">
        <f t="shared" si="0"/>
        <v>220000</v>
      </c>
      <c r="Z44" s="10"/>
    </row>
    <row r="45" spans="1:26" ht="15.75" customHeight="1">
      <c r="A45" s="129"/>
      <c r="B45" s="151" t="s">
        <v>152</v>
      </c>
      <c r="C45" s="117"/>
      <c r="D45" s="117"/>
      <c r="E45" s="117"/>
      <c r="F45" s="117"/>
      <c r="G45" s="118">
        <f>5*22000</f>
        <v>110000</v>
      </c>
      <c r="H45" s="147"/>
      <c r="I45" s="119"/>
      <c r="J45" s="118"/>
      <c r="K45" s="118"/>
      <c r="L45" s="118"/>
      <c r="M45" s="118"/>
      <c r="N45" s="118"/>
      <c r="O45" s="118"/>
      <c r="P45" s="118"/>
      <c r="Q45" s="118"/>
      <c r="R45" s="118"/>
      <c r="S45" s="12"/>
      <c r="T45" s="12"/>
      <c r="U45" s="12"/>
      <c r="V45" s="12"/>
      <c r="W45" s="12"/>
      <c r="X45" s="12"/>
      <c r="Y45" s="161">
        <f t="shared" si="0"/>
        <v>110000</v>
      </c>
      <c r="Z45" s="10"/>
    </row>
    <row r="46" spans="1:26" ht="15.75" customHeight="1">
      <c r="A46" s="129"/>
      <c r="B46" s="151" t="s">
        <v>153</v>
      </c>
      <c r="C46" s="117"/>
      <c r="D46" s="117"/>
      <c r="E46" s="117"/>
      <c r="F46" s="117"/>
      <c r="G46" s="118">
        <f>4*42500</f>
        <v>170000</v>
      </c>
      <c r="H46" s="147"/>
      <c r="I46" s="119"/>
      <c r="J46" s="118"/>
      <c r="K46" s="118"/>
      <c r="L46" s="118"/>
      <c r="M46" s="118"/>
      <c r="N46" s="118"/>
      <c r="O46" s="118"/>
      <c r="P46" s="118"/>
      <c r="Q46" s="118"/>
      <c r="R46" s="118"/>
      <c r="S46" s="12"/>
      <c r="T46" s="12"/>
      <c r="U46" s="12"/>
      <c r="V46" s="12"/>
      <c r="W46" s="12"/>
      <c r="X46" s="12"/>
      <c r="Y46" s="161">
        <f t="shared" si="0"/>
        <v>170000</v>
      </c>
      <c r="Z46" s="10"/>
    </row>
    <row r="47" spans="1:26" ht="15.75" customHeight="1">
      <c r="A47" s="129"/>
      <c r="B47" s="151" t="s">
        <v>154</v>
      </c>
      <c r="C47" s="117"/>
      <c r="D47" s="117"/>
      <c r="E47" s="117"/>
      <c r="F47" s="117"/>
      <c r="G47" s="118">
        <f>5*28000</f>
        <v>140000</v>
      </c>
      <c r="H47" s="147"/>
      <c r="I47" s="119"/>
      <c r="J47" s="118"/>
      <c r="K47" s="118"/>
      <c r="L47" s="118"/>
      <c r="M47" s="118"/>
      <c r="N47" s="118"/>
      <c r="O47" s="118"/>
      <c r="P47" s="118"/>
      <c r="Q47" s="118"/>
      <c r="R47" s="118"/>
      <c r="S47" s="12"/>
      <c r="T47" s="12"/>
      <c r="U47" s="12"/>
      <c r="V47" s="12"/>
      <c r="W47" s="12"/>
      <c r="X47" s="12"/>
      <c r="Y47" s="161">
        <f t="shared" si="0"/>
        <v>140000</v>
      </c>
      <c r="Z47" s="10"/>
    </row>
    <row r="48" spans="1:26" ht="15.75" customHeight="1">
      <c r="A48" s="129"/>
      <c r="B48" s="151" t="s">
        <v>155</v>
      </c>
      <c r="C48" s="117"/>
      <c r="D48" s="117"/>
      <c r="E48" s="117"/>
      <c r="F48" s="117"/>
      <c r="G48" s="118">
        <f>2*12000</f>
        <v>24000</v>
      </c>
      <c r="H48" s="147"/>
      <c r="I48" s="119"/>
      <c r="J48" s="118"/>
      <c r="K48" s="118"/>
      <c r="L48" s="118"/>
      <c r="M48" s="118"/>
      <c r="N48" s="118"/>
      <c r="O48" s="118"/>
      <c r="P48" s="118"/>
      <c r="Q48" s="118"/>
      <c r="R48" s="118"/>
      <c r="S48" s="12"/>
      <c r="T48" s="12"/>
      <c r="U48" s="12"/>
      <c r="V48" s="12"/>
      <c r="W48" s="12"/>
      <c r="X48" s="12"/>
      <c r="Y48" s="161">
        <f t="shared" si="0"/>
        <v>24000</v>
      </c>
      <c r="Z48" s="10"/>
    </row>
    <row r="49" spans="1:26" ht="15.75" customHeight="1">
      <c r="A49" s="129"/>
      <c r="B49" s="151" t="s">
        <v>156</v>
      </c>
      <c r="C49" s="117"/>
      <c r="D49" s="117"/>
      <c r="E49" s="117"/>
      <c r="F49" s="117"/>
      <c r="G49" s="118">
        <f>2*25000</f>
        <v>50000</v>
      </c>
      <c r="H49" s="147"/>
      <c r="I49" s="119"/>
      <c r="J49" s="118"/>
      <c r="K49" s="118"/>
      <c r="L49" s="118"/>
      <c r="M49" s="118"/>
      <c r="N49" s="118"/>
      <c r="O49" s="118"/>
      <c r="P49" s="118"/>
      <c r="Q49" s="118"/>
      <c r="R49" s="118"/>
      <c r="S49" s="12"/>
      <c r="T49" s="12"/>
      <c r="U49" s="12"/>
      <c r="V49" s="12"/>
      <c r="W49" s="12"/>
      <c r="X49" s="12"/>
      <c r="Y49" s="161">
        <f t="shared" si="0"/>
        <v>50000</v>
      </c>
      <c r="Z49" s="10"/>
    </row>
    <row r="50" spans="1:26" ht="15.75" customHeight="1">
      <c r="A50" s="129"/>
      <c r="B50" s="151" t="s">
        <v>157</v>
      </c>
      <c r="C50" s="117"/>
      <c r="D50" s="117"/>
      <c r="E50" s="117"/>
      <c r="F50" s="117"/>
      <c r="G50" s="118">
        <f>4*40000</f>
        <v>160000</v>
      </c>
      <c r="H50" s="147"/>
      <c r="I50" s="119"/>
      <c r="J50" s="118"/>
      <c r="K50" s="118"/>
      <c r="L50" s="118"/>
      <c r="M50" s="118"/>
      <c r="N50" s="118"/>
      <c r="O50" s="118"/>
      <c r="P50" s="118"/>
      <c r="Q50" s="118"/>
      <c r="R50" s="118"/>
      <c r="S50" s="12"/>
      <c r="T50" s="12"/>
      <c r="U50" s="12"/>
      <c r="V50" s="12"/>
      <c r="W50" s="12"/>
      <c r="X50" s="12"/>
      <c r="Y50" s="161">
        <f t="shared" si="0"/>
        <v>160000</v>
      </c>
      <c r="Z50" s="10"/>
    </row>
    <row r="51" spans="1:26" ht="15.75" customHeight="1">
      <c r="A51" s="129"/>
      <c r="B51" s="151" t="s">
        <v>158</v>
      </c>
      <c r="C51" s="117"/>
      <c r="D51" s="117"/>
      <c r="E51" s="117"/>
      <c r="F51" s="117"/>
      <c r="G51" s="118">
        <f>10*3000</f>
        <v>30000</v>
      </c>
      <c r="H51" s="147"/>
      <c r="I51" s="119"/>
      <c r="J51" s="118"/>
      <c r="K51" s="118"/>
      <c r="L51" s="118"/>
      <c r="M51" s="118"/>
      <c r="N51" s="118"/>
      <c r="O51" s="118"/>
      <c r="P51" s="118"/>
      <c r="Q51" s="118"/>
      <c r="R51" s="118"/>
      <c r="S51" s="12"/>
      <c r="T51" s="12"/>
      <c r="U51" s="12"/>
      <c r="V51" s="12"/>
      <c r="W51" s="12"/>
      <c r="X51" s="12"/>
      <c r="Y51" s="161">
        <f t="shared" si="0"/>
        <v>30000</v>
      </c>
      <c r="Z51" s="10"/>
    </row>
    <row r="52" spans="1:26" ht="15.75" customHeight="1">
      <c r="A52" s="129">
        <v>45767</v>
      </c>
      <c r="B52" s="151" t="s">
        <v>161</v>
      </c>
      <c r="C52" s="117"/>
      <c r="D52" s="117"/>
      <c r="E52" s="117"/>
      <c r="F52" s="117"/>
      <c r="G52" s="118"/>
      <c r="H52" s="147"/>
      <c r="I52" s="119">
        <f>4*85000</f>
        <v>340000</v>
      </c>
      <c r="J52" s="118"/>
      <c r="K52" s="118"/>
      <c r="L52" s="118"/>
      <c r="M52" s="118"/>
      <c r="N52" s="118"/>
      <c r="O52" s="118"/>
      <c r="P52" s="118"/>
      <c r="Q52" s="118"/>
      <c r="R52" s="118"/>
      <c r="S52" s="12"/>
      <c r="T52" s="12"/>
      <c r="U52" s="12"/>
      <c r="V52" s="12"/>
      <c r="W52" s="12"/>
      <c r="X52" s="12"/>
      <c r="Y52" s="161">
        <f t="shared" si="0"/>
        <v>340000</v>
      </c>
      <c r="Z52" s="10"/>
    </row>
    <row r="53" spans="1:26" ht="15.75" customHeight="1">
      <c r="A53" s="129"/>
      <c r="B53" s="151" t="s">
        <v>162</v>
      </c>
      <c r="C53" s="117"/>
      <c r="D53" s="117"/>
      <c r="E53" s="117"/>
      <c r="F53" s="117"/>
      <c r="G53" s="118">
        <f>2*10000</f>
        <v>20000</v>
      </c>
      <c r="H53" s="147"/>
      <c r="I53" s="119"/>
      <c r="J53" s="118"/>
      <c r="K53" s="118"/>
      <c r="L53" s="118"/>
      <c r="M53" s="118"/>
      <c r="N53" s="118"/>
      <c r="O53" s="118"/>
      <c r="P53" s="118"/>
      <c r="Q53" s="118"/>
      <c r="R53" s="118"/>
      <c r="S53" s="12"/>
      <c r="T53" s="12"/>
      <c r="U53" s="12"/>
      <c r="V53" s="12"/>
      <c r="W53" s="12"/>
      <c r="X53" s="12"/>
      <c r="Y53" s="161">
        <f t="shared" si="0"/>
        <v>20000</v>
      </c>
      <c r="Z53" s="10"/>
    </row>
    <row r="54" spans="1:26" ht="15.75" customHeight="1">
      <c r="A54" s="129"/>
      <c r="B54" s="151" t="s">
        <v>163</v>
      </c>
      <c r="C54" s="117"/>
      <c r="D54" s="117"/>
      <c r="E54" s="117"/>
      <c r="F54" s="117"/>
      <c r="G54" s="118"/>
      <c r="H54" s="147"/>
      <c r="I54" s="119">
        <f>76*36000</f>
        <v>2736000</v>
      </c>
      <c r="J54" s="118"/>
      <c r="K54" s="118"/>
      <c r="L54" s="118"/>
      <c r="M54" s="118"/>
      <c r="N54" s="118"/>
      <c r="O54" s="118"/>
      <c r="P54" s="118"/>
      <c r="Q54" s="118"/>
      <c r="R54" s="118"/>
      <c r="S54" s="12"/>
      <c r="T54" s="12"/>
      <c r="U54" s="12"/>
      <c r="V54" s="12"/>
      <c r="W54" s="12"/>
      <c r="X54" s="12"/>
      <c r="Y54" s="161">
        <f t="shared" si="0"/>
        <v>2736000</v>
      </c>
      <c r="Z54" s="10"/>
    </row>
    <row r="55" spans="1:26" ht="15.75" customHeight="1">
      <c r="A55" s="129"/>
      <c r="B55" s="151" t="s">
        <v>165</v>
      </c>
      <c r="C55" s="117"/>
      <c r="D55" s="117"/>
      <c r="E55" s="117"/>
      <c r="F55" s="117"/>
      <c r="G55" s="118"/>
      <c r="H55" s="147"/>
      <c r="I55" s="119">
        <f>15*30000</f>
        <v>450000</v>
      </c>
      <c r="J55" s="118"/>
      <c r="K55" s="118"/>
      <c r="L55" s="118"/>
      <c r="M55" s="118"/>
      <c r="N55" s="118"/>
      <c r="O55" s="118"/>
      <c r="P55" s="118"/>
      <c r="Q55" s="118"/>
      <c r="R55" s="118"/>
      <c r="S55" s="12"/>
      <c r="T55" s="12"/>
      <c r="U55" s="12"/>
      <c r="V55" s="12"/>
      <c r="W55" s="12"/>
      <c r="X55" s="12"/>
      <c r="Y55" s="161">
        <f t="shared" si="0"/>
        <v>450000</v>
      </c>
      <c r="Z55" s="10"/>
    </row>
    <row r="56" spans="1:26" ht="15.75" customHeight="1">
      <c r="A56" s="129"/>
      <c r="B56" s="151" t="s">
        <v>166</v>
      </c>
      <c r="C56" s="117"/>
      <c r="D56" s="117"/>
      <c r="E56" s="117"/>
      <c r="F56" s="117"/>
      <c r="G56" s="118"/>
      <c r="H56" s="147"/>
      <c r="I56" s="119">
        <f>6*18000</f>
        <v>108000</v>
      </c>
      <c r="J56" s="118"/>
      <c r="K56" s="118"/>
      <c r="L56" s="118"/>
      <c r="M56" s="118"/>
      <c r="N56" s="118"/>
      <c r="O56" s="118"/>
      <c r="P56" s="118"/>
      <c r="Q56" s="118"/>
      <c r="R56" s="118"/>
      <c r="S56" s="12"/>
      <c r="T56" s="12"/>
      <c r="U56" s="12"/>
      <c r="V56" s="12"/>
      <c r="W56" s="12"/>
      <c r="X56" s="12"/>
      <c r="Y56" s="161">
        <f t="shared" si="0"/>
        <v>108000</v>
      </c>
      <c r="Z56" s="10"/>
    </row>
    <row r="57" spans="1:26" ht="15.75" customHeight="1">
      <c r="A57" s="129"/>
      <c r="B57" s="151" t="s">
        <v>167</v>
      </c>
      <c r="C57" s="117"/>
      <c r="D57" s="117"/>
      <c r="E57" s="117"/>
      <c r="F57" s="117"/>
      <c r="G57" s="118"/>
      <c r="H57" s="147"/>
      <c r="I57" s="119">
        <f>8*18000</f>
        <v>144000</v>
      </c>
      <c r="J57" s="118"/>
      <c r="K57" s="118"/>
      <c r="L57" s="118"/>
      <c r="M57" s="118"/>
      <c r="N57" s="118"/>
      <c r="O57" s="118"/>
      <c r="P57" s="118"/>
      <c r="Q57" s="118"/>
      <c r="R57" s="118"/>
      <c r="S57" s="12"/>
      <c r="T57" s="12"/>
      <c r="U57" s="12"/>
      <c r="V57" s="12"/>
      <c r="W57" s="12"/>
      <c r="X57" s="12"/>
      <c r="Y57" s="161">
        <f t="shared" si="0"/>
        <v>144000</v>
      </c>
      <c r="Z57" s="10"/>
    </row>
    <row r="58" spans="1:26" ht="15.75" customHeight="1">
      <c r="A58" s="129"/>
      <c r="B58" s="151" t="s">
        <v>168</v>
      </c>
      <c r="C58" s="117"/>
      <c r="D58" s="117"/>
      <c r="E58" s="117"/>
      <c r="F58" s="117"/>
      <c r="G58" s="118">
        <f>4*18000</f>
        <v>72000</v>
      </c>
      <c r="H58" s="147"/>
      <c r="I58" s="119"/>
      <c r="J58" s="118"/>
      <c r="K58" s="118"/>
      <c r="L58" s="118"/>
      <c r="M58" s="118"/>
      <c r="N58" s="118"/>
      <c r="O58" s="118"/>
      <c r="P58" s="118"/>
      <c r="Q58" s="118"/>
      <c r="R58" s="118"/>
      <c r="S58" s="12"/>
      <c r="T58" s="12"/>
      <c r="U58" s="12"/>
      <c r="V58" s="12"/>
      <c r="W58" s="12"/>
      <c r="X58" s="12"/>
      <c r="Y58" s="161">
        <f t="shared" si="0"/>
        <v>72000</v>
      </c>
      <c r="Z58" s="10"/>
    </row>
    <row r="59" spans="1:26" ht="15.75" customHeight="1">
      <c r="A59" s="129"/>
      <c r="B59" s="151" t="s">
        <v>169</v>
      </c>
      <c r="C59" s="117"/>
      <c r="D59" s="117"/>
      <c r="E59" s="117"/>
      <c r="F59" s="117"/>
      <c r="G59" s="118"/>
      <c r="H59" s="147"/>
      <c r="I59" s="119">
        <f>22*155000</f>
        <v>3410000</v>
      </c>
      <c r="J59" s="118"/>
      <c r="K59" s="118"/>
      <c r="L59" s="118"/>
      <c r="M59" s="118"/>
      <c r="N59" s="118"/>
      <c r="O59" s="118"/>
      <c r="P59" s="118"/>
      <c r="Q59" s="118"/>
      <c r="R59" s="118"/>
      <c r="S59" s="12"/>
      <c r="T59" s="12"/>
      <c r="U59" s="12"/>
      <c r="V59" s="12"/>
      <c r="W59" s="12"/>
      <c r="X59" s="12"/>
      <c r="Y59" s="161">
        <f t="shared" si="0"/>
        <v>3410000</v>
      </c>
      <c r="Z59" s="10"/>
    </row>
    <row r="60" spans="1:26" ht="15.75" customHeight="1">
      <c r="A60" s="129"/>
      <c r="B60" s="151" t="s">
        <v>145</v>
      </c>
      <c r="C60" s="117"/>
      <c r="D60" s="117"/>
      <c r="E60" s="117"/>
      <c r="F60" s="117"/>
      <c r="G60" s="118"/>
      <c r="H60" s="147"/>
      <c r="I60" s="119">
        <f>10*72000</f>
        <v>720000</v>
      </c>
      <c r="J60" s="118"/>
      <c r="K60" s="118"/>
      <c r="L60" s="118"/>
      <c r="M60" s="118"/>
      <c r="N60" s="118"/>
      <c r="O60" s="118"/>
      <c r="P60" s="118"/>
      <c r="Q60" s="118"/>
      <c r="R60" s="118"/>
      <c r="S60" s="12"/>
      <c r="T60" s="12"/>
      <c r="U60" s="12"/>
      <c r="V60" s="12"/>
      <c r="W60" s="12"/>
      <c r="X60" s="12"/>
      <c r="Y60" s="161">
        <f t="shared" si="0"/>
        <v>720000</v>
      </c>
      <c r="Z60" s="10"/>
    </row>
    <row r="61" spans="1:26" ht="15.75" customHeight="1">
      <c r="A61" s="129">
        <v>45767</v>
      </c>
      <c r="B61" s="151" t="s">
        <v>170</v>
      </c>
      <c r="C61" s="117"/>
      <c r="D61" s="117"/>
      <c r="E61" s="117"/>
      <c r="F61" s="117"/>
      <c r="G61" s="118"/>
      <c r="H61" s="147"/>
      <c r="I61" s="119">
        <f>8*85000</f>
        <v>680000</v>
      </c>
      <c r="J61" s="118"/>
      <c r="K61" s="118"/>
      <c r="L61" s="118"/>
      <c r="M61" s="118"/>
      <c r="N61" s="118"/>
      <c r="O61" s="118"/>
      <c r="P61" s="118"/>
      <c r="Q61" s="118"/>
      <c r="R61" s="118"/>
      <c r="S61" s="12"/>
      <c r="T61" s="12"/>
      <c r="U61" s="12"/>
      <c r="V61" s="12"/>
      <c r="W61" s="12"/>
      <c r="X61" s="12"/>
      <c r="Y61" s="161">
        <f t="shared" si="0"/>
        <v>680000</v>
      </c>
      <c r="Z61" s="10"/>
    </row>
    <row r="62" spans="1:26" ht="15.75" customHeight="1">
      <c r="A62" s="129"/>
      <c r="B62" s="151" t="s">
        <v>171</v>
      </c>
      <c r="C62" s="117"/>
      <c r="D62" s="117"/>
      <c r="E62" s="117"/>
      <c r="F62" s="117"/>
      <c r="G62" s="118"/>
      <c r="H62" s="147"/>
      <c r="I62" s="119">
        <f>2*12000</f>
        <v>24000</v>
      </c>
      <c r="J62" s="118"/>
      <c r="K62" s="118"/>
      <c r="L62" s="118"/>
      <c r="M62" s="118"/>
      <c r="N62" s="118"/>
      <c r="O62" s="118"/>
      <c r="P62" s="118"/>
      <c r="Q62" s="118"/>
      <c r="R62" s="118"/>
      <c r="S62" s="12"/>
      <c r="T62" s="12"/>
      <c r="U62" s="12"/>
      <c r="V62" s="12"/>
      <c r="W62" s="12"/>
      <c r="X62" s="12"/>
      <c r="Y62" s="161">
        <f t="shared" si="0"/>
        <v>24000</v>
      </c>
      <c r="Z62" s="10"/>
    </row>
    <row r="63" spans="1:26" ht="15.75" customHeight="1">
      <c r="A63" s="129"/>
      <c r="B63" s="151" t="s">
        <v>172</v>
      </c>
      <c r="C63" s="117"/>
      <c r="D63" s="117"/>
      <c r="E63" s="117"/>
      <c r="F63" s="117"/>
      <c r="G63" s="118"/>
      <c r="H63" s="147"/>
      <c r="I63" s="119">
        <f>140*36000</f>
        <v>5040000</v>
      </c>
      <c r="J63" s="118"/>
      <c r="K63" s="118"/>
      <c r="L63" s="118"/>
      <c r="M63" s="118"/>
      <c r="N63" s="118"/>
      <c r="O63" s="118"/>
      <c r="P63" s="118"/>
      <c r="Q63" s="118"/>
      <c r="R63" s="118"/>
      <c r="S63" s="12"/>
      <c r="T63" s="12"/>
      <c r="U63" s="12"/>
      <c r="V63" s="12"/>
      <c r="W63" s="12"/>
      <c r="X63" s="12"/>
      <c r="Y63" s="161">
        <f t="shared" si="0"/>
        <v>5040000</v>
      </c>
      <c r="Z63" s="10"/>
    </row>
    <row r="64" spans="1:26" ht="15.75" customHeight="1">
      <c r="A64" s="129"/>
      <c r="B64" s="151" t="s">
        <v>173</v>
      </c>
      <c r="C64" s="117"/>
      <c r="D64" s="117"/>
      <c r="E64" s="117"/>
      <c r="F64" s="117"/>
      <c r="G64" s="118">
        <f>3*9000</f>
        <v>27000</v>
      </c>
      <c r="H64" s="147"/>
      <c r="I64" s="119"/>
      <c r="J64" s="118"/>
      <c r="K64" s="118"/>
      <c r="L64" s="118"/>
      <c r="M64" s="118"/>
      <c r="N64" s="118"/>
      <c r="O64" s="118"/>
      <c r="P64" s="118"/>
      <c r="Q64" s="118"/>
      <c r="R64" s="118"/>
      <c r="S64" s="12"/>
      <c r="T64" s="12"/>
      <c r="U64" s="12"/>
      <c r="V64" s="12"/>
      <c r="W64" s="12"/>
      <c r="X64" s="12"/>
      <c r="Y64" s="161">
        <f t="shared" si="0"/>
        <v>27000</v>
      </c>
      <c r="Z64" s="10"/>
    </row>
    <row r="65" spans="1:26" ht="15.75" customHeight="1">
      <c r="A65" s="163"/>
      <c r="B65" s="151" t="s">
        <v>174</v>
      </c>
      <c r="C65" s="117"/>
      <c r="D65" s="117"/>
      <c r="E65" s="117"/>
      <c r="F65" s="117"/>
      <c r="G65" s="118">
        <f>3*15000</f>
        <v>45000</v>
      </c>
      <c r="H65" s="147"/>
      <c r="I65" s="119"/>
      <c r="J65" s="118"/>
      <c r="K65" s="118"/>
      <c r="L65" s="118"/>
      <c r="M65" s="118"/>
      <c r="N65" s="118"/>
      <c r="O65" s="118"/>
      <c r="P65" s="118"/>
      <c r="Q65" s="118"/>
      <c r="R65" s="118"/>
      <c r="S65" s="12"/>
      <c r="T65" s="12"/>
      <c r="U65" s="12"/>
      <c r="V65" s="12"/>
      <c r="W65" s="12"/>
      <c r="X65" s="12"/>
      <c r="Y65" s="161">
        <f t="shared" si="0"/>
        <v>45000</v>
      </c>
      <c r="Z65" s="10"/>
    </row>
    <row r="66" spans="1:26" ht="15.75" customHeight="1">
      <c r="A66" s="163"/>
      <c r="B66" s="151" t="s">
        <v>175</v>
      </c>
      <c r="C66" s="117"/>
      <c r="D66" s="117"/>
      <c r="E66" s="117"/>
      <c r="F66" s="117"/>
      <c r="G66" s="118">
        <v>85000</v>
      </c>
      <c r="H66" s="147"/>
      <c r="I66" s="119"/>
      <c r="J66" s="118"/>
      <c r="K66" s="118"/>
      <c r="L66" s="118"/>
      <c r="M66" s="118"/>
      <c r="N66" s="118"/>
      <c r="O66" s="118"/>
      <c r="P66" s="118"/>
      <c r="Q66" s="118"/>
      <c r="R66" s="118"/>
      <c r="S66" s="12"/>
      <c r="T66" s="12"/>
      <c r="U66" s="12"/>
      <c r="V66" s="12"/>
      <c r="W66" s="12"/>
      <c r="X66" s="12"/>
      <c r="Y66" s="161">
        <f t="shared" si="0"/>
        <v>85000</v>
      </c>
      <c r="Z66" s="10"/>
    </row>
    <row r="67" spans="1:26" ht="15.75" customHeight="1">
      <c r="A67" s="163"/>
      <c r="B67" s="151" t="s">
        <v>166</v>
      </c>
      <c r="C67" s="117"/>
      <c r="D67" s="117"/>
      <c r="E67" s="117"/>
      <c r="F67" s="117"/>
      <c r="G67" s="118"/>
      <c r="H67" s="147"/>
      <c r="I67" s="119">
        <f>6*18000</f>
        <v>108000</v>
      </c>
      <c r="J67" s="118"/>
      <c r="K67" s="118"/>
      <c r="L67" s="118"/>
      <c r="M67" s="118"/>
      <c r="N67" s="118"/>
      <c r="O67" s="118"/>
      <c r="P67" s="118"/>
      <c r="Q67" s="118"/>
      <c r="R67" s="118"/>
      <c r="S67" s="12"/>
      <c r="T67" s="12"/>
      <c r="U67" s="12"/>
      <c r="V67" s="12"/>
      <c r="W67" s="12"/>
      <c r="X67" s="12"/>
      <c r="Y67" s="161">
        <f t="shared" si="0"/>
        <v>108000</v>
      </c>
      <c r="Z67" s="10"/>
    </row>
    <row r="68" spans="1:26" ht="15.75" customHeight="1">
      <c r="A68" s="163"/>
      <c r="B68" s="151" t="s">
        <v>176</v>
      </c>
      <c r="C68" s="117"/>
      <c r="D68" s="117"/>
      <c r="E68" s="117"/>
      <c r="F68" s="117"/>
      <c r="G68" s="118"/>
      <c r="H68" s="147"/>
      <c r="I68" s="119">
        <f>9*18000</f>
        <v>162000</v>
      </c>
      <c r="J68" s="118"/>
      <c r="K68" s="118"/>
      <c r="L68" s="118"/>
      <c r="M68" s="118"/>
      <c r="N68" s="118"/>
      <c r="O68" s="118"/>
      <c r="P68" s="118"/>
      <c r="Q68" s="118"/>
      <c r="R68" s="118"/>
      <c r="S68" s="12"/>
      <c r="T68" s="12"/>
      <c r="U68" s="12"/>
      <c r="V68" s="12"/>
      <c r="W68" s="12"/>
      <c r="X68" s="12"/>
      <c r="Y68" s="161">
        <f t="shared" si="0"/>
        <v>162000</v>
      </c>
      <c r="Z68" s="10"/>
    </row>
    <row r="69" spans="1:26" ht="15.75" customHeight="1">
      <c r="A69" s="163"/>
      <c r="B69" s="151" t="s">
        <v>177</v>
      </c>
      <c r="C69" s="117"/>
      <c r="D69" s="117"/>
      <c r="E69" s="117"/>
      <c r="F69" s="117"/>
      <c r="G69" s="118"/>
      <c r="H69" s="147"/>
      <c r="I69" s="119">
        <f>28*155000</f>
        <v>4340000</v>
      </c>
      <c r="J69" s="118"/>
      <c r="K69" s="118"/>
      <c r="L69" s="118"/>
      <c r="M69" s="118"/>
      <c r="N69" s="118"/>
      <c r="O69" s="118"/>
      <c r="P69" s="118"/>
      <c r="Q69" s="118"/>
      <c r="R69" s="118"/>
      <c r="S69" s="12"/>
      <c r="T69" s="12"/>
      <c r="U69" s="12"/>
      <c r="V69" s="12"/>
      <c r="W69" s="12"/>
      <c r="X69" s="12"/>
      <c r="Y69" s="161">
        <f t="shared" si="0"/>
        <v>4340000</v>
      </c>
      <c r="Z69" s="10"/>
    </row>
    <row r="70" spans="1:26" ht="15.75" customHeight="1">
      <c r="A70" s="163"/>
      <c r="B70" s="151" t="s">
        <v>178</v>
      </c>
      <c r="C70" s="117"/>
      <c r="D70" s="117"/>
      <c r="E70" s="117"/>
      <c r="F70" s="117"/>
      <c r="G70" s="118"/>
      <c r="H70" s="147"/>
      <c r="I70" s="119">
        <f>3*72000</f>
        <v>216000</v>
      </c>
      <c r="J70" s="118"/>
      <c r="K70" s="118"/>
      <c r="L70" s="118"/>
      <c r="M70" s="118"/>
      <c r="N70" s="118"/>
      <c r="O70" s="118"/>
      <c r="P70" s="118"/>
      <c r="Q70" s="118"/>
      <c r="R70" s="118"/>
      <c r="S70" s="12"/>
      <c r="T70" s="12"/>
      <c r="U70" s="12"/>
      <c r="V70" s="12"/>
      <c r="W70" s="12"/>
      <c r="X70" s="12"/>
      <c r="Y70" s="161">
        <f t="shared" si="0"/>
        <v>216000</v>
      </c>
      <c r="Z70" s="10"/>
    </row>
    <row r="71" spans="1:26" ht="15.75" customHeight="1">
      <c r="A71" s="163">
        <v>45767</v>
      </c>
      <c r="B71" s="151" t="s">
        <v>180</v>
      </c>
      <c r="C71" s="117"/>
      <c r="D71" s="117"/>
      <c r="E71" s="117"/>
      <c r="F71" s="117"/>
      <c r="G71" s="118">
        <f>5*15000</f>
        <v>75000</v>
      </c>
      <c r="H71" s="147"/>
      <c r="I71" s="119"/>
      <c r="J71" s="118"/>
      <c r="K71" s="118"/>
      <c r="L71" s="118"/>
      <c r="M71" s="118"/>
      <c r="N71" s="118"/>
      <c r="O71" s="118"/>
      <c r="P71" s="118"/>
      <c r="Q71" s="118"/>
      <c r="R71" s="118"/>
      <c r="S71" s="12"/>
      <c r="T71" s="12"/>
      <c r="U71" s="12"/>
      <c r="V71" s="12"/>
      <c r="W71" s="12"/>
      <c r="X71" s="12"/>
      <c r="Y71" s="161">
        <f t="shared" ref="Y71:Y134" si="1">E71+F71+G71+H71+I71+J71+K71+L71+M71+N71+O71+P71+Q71+R71+S71+T71+U71+V71+W71+X71</f>
        <v>75000</v>
      </c>
      <c r="Z71" s="10"/>
    </row>
    <row r="72" spans="1:26" ht="15.75" customHeight="1">
      <c r="A72" s="163"/>
      <c r="B72" s="151" t="s">
        <v>179</v>
      </c>
      <c r="C72" s="117"/>
      <c r="D72" s="117"/>
      <c r="E72" s="117"/>
      <c r="F72" s="117"/>
      <c r="G72" s="118">
        <f>5*9000</f>
        <v>45000</v>
      </c>
      <c r="H72" s="147"/>
      <c r="I72" s="119"/>
      <c r="J72" s="118"/>
      <c r="K72" s="118"/>
      <c r="L72" s="118"/>
      <c r="M72" s="118"/>
      <c r="N72" s="118"/>
      <c r="O72" s="118"/>
      <c r="P72" s="118"/>
      <c r="Q72" s="118"/>
      <c r="R72" s="118"/>
      <c r="S72" s="12"/>
      <c r="T72" s="12"/>
      <c r="U72" s="12"/>
      <c r="V72" s="12"/>
      <c r="W72" s="12"/>
      <c r="X72" s="12"/>
      <c r="Y72" s="161">
        <f t="shared" si="1"/>
        <v>45000</v>
      </c>
      <c r="Z72" s="10"/>
    </row>
    <row r="73" spans="1:26" ht="15.75" customHeight="1">
      <c r="A73" s="163"/>
      <c r="B73" s="151" t="s">
        <v>181</v>
      </c>
      <c r="C73" s="117"/>
      <c r="D73" s="117"/>
      <c r="E73" s="117"/>
      <c r="F73" s="117"/>
      <c r="G73" s="118">
        <f>5*15000</f>
        <v>75000</v>
      </c>
      <c r="H73" s="147"/>
      <c r="I73" s="119"/>
      <c r="J73" s="118"/>
      <c r="K73" s="118"/>
      <c r="L73" s="118"/>
      <c r="M73" s="118"/>
      <c r="N73" s="118"/>
      <c r="O73" s="118"/>
      <c r="P73" s="118"/>
      <c r="Q73" s="118"/>
      <c r="R73" s="118"/>
      <c r="S73" s="12"/>
      <c r="T73" s="12"/>
      <c r="U73" s="12"/>
      <c r="V73" s="12"/>
      <c r="W73" s="12"/>
      <c r="X73" s="12"/>
      <c r="Y73" s="161">
        <f t="shared" si="1"/>
        <v>75000</v>
      </c>
      <c r="Z73" s="10"/>
    </row>
    <row r="74" spans="1:26" ht="15.75" customHeight="1">
      <c r="A74" s="163"/>
      <c r="B74" s="151" t="s">
        <v>182</v>
      </c>
      <c r="C74" s="117"/>
      <c r="D74" s="117"/>
      <c r="E74" s="117"/>
      <c r="F74" s="117"/>
      <c r="G74" s="118">
        <f>10*25000</f>
        <v>250000</v>
      </c>
      <c r="H74" s="147"/>
      <c r="I74" s="119"/>
      <c r="J74" s="118"/>
      <c r="K74" s="118"/>
      <c r="L74" s="118"/>
      <c r="M74" s="118"/>
      <c r="N74" s="118"/>
      <c r="O74" s="118"/>
      <c r="P74" s="118"/>
      <c r="Q74" s="118"/>
      <c r="R74" s="118"/>
      <c r="S74" s="12"/>
      <c r="T74" s="12"/>
      <c r="U74" s="12"/>
      <c r="V74" s="12"/>
      <c r="W74" s="12"/>
      <c r="X74" s="12"/>
      <c r="Y74" s="161">
        <f t="shared" si="1"/>
        <v>250000</v>
      </c>
      <c r="Z74" s="10"/>
    </row>
    <row r="75" spans="1:26" ht="15.75" customHeight="1">
      <c r="A75" s="163"/>
      <c r="B75" s="151" t="s">
        <v>183</v>
      </c>
      <c r="C75" s="117"/>
      <c r="D75" s="117"/>
      <c r="E75" s="117"/>
      <c r="F75" s="117"/>
      <c r="G75" s="118">
        <f>5*65000</f>
        <v>325000</v>
      </c>
      <c r="H75" s="147"/>
      <c r="I75" s="119"/>
      <c r="J75" s="118"/>
      <c r="K75" s="118"/>
      <c r="L75" s="118"/>
      <c r="M75" s="118"/>
      <c r="N75" s="118"/>
      <c r="O75" s="118"/>
      <c r="P75" s="118"/>
      <c r="Q75" s="118"/>
      <c r="R75" s="118"/>
      <c r="S75" s="12"/>
      <c r="T75" s="12"/>
      <c r="U75" s="12"/>
      <c r="V75" s="12"/>
      <c r="W75" s="12"/>
      <c r="X75" s="12"/>
      <c r="Y75" s="161">
        <f t="shared" si="1"/>
        <v>325000</v>
      </c>
      <c r="Z75" s="10"/>
    </row>
    <row r="76" spans="1:26" ht="15.75" customHeight="1">
      <c r="A76" s="163"/>
      <c r="B76" s="151" t="s">
        <v>184</v>
      </c>
      <c r="C76" s="117"/>
      <c r="D76" s="117"/>
      <c r="E76" s="117"/>
      <c r="F76" s="117"/>
      <c r="G76" s="118">
        <f>6*55000</f>
        <v>330000</v>
      </c>
      <c r="H76" s="147"/>
      <c r="I76" s="119"/>
      <c r="J76" s="118"/>
      <c r="K76" s="118"/>
      <c r="L76" s="118"/>
      <c r="M76" s="118"/>
      <c r="N76" s="118"/>
      <c r="O76" s="118"/>
      <c r="P76" s="118"/>
      <c r="Q76" s="118"/>
      <c r="R76" s="118"/>
      <c r="S76" s="12"/>
      <c r="T76" s="12"/>
      <c r="U76" s="12"/>
      <c r="V76" s="12"/>
      <c r="W76" s="12"/>
      <c r="X76" s="12"/>
      <c r="Y76" s="161">
        <f t="shared" si="1"/>
        <v>330000</v>
      </c>
      <c r="Z76" s="10"/>
    </row>
    <row r="77" spans="1:26" ht="15.75" customHeight="1">
      <c r="A77" s="163"/>
      <c r="B77" s="151" t="s">
        <v>185</v>
      </c>
      <c r="C77" s="117"/>
      <c r="D77" s="117"/>
      <c r="E77" s="117"/>
      <c r="F77" s="117"/>
      <c r="G77" s="118">
        <f>4*55000</f>
        <v>220000</v>
      </c>
      <c r="H77" s="147"/>
      <c r="I77" s="119"/>
      <c r="J77" s="118"/>
      <c r="K77" s="118"/>
      <c r="L77" s="118"/>
      <c r="M77" s="118"/>
      <c r="N77" s="118"/>
      <c r="O77" s="118"/>
      <c r="P77" s="118"/>
      <c r="Q77" s="118"/>
      <c r="R77" s="118"/>
      <c r="S77" s="12"/>
      <c r="T77" s="12"/>
      <c r="U77" s="12"/>
      <c r="V77" s="12"/>
      <c r="W77" s="12"/>
      <c r="X77" s="12"/>
      <c r="Y77" s="161">
        <f t="shared" si="1"/>
        <v>220000</v>
      </c>
      <c r="Z77" s="10"/>
    </row>
    <row r="78" spans="1:26" ht="15.75" customHeight="1">
      <c r="A78" s="163"/>
      <c r="B78" s="151" t="s">
        <v>186</v>
      </c>
      <c r="C78" s="117"/>
      <c r="D78" s="117"/>
      <c r="E78" s="117"/>
      <c r="F78" s="117"/>
      <c r="G78" s="118">
        <f>30*20000</f>
        <v>600000</v>
      </c>
      <c r="H78" s="147"/>
      <c r="I78" s="119"/>
      <c r="J78" s="118"/>
      <c r="K78" s="118"/>
      <c r="L78" s="118"/>
      <c r="M78" s="118"/>
      <c r="N78" s="118"/>
      <c r="O78" s="118"/>
      <c r="P78" s="118"/>
      <c r="Q78" s="118"/>
      <c r="R78" s="118"/>
      <c r="S78" s="12"/>
      <c r="T78" s="12"/>
      <c r="U78" s="12"/>
      <c r="V78" s="12"/>
      <c r="W78" s="12"/>
      <c r="X78" s="12"/>
      <c r="Y78" s="161">
        <f t="shared" si="1"/>
        <v>600000</v>
      </c>
      <c r="Z78" s="10"/>
    </row>
    <row r="79" spans="1:26" ht="15.75" customHeight="1">
      <c r="A79" s="163"/>
      <c r="B79" s="151" t="s">
        <v>187</v>
      </c>
      <c r="C79" s="117"/>
      <c r="D79" s="117"/>
      <c r="E79" s="117"/>
      <c r="F79" s="117"/>
      <c r="G79" s="118">
        <f>2*5000</f>
        <v>10000</v>
      </c>
      <c r="H79" s="147"/>
      <c r="I79" s="119"/>
      <c r="J79" s="118"/>
      <c r="K79" s="118"/>
      <c r="L79" s="118"/>
      <c r="M79" s="118"/>
      <c r="N79" s="118"/>
      <c r="O79" s="118"/>
      <c r="P79" s="118"/>
      <c r="Q79" s="118"/>
      <c r="R79" s="118"/>
      <c r="S79" s="12"/>
      <c r="T79" s="12"/>
      <c r="U79" s="12"/>
      <c r="V79" s="12"/>
      <c r="W79" s="12"/>
      <c r="X79" s="12"/>
      <c r="Y79" s="161">
        <f t="shared" si="1"/>
        <v>10000</v>
      </c>
      <c r="Z79" s="10"/>
    </row>
    <row r="80" spans="1:26" ht="15.75" customHeight="1">
      <c r="A80" s="163"/>
      <c r="B80" s="151" t="s">
        <v>188</v>
      </c>
      <c r="C80" s="117"/>
      <c r="D80" s="117"/>
      <c r="E80" s="117"/>
      <c r="F80" s="117"/>
      <c r="G80" s="118">
        <f>2*55000</f>
        <v>110000</v>
      </c>
      <c r="H80" s="147"/>
      <c r="I80" s="119"/>
      <c r="J80" s="118"/>
      <c r="K80" s="118"/>
      <c r="L80" s="118"/>
      <c r="M80" s="118"/>
      <c r="N80" s="118"/>
      <c r="O80" s="118"/>
      <c r="P80" s="118"/>
      <c r="Q80" s="118"/>
      <c r="R80" s="118"/>
      <c r="S80" s="12"/>
      <c r="T80" s="12"/>
      <c r="U80" s="12"/>
      <c r="V80" s="12"/>
      <c r="W80" s="12"/>
      <c r="X80" s="12"/>
      <c r="Y80" s="161">
        <f t="shared" si="1"/>
        <v>110000</v>
      </c>
      <c r="Z80" s="10"/>
    </row>
    <row r="81" spans="1:26" ht="15.75" customHeight="1">
      <c r="A81" s="129">
        <v>45736</v>
      </c>
      <c r="B81" s="151" t="s">
        <v>224</v>
      </c>
      <c r="C81" s="117"/>
      <c r="D81" s="117"/>
      <c r="E81" s="117"/>
      <c r="F81" s="117"/>
      <c r="G81" s="118">
        <f>4*12000</f>
        <v>48000</v>
      </c>
      <c r="H81" s="147"/>
      <c r="I81" s="119"/>
      <c r="J81" s="118"/>
      <c r="K81" s="118"/>
      <c r="L81" s="118"/>
      <c r="M81" s="118"/>
      <c r="N81" s="118"/>
      <c r="O81" s="118"/>
      <c r="P81" s="118"/>
      <c r="Q81" s="118"/>
      <c r="R81" s="118"/>
      <c r="S81" s="12"/>
      <c r="T81" s="12"/>
      <c r="U81" s="12"/>
      <c r="V81" s="12"/>
      <c r="W81" s="12"/>
      <c r="X81" s="12"/>
      <c r="Y81" s="161">
        <f t="shared" si="1"/>
        <v>48000</v>
      </c>
      <c r="Z81" s="10"/>
    </row>
    <row r="82" spans="1:26" ht="15.75" customHeight="1">
      <c r="A82" s="129">
        <v>45740</v>
      </c>
      <c r="B82" s="151" t="s">
        <v>164</v>
      </c>
      <c r="C82" s="117"/>
      <c r="D82" s="117"/>
      <c r="E82" s="117"/>
      <c r="F82" s="117"/>
      <c r="G82" s="118">
        <f>10*147000</f>
        <v>1470000</v>
      </c>
      <c r="H82" s="147"/>
      <c r="I82" s="119"/>
      <c r="J82" s="118"/>
      <c r="K82" s="118"/>
      <c r="L82" s="118"/>
      <c r="M82" s="118"/>
      <c r="N82" s="118"/>
      <c r="O82" s="118"/>
      <c r="P82" s="118"/>
      <c r="Q82" s="118"/>
      <c r="R82" s="118"/>
      <c r="S82" s="12"/>
      <c r="T82" s="12"/>
      <c r="U82" s="12"/>
      <c r="V82" s="12"/>
      <c r="W82" s="12"/>
      <c r="X82" s="12"/>
      <c r="Y82" s="161">
        <f t="shared" si="1"/>
        <v>1470000</v>
      </c>
      <c r="Z82" s="10"/>
    </row>
    <row r="83" spans="1:26" ht="15.75" customHeight="1">
      <c r="A83" s="129">
        <v>45740</v>
      </c>
      <c r="B83" s="151" t="s">
        <v>189</v>
      </c>
      <c r="C83" s="117"/>
      <c r="D83" s="117"/>
      <c r="E83" s="117">
        <v>11655000</v>
      </c>
      <c r="F83" s="117"/>
      <c r="G83" s="118"/>
      <c r="H83" s="147"/>
      <c r="I83" s="119"/>
      <c r="J83" s="118"/>
      <c r="K83" s="118"/>
      <c r="L83" s="118"/>
      <c r="M83" s="118"/>
      <c r="N83" s="118"/>
      <c r="O83" s="118"/>
      <c r="P83" s="118"/>
      <c r="Q83" s="118"/>
      <c r="R83" s="118"/>
      <c r="S83" s="12"/>
      <c r="T83" s="12"/>
      <c r="U83" s="12"/>
      <c r="V83" s="12"/>
      <c r="W83" s="12"/>
      <c r="X83" s="12"/>
      <c r="Y83" s="161">
        <f t="shared" si="1"/>
        <v>11655000</v>
      </c>
      <c r="Z83" s="10"/>
    </row>
    <row r="84" spans="1:26" ht="15.75" customHeight="1">
      <c r="A84" s="129">
        <v>45740</v>
      </c>
      <c r="B84" s="151" t="s">
        <v>190</v>
      </c>
      <c r="C84" s="117"/>
      <c r="D84" s="117"/>
      <c r="E84" s="117"/>
      <c r="F84" s="117"/>
      <c r="G84" s="118"/>
      <c r="H84" s="147">
        <v>4409000</v>
      </c>
      <c r="I84" s="119"/>
      <c r="J84" s="118"/>
      <c r="K84" s="118"/>
      <c r="L84" s="118"/>
      <c r="M84" s="118"/>
      <c r="N84" s="118"/>
      <c r="O84" s="118"/>
      <c r="P84" s="118"/>
      <c r="Q84" s="118"/>
      <c r="R84" s="118"/>
      <c r="S84" s="12"/>
      <c r="T84" s="12"/>
      <c r="U84" s="12"/>
      <c r="V84" s="12"/>
      <c r="W84" s="12"/>
      <c r="X84" s="12"/>
      <c r="Y84" s="161">
        <f t="shared" si="1"/>
        <v>4409000</v>
      </c>
      <c r="Z84" s="10"/>
    </row>
    <row r="85" spans="1:26" ht="15.75" customHeight="1">
      <c r="A85" s="129">
        <v>45741</v>
      </c>
      <c r="B85" s="151" t="s">
        <v>191</v>
      </c>
      <c r="C85" s="117"/>
      <c r="D85" s="117"/>
      <c r="E85" s="117"/>
      <c r="F85" s="117"/>
      <c r="G85" s="118"/>
      <c r="H85" s="147"/>
      <c r="I85" s="119"/>
      <c r="J85" s="118"/>
      <c r="K85" s="118"/>
      <c r="L85" s="118"/>
      <c r="M85" s="118"/>
      <c r="N85" s="118"/>
      <c r="O85" s="118"/>
      <c r="P85" s="118"/>
      <c r="Q85" s="118"/>
      <c r="R85" s="118">
        <v>1200000</v>
      </c>
      <c r="S85" s="12"/>
      <c r="T85" s="12"/>
      <c r="U85" s="12"/>
      <c r="V85" s="12"/>
      <c r="W85" s="12"/>
      <c r="X85" s="12"/>
      <c r="Y85" s="161">
        <f t="shared" si="1"/>
        <v>1200000</v>
      </c>
      <c r="Z85" s="10"/>
    </row>
    <row r="86" spans="1:26" ht="15.75" customHeight="1">
      <c r="A86" s="129"/>
      <c r="B86" s="151" t="s">
        <v>194</v>
      </c>
      <c r="C86" s="117"/>
      <c r="D86" s="117"/>
      <c r="E86" s="117"/>
      <c r="F86" s="117"/>
      <c r="G86" s="118">
        <v>400000</v>
      </c>
      <c r="H86" s="147"/>
      <c r="I86" s="119"/>
      <c r="J86" s="118"/>
      <c r="K86" s="118"/>
      <c r="L86" s="118"/>
      <c r="M86" s="118"/>
      <c r="N86" s="118"/>
      <c r="O86" s="118"/>
      <c r="P86" s="118"/>
      <c r="Q86" s="118"/>
      <c r="R86" s="118"/>
      <c r="S86" s="12"/>
      <c r="T86" s="12"/>
      <c r="U86" s="12"/>
      <c r="V86" s="12"/>
      <c r="W86" s="12"/>
      <c r="X86" s="12"/>
      <c r="Y86" s="161">
        <f t="shared" si="1"/>
        <v>400000</v>
      </c>
      <c r="Z86" s="10"/>
    </row>
    <row r="87" spans="1:26" ht="15.75" customHeight="1">
      <c r="A87" s="129">
        <v>45741</v>
      </c>
      <c r="B87" s="151" t="s">
        <v>196</v>
      </c>
      <c r="C87" s="117"/>
      <c r="D87" s="117"/>
      <c r="E87" s="117"/>
      <c r="F87" s="117"/>
      <c r="G87" s="118">
        <v>1000000</v>
      </c>
      <c r="H87" s="147"/>
      <c r="I87" s="119"/>
      <c r="J87" s="118"/>
      <c r="K87" s="118"/>
      <c r="L87" s="118"/>
      <c r="M87" s="118"/>
      <c r="N87" s="118"/>
      <c r="O87" s="118"/>
      <c r="P87" s="118"/>
      <c r="Q87" s="118"/>
      <c r="R87" s="118"/>
      <c r="S87" s="12"/>
      <c r="T87" s="12"/>
      <c r="U87" s="12"/>
      <c r="V87" s="12"/>
      <c r="W87" s="12"/>
      <c r="X87" s="12"/>
      <c r="Y87" s="161">
        <f t="shared" si="1"/>
        <v>1000000</v>
      </c>
      <c r="Z87" s="10"/>
    </row>
    <row r="88" spans="1:26" ht="15.75" customHeight="1">
      <c r="A88" s="129"/>
      <c r="B88" s="151" t="s">
        <v>197</v>
      </c>
      <c r="C88" s="117"/>
      <c r="D88" s="117"/>
      <c r="E88" s="117"/>
      <c r="F88" s="117"/>
      <c r="G88" s="118">
        <v>728000</v>
      </c>
      <c r="H88" s="147"/>
      <c r="I88" s="119"/>
      <c r="J88" s="118"/>
      <c r="K88" s="118"/>
      <c r="L88" s="118"/>
      <c r="M88" s="118"/>
      <c r="N88" s="118"/>
      <c r="O88" s="118"/>
      <c r="P88" s="118"/>
      <c r="Q88" s="118"/>
      <c r="R88" s="118"/>
      <c r="S88" s="12"/>
      <c r="T88" s="12"/>
      <c r="U88" s="12"/>
      <c r="V88" s="12"/>
      <c r="W88" s="12"/>
      <c r="X88" s="12"/>
      <c r="Y88" s="161">
        <f t="shared" si="1"/>
        <v>728000</v>
      </c>
      <c r="Z88" s="10"/>
    </row>
    <row r="89" spans="1:26" ht="15.75" customHeight="1">
      <c r="A89" s="129">
        <v>45741</v>
      </c>
      <c r="B89" s="151" t="s">
        <v>200</v>
      </c>
      <c r="C89" s="117"/>
      <c r="D89" s="117"/>
      <c r="E89" s="117"/>
      <c r="F89" s="117"/>
      <c r="G89" s="118"/>
      <c r="H89" s="147">
        <f>4*1797430</f>
        <v>7189720</v>
      </c>
      <c r="I89" s="119"/>
      <c r="J89" s="118"/>
      <c r="K89" s="118"/>
      <c r="L89" s="118"/>
      <c r="M89" s="118"/>
      <c r="N89" s="118"/>
      <c r="O89" s="118"/>
      <c r="P89" s="118"/>
      <c r="Q89" s="118"/>
      <c r="R89" s="118"/>
      <c r="S89" s="12"/>
      <c r="T89" s="12"/>
      <c r="U89" s="12"/>
      <c r="V89" s="12"/>
      <c r="W89" s="12"/>
      <c r="X89" s="12"/>
      <c r="Y89" s="161">
        <f t="shared" si="1"/>
        <v>7189720</v>
      </c>
      <c r="Z89" s="10"/>
    </row>
    <row r="90" spans="1:26" ht="15.75" customHeight="1">
      <c r="A90" s="129"/>
      <c r="B90" s="151" t="s">
        <v>198</v>
      </c>
      <c r="C90" s="117"/>
      <c r="D90" s="117"/>
      <c r="E90" s="117"/>
      <c r="F90" s="117"/>
      <c r="G90" s="118"/>
      <c r="H90" s="147">
        <v>1305150</v>
      </c>
      <c r="I90" s="119"/>
      <c r="J90" s="118"/>
      <c r="K90" s="118"/>
      <c r="L90" s="118"/>
      <c r="M90" s="118"/>
      <c r="N90" s="118"/>
      <c r="O90" s="118"/>
      <c r="P90" s="118"/>
      <c r="Q90" s="118"/>
      <c r="R90" s="118"/>
      <c r="S90" s="12"/>
      <c r="T90" s="12"/>
      <c r="U90" s="12"/>
      <c r="V90" s="12"/>
      <c r="W90" s="12"/>
      <c r="X90" s="12"/>
      <c r="Y90" s="161">
        <f t="shared" si="1"/>
        <v>1305150</v>
      </c>
      <c r="Z90" s="10"/>
    </row>
    <row r="91" spans="1:26" ht="15.75" customHeight="1">
      <c r="A91" s="129">
        <v>45741</v>
      </c>
      <c r="B91" s="151" t="s">
        <v>203</v>
      </c>
      <c r="C91" s="117"/>
      <c r="D91" s="117"/>
      <c r="E91" s="117"/>
      <c r="F91" s="117"/>
      <c r="G91" s="118">
        <f>10*3000</f>
        <v>30000</v>
      </c>
      <c r="H91" s="147"/>
      <c r="I91" s="119"/>
      <c r="J91" s="118"/>
      <c r="K91" s="118"/>
      <c r="L91" s="118"/>
      <c r="M91" s="118"/>
      <c r="N91" s="118"/>
      <c r="O91" s="118"/>
      <c r="P91" s="118"/>
      <c r="Q91" s="118"/>
      <c r="R91" s="118"/>
      <c r="S91" s="12"/>
      <c r="T91" s="12"/>
      <c r="U91" s="12"/>
      <c r="V91" s="12"/>
      <c r="W91" s="12"/>
      <c r="X91" s="12"/>
      <c r="Y91" s="161">
        <f t="shared" si="1"/>
        <v>30000</v>
      </c>
      <c r="Z91" s="10"/>
    </row>
    <row r="92" spans="1:26" ht="15.75" customHeight="1">
      <c r="A92" s="129"/>
      <c r="B92" s="151" t="s">
        <v>168</v>
      </c>
      <c r="C92" s="117"/>
      <c r="D92" s="117"/>
      <c r="E92" s="117"/>
      <c r="F92" s="117"/>
      <c r="G92" s="118">
        <f>4*18000</f>
        <v>72000</v>
      </c>
      <c r="H92" s="147"/>
      <c r="I92" s="119"/>
      <c r="J92" s="118"/>
      <c r="K92" s="118"/>
      <c r="L92" s="118"/>
      <c r="M92" s="118"/>
      <c r="N92" s="118"/>
      <c r="O92" s="118"/>
      <c r="P92" s="118"/>
      <c r="Q92" s="118"/>
      <c r="R92" s="118"/>
      <c r="S92" s="12"/>
      <c r="T92" s="12"/>
      <c r="U92" s="12"/>
      <c r="V92" s="12"/>
      <c r="W92" s="12"/>
      <c r="X92" s="12"/>
      <c r="Y92" s="161">
        <f t="shared" si="1"/>
        <v>72000</v>
      </c>
      <c r="Z92" s="10"/>
    </row>
    <row r="93" spans="1:26" ht="15.75" customHeight="1">
      <c r="A93" s="129"/>
      <c r="B93" s="151" t="s">
        <v>204</v>
      </c>
      <c r="C93" s="117"/>
      <c r="D93" s="117"/>
      <c r="E93" s="117"/>
      <c r="F93" s="117"/>
      <c r="G93" s="118">
        <f>24*10000</f>
        <v>240000</v>
      </c>
      <c r="H93" s="147"/>
      <c r="I93" s="119"/>
      <c r="J93" s="118"/>
      <c r="K93" s="118"/>
      <c r="L93" s="118"/>
      <c r="M93" s="118"/>
      <c r="N93" s="118"/>
      <c r="O93" s="118"/>
      <c r="P93" s="118"/>
      <c r="Q93" s="118"/>
      <c r="R93" s="118"/>
      <c r="S93" s="12"/>
      <c r="T93" s="12"/>
      <c r="U93" s="12"/>
      <c r="V93" s="12"/>
      <c r="W93" s="12"/>
      <c r="X93" s="12"/>
      <c r="Y93" s="161">
        <f t="shared" si="1"/>
        <v>240000</v>
      </c>
      <c r="Z93" s="10"/>
    </row>
    <row r="94" spans="1:26" ht="15.75" customHeight="1">
      <c r="A94" s="129">
        <v>45742</v>
      </c>
      <c r="B94" s="151" t="s">
        <v>191</v>
      </c>
      <c r="C94" s="117"/>
      <c r="D94" s="117"/>
      <c r="E94" s="117"/>
      <c r="F94" s="117"/>
      <c r="G94" s="118"/>
      <c r="H94" s="147"/>
      <c r="I94" s="119"/>
      <c r="J94" s="118"/>
      <c r="K94" s="118"/>
      <c r="L94" s="118"/>
      <c r="M94" s="118"/>
      <c r="N94" s="118"/>
      <c r="O94" s="118"/>
      <c r="P94" s="118"/>
      <c r="Q94" s="118"/>
      <c r="R94" s="118">
        <v>1800000</v>
      </c>
      <c r="S94" s="12"/>
      <c r="T94" s="12"/>
      <c r="U94" s="12"/>
      <c r="V94" s="12"/>
      <c r="W94" s="12"/>
      <c r="X94" s="12"/>
      <c r="Y94" s="161">
        <f t="shared" si="1"/>
        <v>1800000</v>
      </c>
      <c r="Z94" s="10"/>
    </row>
    <row r="95" spans="1:26" ht="15.75" customHeight="1">
      <c r="A95" s="129"/>
      <c r="B95" s="151" t="s">
        <v>201</v>
      </c>
      <c r="C95" s="117"/>
      <c r="D95" s="117"/>
      <c r="E95" s="117"/>
      <c r="F95" s="117"/>
      <c r="G95" s="118"/>
      <c r="H95" s="147"/>
      <c r="I95" s="119"/>
      <c r="J95" s="118"/>
      <c r="K95" s="118"/>
      <c r="L95" s="118"/>
      <c r="M95" s="118"/>
      <c r="N95" s="118"/>
      <c r="O95" s="118"/>
      <c r="P95" s="118"/>
      <c r="Q95" s="118"/>
      <c r="R95" s="118"/>
      <c r="S95" s="12"/>
      <c r="T95" s="12"/>
      <c r="U95" s="12">
        <v>1000000</v>
      </c>
      <c r="V95" s="12"/>
      <c r="W95" s="12"/>
      <c r="X95" s="12"/>
      <c r="Y95" s="161">
        <f t="shared" si="1"/>
        <v>1000000</v>
      </c>
      <c r="Z95" s="10"/>
    </row>
    <row r="96" spans="1:26" ht="15.75" customHeight="1">
      <c r="A96" s="129"/>
      <c r="B96" s="151" t="s">
        <v>202</v>
      </c>
      <c r="C96" s="117"/>
      <c r="D96" s="117"/>
      <c r="E96" s="117"/>
      <c r="F96" s="117"/>
      <c r="G96" s="118"/>
      <c r="H96" s="147"/>
      <c r="I96" s="119"/>
      <c r="J96" s="118"/>
      <c r="K96" s="118"/>
      <c r="L96" s="118"/>
      <c r="M96" s="118"/>
      <c r="N96" s="118"/>
      <c r="O96" s="118"/>
      <c r="P96" s="118"/>
      <c r="Q96" s="118"/>
      <c r="R96" s="118">
        <v>1500000</v>
      </c>
      <c r="S96" s="12"/>
      <c r="T96" s="12"/>
      <c r="U96" s="12"/>
      <c r="V96" s="12"/>
      <c r="W96" s="12"/>
      <c r="X96" s="12"/>
      <c r="Y96" s="161">
        <f t="shared" si="1"/>
        <v>1500000</v>
      </c>
      <c r="Z96" s="10"/>
    </row>
    <row r="97" spans="1:26" ht="15.75" customHeight="1">
      <c r="A97" s="129">
        <v>45742</v>
      </c>
      <c r="B97" s="151" t="s">
        <v>205</v>
      </c>
      <c r="C97" s="117">
        <v>50000000</v>
      </c>
      <c r="D97" s="117"/>
      <c r="E97" s="117"/>
      <c r="F97" s="117"/>
      <c r="G97" s="118"/>
      <c r="H97" s="147"/>
      <c r="I97" s="119"/>
      <c r="J97" s="118"/>
      <c r="K97" s="118"/>
      <c r="L97" s="118"/>
      <c r="M97" s="118"/>
      <c r="N97" s="118"/>
      <c r="O97" s="118"/>
      <c r="P97" s="118"/>
      <c r="Q97" s="118"/>
      <c r="R97" s="118"/>
      <c r="S97" s="12"/>
      <c r="T97" s="12"/>
      <c r="U97" s="12"/>
      <c r="V97" s="12"/>
      <c r="W97" s="12"/>
      <c r="X97" s="12"/>
      <c r="Y97" s="161">
        <f t="shared" si="1"/>
        <v>0</v>
      </c>
      <c r="Z97" s="10"/>
    </row>
    <row r="98" spans="1:26" ht="15.75" customHeight="1">
      <c r="A98" s="129">
        <v>45742</v>
      </c>
      <c r="B98" s="151" t="s">
        <v>226</v>
      </c>
      <c r="C98" s="117"/>
      <c r="D98" s="117"/>
      <c r="E98" s="117"/>
      <c r="F98" s="117"/>
      <c r="G98" s="118"/>
      <c r="H98" s="147"/>
      <c r="I98" s="119"/>
      <c r="J98" s="118"/>
      <c r="K98" s="118"/>
      <c r="L98" s="118"/>
      <c r="M98" s="118"/>
      <c r="N98" s="118"/>
      <c r="O98" s="118"/>
      <c r="P98" s="118"/>
      <c r="Q98" s="118"/>
      <c r="R98" s="118"/>
      <c r="S98" s="12">
        <f>2*4000000</f>
        <v>8000000</v>
      </c>
      <c r="T98" s="12"/>
      <c r="U98" s="12"/>
      <c r="V98" s="12"/>
      <c r="W98" s="12"/>
      <c r="X98" s="12"/>
      <c r="Y98" s="161">
        <f t="shared" si="1"/>
        <v>8000000</v>
      </c>
      <c r="Z98" s="10"/>
    </row>
    <row r="99" spans="1:26" ht="15.75" customHeight="1">
      <c r="A99" s="129"/>
      <c r="B99" s="151" t="s">
        <v>227</v>
      </c>
      <c r="C99" s="117"/>
      <c r="D99" s="117"/>
      <c r="E99" s="117"/>
      <c r="F99" s="117"/>
      <c r="G99" s="118"/>
      <c r="H99" s="147"/>
      <c r="I99" s="119"/>
      <c r="J99" s="118"/>
      <c r="K99" s="118"/>
      <c r="L99" s="118"/>
      <c r="M99" s="118"/>
      <c r="N99" s="118"/>
      <c r="O99" s="118"/>
      <c r="P99" s="118"/>
      <c r="Q99" s="118"/>
      <c r="R99" s="118"/>
      <c r="S99" s="12">
        <f>4*750000</f>
        <v>3000000</v>
      </c>
      <c r="T99" s="12"/>
      <c r="U99" s="12"/>
      <c r="V99" s="12"/>
      <c r="W99" s="12"/>
      <c r="X99" s="12"/>
      <c r="Y99" s="161">
        <f t="shared" si="1"/>
        <v>3000000</v>
      </c>
      <c r="Z99" s="10"/>
    </row>
    <row r="100" spans="1:26" ht="15.75" customHeight="1">
      <c r="A100" s="129">
        <v>45742</v>
      </c>
      <c r="B100" s="151" t="s">
        <v>206</v>
      </c>
      <c r="C100" s="117"/>
      <c r="D100" s="117"/>
      <c r="E100" s="117"/>
      <c r="F100" s="117"/>
      <c r="G100" s="118">
        <v>1815000</v>
      </c>
      <c r="H100" s="147"/>
      <c r="I100" s="119"/>
      <c r="J100" s="118"/>
      <c r="K100" s="118"/>
      <c r="L100" s="118"/>
      <c r="M100" s="118"/>
      <c r="N100" s="118"/>
      <c r="O100" s="118"/>
      <c r="P100" s="118"/>
      <c r="Q100" s="118"/>
      <c r="R100" s="118"/>
      <c r="S100" s="12"/>
      <c r="T100" s="12"/>
      <c r="U100" s="12"/>
      <c r="V100" s="12"/>
      <c r="W100" s="12"/>
      <c r="X100" s="12"/>
      <c r="Y100" s="161">
        <f t="shared" si="1"/>
        <v>1815000</v>
      </c>
      <c r="Z100" s="10"/>
    </row>
    <row r="101" spans="1:26" ht="15.75" customHeight="1">
      <c r="A101" s="129"/>
      <c r="B101" s="151" t="s">
        <v>207</v>
      </c>
      <c r="C101" s="117"/>
      <c r="D101" s="117"/>
      <c r="E101" s="117"/>
      <c r="F101" s="117"/>
      <c r="G101" s="118">
        <v>2265000</v>
      </c>
      <c r="H101" s="147"/>
      <c r="I101" s="119"/>
      <c r="J101" s="118"/>
      <c r="K101" s="118"/>
      <c r="L101" s="118"/>
      <c r="M101" s="118"/>
      <c r="N101" s="118"/>
      <c r="O101" s="118"/>
      <c r="P101" s="118"/>
      <c r="Q101" s="118"/>
      <c r="R101" s="118"/>
      <c r="S101" s="12"/>
      <c r="T101" s="12"/>
      <c r="U101" s="12"/>
      <c r="V101" s="12"/>
      <c r="W101" s="12"/>
      <c r="X101" s="12"/>
      <c r="Y101" s="161">
        <f t="shared" si="1"/>
        <v>2265000</v>
      </c>
      <c r="Z101" s="10"/>
    </row>
    <row r="102" spans="1:26" ht="15.75" customHeight="1">
      <c r="A102" s="129">
        <v>45742</v>
      </c>
      <c r="B102" s="151" t="s">
        <v>210</v>
      </c>
      <c r="C102" s="117"/>
      <c r="D102" s="117"/>
      <c r="E102" s="117"/>
      <c r="F102" s="117"/>
      <c r="G102" s="118"/>
      <c r="H102" s="147"/>
      <c r="I102" s="119"/>
      <c r="J102" s="118"/>
      <c r="K102" s="118"/>
      <c r="L102" s="118"/>
      <c r="M102" s="118"/>
      <c r="N102" s="118"/>
      <c r="O102" s="118"/>
      <c r="P102" s="118"/>
      <c r="Q102" s="118"/>
      <c r="R102" s="118"/>
      <c r="S102" s="12"/>
      <c r="T102" s="12"/>
      <c r="U102" s="12"/>
      <c r="V102" s="12">
        <v>1779670</v>
      </c>
      <c r="W102" s="12"/>
      <c r="X102" s="12"/>
      <c r="Y102" s="161">
        <f t="shared" si="1"/>
        <v>1779670</v>
      </c>
      <c r="Z102" s="10"/>
    </row>
    <row r="103" spans="1:26" ht="15.75" customHeight="1">
      <c r="A103" s="129">
        <v>45742</v>
      </c>
      <c r="B103" s="151" t="s">
        <v>211</v>
      </c>
      <c r="C103" s="117"/>
      <c r="D103" s="117"/>
      <c r="E103" s="117"/>
      <c r="F103" s="117"/>
      <c r="G103" s="118">
        <f>5*2000</f>
        <v>10000</v>
      </c>
      <c r="H103" s="147"/>
      <c r="I103" s="119"/>
      <c r="J103" s="118"/>
      <c r="K103" s="118"/>
      <c r="L103" s="118"/>
      <c r="M103" s="118"/>
      <c r="N103" s="118"/>
      <c r="O103" s="118"/>
      <c r="P103" s="118"/>
      <c r="Q103" s="118"/>
      <c r="R103" s="118"/>
      <c r="S103" s="12"/>
      <c r="T103" s="12"/>
      <c r="U103" s="12"/>
      <c r="V103" s="12"/>
      <c r="W103" s="12"/>
      <c r="X103" s="12"/>
      <c r="Y103" s="161">
        <f t="shared" si="1"/>
        <v>10000</v>
      </c>
      <c r="Z103" s="10"/>
    </row>
    <row r="104" spans="1:26" ht="15.75" customHeight="1">
      <c r="A104" s="129"/>
      <c r="B104" s="151" t="s">
        <v>214</v>
      </c>
      <c r="C104" s="117"/>
      <c r="D104" s="117"/>
      <c r="E104" s="117"/>
      <c r="F104" s="117"/>
      <c r="G104" s="118">
        <f>2*60000</f>
        <v>120000</v>
      </c>
      <c r="H104" s="147"/>
      <c r="I104" s="119"/>
      <c r="J104" s="118"/>
      <c r="K104" s="118"/>
      <c r="L104" s="118"/>
      <c r="M104" s="118"/>
      <c r="N104" s="118"/>
      <c r="O104" s="118"/>
      <c r="P104" s="118"/>
      <c r="Q104" s="118"/>
      <c r="R104" s="118"/>
      <c r="S104" s="12"/>
      <c r="T104" s="12"/>
      <c r="U104" s="12"/>
      <c r="V104" s="12"/>
      <c r="W104" s="12"/>
      <c r="X104" s="12"/>
      <c r="Y104" s="161">
        <f t="shared" si="1"/>
        <v>120000</v>
      </c>
      <c r="Z104" s="10"/>
    </row>
    <row r="105" spans="1:26" ht="15.75" customHeight="1">
      <c r="A105" s="129"/>
      <c r="B105" s="151" t="s">
        <v>213</v>
      </c>
      <c r="C105" s="117"/>
      <c r="D105" s="117"/>
      <c r="E105" s="117"/>
      <c r="F105" s="117"/>
      <c r="G105" s="118">
        <f>5*12000</f>
        <v>60000</v>
      </c>
      <c r="H105" s="147"/>
      <c r="I105" s="119"/>
      <c r="J105" s="118"/>
      <c r="K105" s="118"/>
      <c r="L105" s="118"/>
      <c r="M105" s="118"/>
      <c r="N105" s="118"/>
      <c r="O105" s="118"/>
      <c r="P105" s="118"/>
      <c r="Q105" s="118"/>
      <c r="R105" s="118"/>
      <c r="S105" s="12"/>
      <c r="T105" s="12"/>
      <c r="U105" s="12"/>
      <c r="V105" s="12"/>
      <c r="W105" s="12"/>
      <c r="X105" s="12"/>
      <c r="Y105" s="161">
        <f t="shared" si="1"/>
        <v>60000</v>
      </c>
      <c r="Z105" s="10"/>
    </row>
    <row r="106" spans="1:26" ht="15.75" customHeight="1">
      <c r="A106" s="129"/>
      <c r="B106" s="151" t="s">
        <v>212</v>
      </c>
      <c r="C106" s="117"/>
      <c r="D106" s="117"/>
      <c r="E106" s="117"/>
      <c r="F106" s="117"/>
      <c r="G106" s="118">
        <f>5*20000</f>
        <v>100000</v>
      </c>
      <c r="H106" s="147"/>
      <c r="I106" s="119"/>
      <c r="J106" s="118"/>
      <c r="K106" s="118"/>
      <c r="L106" s="118"/>
      <c r="M106" s="118"/>
      <c r="N106" s="118"/>
      <c r="O106" s="118"/>
      <c r="P106" s="118"/>
      <c r="Q106" s="118"/>
      <c r="R106" s="118"/>
      <c r="S106" s="12"/>
      <c r="T106" s="12"/>
      <c r="U106" s="12"/>
      <c r="V106" s="12"/>
      <c r="W106" s="12"/>
      <c r="X106" s="12"/>
      <c r="Y106" s="161">
        <f t="shared" si="1"/>
        <v>100000</v>
      </c>
      <c r="Z106" s="10"/>
    </row>
    <row r="107" spans="1:26" ht="15.75" customHeight="1">
      <c r="A107" s="129">
        <v>45742</v>
      </c>
      <c r="B107" s="151" t="s">
        <v>215</v>
      </c>
      <c r="C107" s="117"/>
      <c r="D107" s="117"/>
      <c r="E107" s="117"/>
      <c r="F107" s="117"/>
      <c r="G107" s="118">
        <v>65000</v>
      </c>
      <c r="H107" s="147"/>
      <c r="I107" s="119"/>
      <c r="J107" s="118"/>
      <c r="K107" s="118"/>
      <c r="L107" s="118"/>
      <c r="M107" s="118"/>
      <c r="N107" s="118"/>
      <c r="O107" s="118"/>
      <c r="P107" s="118"/>
      <c r="Q107" s="118"/>
      <c r="R107" s="118"/>
      <c r="S107" s="12"/>
      <c r="T107" s="12"/>
      <c r="U107" s="12"/>
      <c r="V107" s="12"/>
      <c r="W107" s="12"/>
      <c r="X107" s="12"/>
      <c r="Y107" s="161">
        <f t="shared" si="1"/>
        <v>65000</v>
      </c>
      <c r="Z107" s="10"/>
    </row>
    <row r="108" spans="1:26" ht="15.75" customHeight="1">
      <c r="A108" s="129"/>
      <c r="B108" s="151" t="s">
        <v>217</v>
      </c>
      <c r="C108" s="117"/>
      <c r="D108" s="117"/>
      <c r="E108" s="117"/>
      <c r="F108" s="117"/>
      <c r="G108" s="118">
        <f>2*45000</f>
        <v>90000</v>
      </c>
      <c r="H108" s="147"/>
      <c r="I108" s="119"/>
      <c r="J108" s="118"/>
      <c r="K108" s="118"/>
      <c r="L108" s="118"/>
      <c r="M108" s="118"/>
      <c r="N108" s="118"/>
      <c r="O108" s="118"/>
      <c r="P108" s="118"/>
      <c r="Q108" s="118"/>
      <c r="R108" s="118"/>
      <c r="S108" s="12"/>
      <c r="T108" s="12"/>
      <c r="U108" s="12"/>
      <c r="V108" s="12"/>
      <c r="W108" s="12"/>
      <c r="X108" s="12"/>
      <c r="Y108" s="161">
        <f t="shared" si="1"/>
        <v>90000</v>
      </c>
      <c r="Z108" s="10"/>
    </row>
    <row r="109" spans="1:26" ht="15.75" customHeight="1">
      <c r="A109" s="129"/>
      <c r="B109" s="151" t="s">
        <v>216</v>
      </c>
      <c r="C109" s="117"/>
      <c r="D109" s="117"/>
      <c r="E109" s="117"/>
      <c r="F109" s="117"/>
      <c r="G109" s="118">
        <f>2*9000</f>
        <v>18000</v>
      </c>
      <c r="H109" s="147"/>
      <c r="I109" s="119"/>
      <c r="J109" s="118"/>
      <c r="K109" s="118"/>
      <c r="L109" s="118"/>
      <c r="M109" s="118"/>
      <c r="N109" s="118"/>
      <c r="O109" s="118"/>
      <c r="P109" s="118"/>
      <c r="Q109" s="118"/>
      <c r="R109" s="118"/>
      <c r="S109" s="12"/>
      <c r="T109" s="12"/>
      <c r="U109" s="12"/>
      <c r="V109" s="12"/>
      <c r="W109" s="12"/>
      <c r="X109" s="12"/>
      <c r="Y109" s="161">
        <f t="shared" si="1"/>
        <v>18000</v>
      </c>
      <c r="Z109" s="10"/>
    </row>
    <row r="110" spans="1:26" ht="15.75" customHeight="1">
      <c r="A110" s="129">
        <v>45742</v>
      </c>
      <c r="B110" s="151" t="s">
        <v>225</v>
      </c>
      <c r="C110" s="117"/>
      <c r="D110" s="117"/>
      <c r="E110" s="117"/>
      <c r="F110" s="117"/>
      <c r="G110" s="118">
        <v>75000</v>
      </c>
      <c r="H110" s="147"/>
      <c r="I110" s="119"/>
      <c r="J110" s="118"/>
      <c r="K110" s="118"/>
      <c r="L110" s="118"/>
      <c r="M110" s="118"/>
      <c r="N110" s="118"/>
      <c r="O110" s="118"/>
      <c r="P110" s="118"/>
      <c r="Q110" s="118"/>
      <c r="R110" s="118"/>
      <c r="S110" s="12"/>
      <c r="T110" s="12"/>
      <c r="U110" s="12"/>
      <c r="V110" s="12"/>
      <c r="W110" s="12"/>
      <c r="X110" s="12"/>
      <c r="Y110" s="161">
        <f t="shared" si="1"/>
        <v>75000</v>
      </c>
      <c r="Z110" s="10"/>
    </row>
    <row r="111" spans="1:26" ht="15.75" customHeight="1">
      <c r="A111" s="129">
        <v>45743</v>
      </c>
      <c r="B111" s="151" t="s">
        <v>228</v>
      </c>
      <c r="C111" s="117"/>
      <c r="D111" s="117"/>
      <c r="E111" s="117"/>
      <c r="F111" s="117"/>
      <c r="G111" s="118">
        <f>3*125000</f>
        <v>375000</v>
      </c>
      <c r="H111" s="147"/>
      <c r="I111" s="119"/>
      <c r="J111" s="118"/>
      <c r="K111" s="118"/>
      <c r="L111" s="118"/>
      <c r="M111" s="118"/>
      <c r="N111" s="118"/>
      <c r="O111" s="118"/>
      <c r="P111" s="118"/>
      <c r="Q111" s="118"/>
      <c r="R111" s="118"/>
      <c r="S111" s="12"/>
      <c r="T111" s="12"/>
      <c r="U111" s="12"/>
      <c r="V111" s="12"/>
      <c r="W111" s="12"/>
      <c r="X111" s="12"/>
      <c r="Y111" s="161">
        <f t="shared" si="1"/>
        <v>375000</v>
      </c>
      <c r="Z111" s="10"/>
    </row>
    <row r="112" spans="1:26" ht="15.75" customHeight="1">
      <c r="A112" s="129"/>
      <c r="B112" s="151" t="s">
        <v>229</v>
      </c>
      <c r="C112" s="117"/>
      <c r="D112" s="117"/>
      <c r="E112" s="117"/>
      <c r="F112" s="117"/>
      <c r="G112" s="118">
        <f>8*50000</f>
        <v>400000</v>
      </c>
      <c r="H112" s="147"/>
      <c r="I112" s="119"/>
      <c r="J112" s="118"/>
      <c r="K112" s="118"/>
      <c r="L112" s="118"/>
      <c r="M112" s="118"/>
      <c r="N112" s="118"/>
      <c r="O112" s="118"/>
      <c r="P112" s="118"/>
      <c r="Q112" s="118"/>
      <c r="R112" s="118"/>
      <c r="S112" s="12"/>
      <c r="T112" s="12"/>
      <c r="U112" s="12"/>
      <c r="V112" s="12"/>
      <c r="W112" s="12"/>
      <c r="X112" s="12"/>
      <c r="Y112" s="161">
        <f t="shared" si="1"/>
        <v>400000</v>
      </c>
      <c r="Z112" s="10"/>
    </row>
    <row r="113" spans="1:26" ht="15.75" customHeight="1">
      <c r="A113" s="129"/>
      <c r="B113" s="151" t="s">
        <v>230</v>
      </c>
      <c r="C113" s="117"/>
      <c r="D113" s="117"/>
      <c r="E113" s="117"/>
      <c r="F113" s="117"/>
      <c r="G113" s="118"/>
      <c r="H113" s="147"/>
      <c r="I113" s="119"/>
      <c r="J113" s="118"/>
      <c r="K113" s="118"/>
      <c r="L113" s="118"/>
      <c r="M113" s="118"/>
      <c r="N113" s="118"/>
      <c r="O113" s="118"/>
      <c r="P113" s="118"/>
      <c r="Q113" s="118"/>
      <c r="R113" s="118"/>
      <c r="S113" s="12"/>
      <c r="T113" s="12"/>
      <c r="U113" s="12"/>
      <c r="V113" s="12"/>
      <c r="W113" s="12"/>
      <c r="X113" s="12">
        <v>20000</v>
      </c>
      <c r="Y113" s="161">
        <f t="shared" si="1"/>
        <v>20000</v>
      </c>
      <c r="Z113" s="10"/>
    </row>
    <row r="114" spans="1:26" ht="15.75" customHeight="1">
      <c r="A114" s="129"/>
      <c r="B114" s="151" t="s">
        <v>231</v>
      </c>
      <c r="C114" s="117"/>
      <c r="D114" s="117"/>
      <c r="E114" s="117"/>
      <c r="F114" s="117"/>
      <c r="G114" s="118"/>
      <c r="H114" s="147"/>
      <c r="I114" s="119"/>
      <c r="J114" s="118"/>
      <c r="K114" s="118"/>
      <c r="L114" s="118"/>
      <c r="M114" s="118"/>
      <c r="N114" s="118"/>
      <c r="O114" s="118"/>
      <c r="P114" s="118"/>
      <c r="Q114" s="118"/>
      <c r="R114" s="118"/>
      <c r="S114" s="12"/>
      <c r="T114" s="12"/>
      <c r="U114" s="12">
        <v>40000</v>
      </c>
      <c r="V114" s="12"/>
      <c r="W114" s="12"/>
      <c r="X114" s="12"/>
      <c r="Y114" s="161">
        <f t="shared" si="1"/>
        <v>40000</v>
      </c>
      <c r="Z114" s="10"/>
    </row>
    <row r="115" spans="1:26" ht="15.75" customHeight="1">
      <c r="A115" s="129"/>
      <c r="B115" s="151" t="s">
        <v>232</v>
      </c>
      <c r="C115" s="117"/>
      <c r="D115" s="117"/>
      <c r="E115" s="117"/>
      <c r="F115" s="117"/>
      <c r="G115" s="118"/>
      <c r="H115" s="147"/>
      <c r="I115" s="119"/>
      <c r="J115" s="118"/>
      <c r="K115" s="118"/>
      <c r="L115" s="118"/>
      <c r="M115" s="118"/>
      <c r="N115" s="118"/>
      <c r="O115" s="118"/>
      <c r="P115" s="118"/>
      <c r="Q115" s="118">
        <v>4000000</v>
      </c>
      <c r="R115" s="118"/>
      <c r="S115" s="12"/>
      <c r="T115" s="12"/>
      <c r="U115" s="12"/>
      <c r="V115" s="12"/>
      <c r="W115" s="12"/>
      <c r="X115" s="12"/>
      <c r="Y115" s="161">
        <f t="shared" si="1"/>
        <v>4000000</v>
      </c>
      <c r="Z115" s="10"/>
    </row>
    <row r="116" spans="1:26" ht="15.75" customHeight="1">
      <c r="A116" s="129"/>
      <c r="B116" s="151" t="s">
        <v>233</v>
      </c>
      <c r="C116" s="117"/>
      <c r="D116" s="117"/>
      <c r="E116" s="117"/>
      <c r="F116" s="117"/>
      <c r="G116" s="118"/>
      <c r="H116" s="147"/>
      <c r="I116" s="119"/>
      <c r="J116" s="118"/>
      <c r="K116" s="118"/>
      <c r="L116" s="118"/>
      <c r="M116" s="118"/>
      <c r="N116" s="118"/>
      <c r="O116" s="118"/>
      <c r="P116" s="118"/>
      <c r="Q116" s="118">
        <v>4000000</v>
      </c>
      <c r="R116" s="118"/>
      <c r="S116" s="12"/>
      <c r="T116" s="12"/>
      <c r="U116" s="12"/>
      <c r="V116" s="12"/>
      <c r="W116" s="12"/>
      <c r="X116" s="12"/>
      <c r="Y116" s="161">
        <f t="shared" si="1"/>
        <v>4000000</v>
      </c>
      <c r="Z116" s="10"/>
    </row>
    <row r="117" spans="1:26" ht="15.75" customHeight="1">
      <c r="A117" s="129"/>
      <c r="B117" s="151" t="s">
        <v>234</v>
      </c>
      <c r="C117" s="117"/>
      <c r="D117" s="117"/>
      <c r="E117" s="117"/>
      <c r="F117" s="117"/>
      <c r="G117" s="118"/>
      <c r="H117" s="147"/>
      <c r="I117" s="119"/>
      <c r="J117" s="118"/>
      <c r="K117" s="118"/>
      <c r="L117" s="118"/>
      <c r="M117" s="118"/>
      <c r="N117" s="118"/>
      <c r="O117" s="118"/>
      <c r="P117" s="118"/>
      <c r="Q117" s="118"/>
      <c r="R117" s="118"/>
      <c r="S117" s="12"/>
      <c r="T117" s="12"/>
      <c r="U117" s="12"/>
      <c r="V117" s="12"/>
      <c r="W117" s="12"/>
      <c r="X117" s="12">
        <v>1000000</v>
      </c>
      <c r="Y117" s="161">
        <f t="shared" si="1"/>
        <v>1000000</v>
      </c>
      <c r="Z117" s="10"/>
    </row>
    <row r="118" spans="1:26" ht="15.75" customHeight="1">
      <c r="A118" s="129"/>
      <c r="B118" s="151" t="s">
        <v>235</v>
      </c>
      <c r="C118" s="117"/>
      <c r="D118" s="117"/>
      <c r="E118" s="117"/>
      <c r="F118" s="117"/>
      <c r="G118" s="118"/>
      <c r="H118" s="147"/>
      <c r="I118" s="119"/>
      <c r="J118" s="118"/>
      <c r="K118" s="118"/>
      <c r="L118" s="118"/>
      <c r="M118" s="118"/>
      <c r="N118" s="118"/>
      <c r="O118" s="118"/>
      <c r="P118" s="118"/>
      <c r="Q118" s="118"/>
      <c r="R118" s="118"/>
      <c r="S118" s="12"/>
      <c r="T118" s="12">
        <f>51*17000</f>
        <v>867000</v>
      </c>
      <c r="U118" s="12"/>
      <c r="V118" s="12"/>
      <c r="W118" s="12"/>
      <c r="X118" s="12"/>
      <c r="Y118" s="161">
        <f t="shared" si="1"/>
        <v>867000</v>
      </c>
      <c r="Z118" s="10"/>
    </row>
    <row r="119" spans="1:26" ht="15.75" customHeight="1">
      <c r="A119" s="129"/>
      <c r="B119" s="151" t="s">
        <v>236</v>
      </c>
      <c r="C119" s="117"/>
      <c r="D119" s="117"/>
      <c r="E119" s="117"/>
      <c r="F119" s="117"/>
      <c r="G119" s="118"/>
      <c r="H119" s="147"/>
      <c r="I119" s="119"/>
      <c r="J119" s="118"/>
      <c r="K119" s="118"/>
      <c r="L119" s="118"/>
      <c r="M119" s="118"/>
      <c r="N119" s="118"/>
      <c r="O119" s="118"/>
      <c r="P119" s="118"/>
      <c r="Q119" s="118"/>
      <c r="R119" s="118"/>
      <c r="S119" s="12"/>
      <c r="T119" s="12">
        <f>3*25000</f>
        <v>75000</v>
      </c>
      <c r="U119" s="12"/>
      <c r="V119" s="12"/>
      <c r="W119" s="12"/>
      <c r="X119" s="12"/>
      <c r="Y119" s="161">
        <f t="shared" si="1"/>
        <v>75000</v>
      </c>
      <c r="Z119" s="10"/>
    </row>
    <row r="120" spans="1:26" ht="15.75" customHeight="1">
      <c r="A120" s="129"/>
      <c r="B120" s="151" t="s">
        <v>237</v>
      </c>
      <c r="C120" s="117"/>
      <c r="D120" s="117"/>
      <c r="E120" s="117"/>
      <c r="F120" s="117"/>
      <c r="G120" s="118"/>
      <c r="H120" s="147"/>
      <c r="I120" s="119"/>
      <c r="J120" s="118"/>
      <c r="K120" s="118"/>
      <c r="L120" s="118"/>
      <c r="M120" s="118"/>
      <c r="N120" s="118"/>
      <c r="O120" s="118"/>
      <c r="P120" s="118"/>
      <c r="Q120" s="118"/>
      <c r="R120" s="118"/>
      <c r="S120" s="12"/>
      <c r="T120" s="12">
        <f>91000</f>
        <v>91000</v>
      </c>
      <c r="U120" s="12"/>
      <c r="V120" s="12"/>
      <c r="W120" s="12"/>
      <c r="X120" s="12"/>
      <c r="Y120" s="161">
        <f t="shared" si="1"/>
        <v>91000</v>
      </c>
      <c r="Z120" s="10"/>
    </row>
    <row r="121" spans="1:26" ht="15.75" customHeight="1">
      <c r="A121" s="129"/>
      <c r="B121" s="151" t="s">
        <v>238</v>
      </c>
      <c r="C121" s="117"/>
      <c r="D121" s="117"/>
      <c r="E121" s="117"/>
      <c r="F121" s="117"/>
      <c r="G121" s="118"/>
      <c r="H121" s="147"/>
      <c r="I121" s="119"/>
      <c r="J121" s="118"/>
      <c r="K121" s="118"/>
      <c r="L121" s="118"/>
      <c r="M121" s="118"/>
      <c r="N121" s="118"/>
      <c r="O121" s="118"/>
      <c r="P121" s="118"/>
      <c r="Q121" s="118"/>
      <c r="R121" s="118"/>
      <c r="S121" s="12"/>
      <c r="T121" s="12"/>
      <c r="U121" s="12">
        <v>200000</v>
      </c>
      <c r="V121" s="12"/>
      <c r="W121" s="12"/>
      <c r="X121" s="12"/>
      <c r="Y121" s="161">
        <f t="shared" si="1"/>
        <v>200000</v>
      </c>
      <c r="Z121" s="10"/>
    </row>
    <row r="122" spans="1:26" ht="15.75" customHeight="1">
      <c r="A122" s="129"/>
      <c r="B122" s="151" t="s">
        <v>239</v>
      </c>
      <c r="C122" s="117"/>
      <c r="D122" s="117"/>
      <c r="E122" s="117"/>
      <c r="F122" s="117"/>
      <c r="G122" s="118"/>
      <c r="H122" s="147"/>
      <c r="I122" s="119"/>
      <c r="J122" s="118"/>
      <c r="K122" s="118"/>
      <c r="L122" s="118"/>
      <c r="M122" s="118"/>
      <c r="N122" s="118"/>
      <c r="O122" s="118"/>
      <c r="P122" s="118"/>
      <c r="Q122" s="118"/>
      <c r="R122" s="118"/>
      <c r="S122" s="12"/>
      <c r="T122" s="12"/>
      <c r="U122" s="12"/>
      <c r="V122" s="12"/>
      <c r="W122" s="12"/>
      <c r="X122" s="12">
        <v>100000</v>
      </c>
      <c r="Y122" s="161">
        <f t="shared" si="1"/>
        <v>100000</v>
      </c>
      <c r="Z122" s="10"/>
    </row>
    <row r="123" spans="1:26" ht="15.75" customHeight="1">
      <c r="A123" s="129"/>
      <c r="B123" s="151" t="s">
        <v>240</v>
      </c>
      <c r="C123" s="117"/>
      <c r="D123" s="117"/>
      <c r="E123" s="117"/>
      <c r="F123" s="117"/>
      <c r="G123" s="118">
        <f>3*50000</f>
        <v>150000</v>
      </c>
      <c r="H123" s="147"/>
      <c r="I123" s="119"/>
      <c r="J123" s="118"/>
      <c r="K123" s="118"/>
      <c r="L123" s="118"/>
      <c r="M123" s="118"/>
      <c r="N123" s="118"/>
      <c r="O123" s="118"/>
      <c r="P123" s="118"/>
      <c r="Q123" s="118"/>
      <c r="R123" s="118"/>
      <c r="S123" s="12"/>
      <c r="T123" s="12"/>
      <c r="U123" s="12"/>
      <c r="V123" s="12"/>
      <c r="W123" s="12"/>
      <c r="X123" s="12"/>
      <c r="Y123" s="161">
        <f t="shared" si="1"/>
        <v>150000</v>
      </c>
      <c r="Z123" s="10"/>
    </row>
    <row r="124" spans="1:26" ht="15.75" customHeight="1">
      <c r="A124" s="129">
        <v>45743</v>
      </c>
      <c r="B124" s="151" t="s">
        <v>113</v>
      </c>
      <c r="C124" s="117"/>
      <c r="D124" s="117"/>
      <c r="E124" s="117">
        <v>635700</v>
      </c>
      <c r="F124" s="117"/>
      <c r="G124" s="118"/>
      <c r="H124" s="147"/>
      <c r="I124" s="119"/>
      <c r="J124" s="118"/>
      <c r="K124" s="118"/>
      <c r="L124" s="118"/>
      <c r="M124" s="118"/>
      <c r="N124" s="118"/>
      <c r="O124" s="118"/>
      <c r="P124" s="118"/>
      <c r="Q124" s="118"/>
      <c r="R124" s="118"/>
      <c r="S124" s="12"/>
      <c r="T124" s="12"/>
      <c r="U124" s="12"/>
      <c r="V124" s="12"/>
      <c r="W124" s="12"/>
      <c r="X124" s="12"/>
      <c r="Y124" s="161">
        <f t="shared" si="1"/>
        <v>635700</v>
      </c>
      <c r="Z124" s="10"/>
    </row>
    <row r="125" spans="1:26" ht="15.75" customHeight="1">
      <c r="A125" s="129"/>
      <c r="B125" s="151" t="s">
        <v>319</v>
      </c>
      <c r="C125" s="117"/>
      <c r="D125" s="117"/>
      <c r="E125" s="117">
        <v>472500</v>
      </c>
      <c r="F125" s="117"/>
      <c r="G125" s="118"/>
      <c r="H125" s="147"/>
      <c r="I125" s="119"/>
      <c r="J125" s="118"/>
      <c r="K125" s="118"/>
      <c r="L125" s="118"/>
      <c r="M125" s="118"/>
      <c r="N125" s="118"/>
      <c r="O125" s="118"/>
      <c r="P125" s="118"/>
      <c r="Q125" s="118"/>
      <c r="R125" s="118"/>
      <c r="S125" s="12"/>
      <c r="T125" s="12"/>
      <c r="U125" s="12"/>
      <c r="V125" s="12"/>
      <c r="W125" s="12"/>
      <c r="X125" s="12"/>
      <c r="Y125" s="161">
        <f t="shared" si="1"/>
        <v>472500</v>
      </c>
      <c r="Z125" s="10"/>
    </row>
    <row r="126" spans="1:26" ht="15.75" customHeight="1">
      <c r="A126" s="129"/>
      <c r="B126" s="151" t="s">
        <v>320</v>
      </c>
      <c r="C126" s="117"/>
      <c r="D126" s="117"/>
      <c r="E126" s="117">
        <v>421500</v>
      </c>
      <c r="F126" s="117"/>
      <c r="G126" s="118"/>
      <c r="H126" s="147"/>
      <c r="I126" s="119"/>
      <c r="J126" s="118"/>
      <c r="K126" s="118"/>
      <c r="L126" s="118"/>
      <c r="M126" s="118"/>
      <c r="N126" s="118"/>
      <c r="O126" s="118"/>
      <c r="P126" s="118"/>
      <c r="Q126" s="118"/>
      <c r="R126" s="118"/>
      <c r="S126" s="12"/>
      <c r="T126" s="12"/>
      <c r="U126" s="12"/>
      <c r="V126" s="12"/>
      <c r="W126" s="12"/>
      <c r="X126" s="12"/>
      <c r="Y126" s="161">
        <f t="shared" si="1"/>
        <v>421500</v>
      </c>
      <c r="Z126" s="10"/>
    </row>
    <row r="127" spans="1:26" ht="15.75" customHeight="1">
      <c r="A127" s="129"/>
      <c r="B127" s="151" t="s">
        <v>321</v>
      </c>
      <c r="C127" s="117"/>
      <c r="D127" s="117"/>
      <c r="E127" s="117">
        <v>277500</v>
      </c>
      <c r="F127" s="117"/>
      <c r="G127" s="118"/>
      <c r="H127" s="147"/>
      <c r="I127" s="119"/>
      <c r="J127" s="118"/>
      <c r="K127" s="118"/>
      <c r="L127" s="118"/>
      <c r="M127" s="118"/>
      <c r="N127" s="118"/>
      <c r="O127" s="118"/>
      <c r="P127" s="118"/>
      <c r="Q127" s="118"/>
      <c r="R127" s="118"/>
      <c r="S127" s="12"/>
      <c r="T127" s="12"/>
      <c r="U127" s="12"/>
      <c r="V127" s="12"/>
      <c r="W127" s="12"/>
      <c r="X127" s="12"/>
      <c r="Y127" s="161">
        <f t="shared" si="1"/>
        <v>277500</v>
      </c>
      <c r="Z127" s="10"/>
    </row>
    <row r="128" spans="1:26" ht="15.75" customHeight="1">
      <c r="A128" s="129"/>
      <c r="B128" s="151" t="s">
        <v>322</v>
      </c>
      <c r="C128" s="117"/>
      <c r="D128" s="117"/>
      <c r="E128" s="117">
        <v>607650</v>
      </c>
      <c r="F128" s="117"/>
      <c r="G128" s="118"/>
      <c r="H128" s="147"/>
      <c r="I128" s="119"/>
      <c r="J128" s="118"/>
      <c r="K128" s="118"/>
      <c r="L128" s="118"/>
      <c r="M128" s="118"/>
      <c r="N128" s="118"/>
      <c r="O128" s="118"/>
      <c r="P128" s="118"/>
      <c r="Q128" s="118"/>
      <c r="R128" s="118"/>
      <c r="S128" s="12"/>
      <c r="T128" s="12"/>
      <c r="U128" s="12"/>
      <c r="V128" s="12"/>
      <c r="W128" s="12"/>
      <c r="X128" s="12"/>
      <c r="Y128" s="161">
        <f t="shared" si="1"/>
        <v>607650</v>
      </c>
      <c r="Z128" s="10"/>
    </row>
    <row r="129" spans="1:26" ht="15.75" customHeight="1">
      <c r="A129" s="129"/>
      <c r="B129" s="151" t="s">
        <v>323</v>
      </c>
      <c r="C129" s="117"/>
      <c r="D129" s="117"/>
      <c r="E129" s="117">
        <v>472500</v>
      </c>
      <c r="F129" s="117"/>
      <c r="G129" s="118"/>
      <c r="H129" s="147"/>
      <c r="I129" s="119"/>
      <c r="J129" s="118"/>
      <c r="K129" s="118"/>
      <c r="L129" s="118"/>
      <c r="M129" s="118"/>
      <c r="N129" s="118"/>
      <c r="O129" s="118"/>
      <c r="P129" s="118"/>
      <c r="Q129" s="118"/>
      <c r="R129" s="118"/>
      <c r="S129" s="12"/>
      <c r="T129" s="12"/>
      <c r="U129" s="12"/>
      <c r="V129" s="12"/>
      <c r="W129" s="12"/>
      <c r="X129" s="12"/>
      <c r="Y129" s="161">
        <f t="shared" si="1"/>
        <v>472500</v>
      </c>
      <c r="Z129" s="10"/>
    </row>
    <row r="130" spans="1:26" ht="15.75" customHeight="1">
      <c r="A130" s="129"/>
      <c r="B130" s="151" t="s">
        <v>324</v>
      </c>
      <c r="C130" s="117"/>
      <c r="D130" s="117"/>
      <c r="E130" s="117">
        <v>421500</v>
      </c>
      <c r="F130" s="117"/>
      <c r="G130" s="118"/>
      <c r="H130" s="147"/>
      <c r="I130" s="119"/>
      <c r="J130" s="118"/>
      <c r="K130" s="118"/>
      <c r="L130" s="118"/>
      <c r="M130" s="118"/>
      <c r="N130" s="118"/>
      <c r="O130" s="118"/>
      <c r="P130" s="118"/>
      <c r="Q130" s="118"/>
      <c r="R130" s="118"/>
      <c r="S130" s="12"/>
      <c r="T130" s="12"/>
      <c r="U130" s="12"/>
      <c r="V130" s="12"/>
      <c r="W130" s="12"/>
      <c r="X130" s="12"/>
      <c r="Y130" s="161">
        <f t="shared" si="1"/>
        <v>421500</v>
      </c>
      <c r="Z130" s="10"/>
    </row>
    <row r="131" spans="1:26" ht="15.75" customHeight="1">
      <c r="A131" s="129"/>
      <c r="B131" s="151" t="s">
        <v>325</v>
      </c>
      <c r="C131" s="117"/>
      <c r="D131" s="117"/>
      <c r="E131" s="117">
        <v>240500</v>
      </c>
      <c r="F131" s="117"/>
      <c r="G131" s="118"/>
      <c r="H131" s="147"/>
      <c r="I131" s="119"/>
      <c r="J131" s="118"/>
      <c r="K131" s="118"/>
      <c r="L131" s="118"/>
      <c r="M131" s="118"/>
      <c r="N131" s="118"/>
      <c r="O131" s="118"/>
      <c r="P131" s="118"/>
      <c r="Q131" s="118"/>
      <c r="R131" s="118"/>
      <c r="S131" s="12"/>
      <c r="T131" s="12"/>
      <c r="U131" s="12"/>
      <c r="V131" s="12"/>
      <c r="W131" s="12"/>
      <c r="X131" s="12"/>
      <c r="Y131" s="161">
        <f t="shared" si="1"/>
        <v>240500</v>
      </c>
      <c r="Z131" s="10"/>
    </row>
    <row r="132" spans="1:26" ht="15.75" customHeight="1">
      <c r="A132" s="129"/>
      <c r="B132" s="151" t="s">
        <v>116</v>
      </c>
      <c r="C132" s="117"/>
      <c r="D132" s="117"/>
      <c r="E132" s="117"/>
      <c r="F132" s="117">
        <v>200000</v>
      </c>
      <c r="G132" s="118"/>
      <c r="H132" s="147"/>
      <c r="I132" s="119"/>
      <c r="J132" s="118"/>
      <c r="K132" s="118"/>
      <c r="L132" s="118"/>
      <c r="M132" s="118"/>
      <c r="N132" s="118"/>
      <c r="O132" s="118"/>
      <c r="P132" s="118"/>
      <c r="Q132" s="118"/>
      <c r="R132" s="118"/>
      <c r="S132" s="12"/>
      <c r="T132" s="12"/>
      <c r="U132" s="12"/>
      <c r="V132" s="12"/>
      <c r="W132" s="12"/>
      <c r="X132" s="12"/>
      <c r="Y132" s="161">
        <f t="shared" si="1"/>
        <v>200000</v>
      </c>
      <c r="Z132" s="10"/>
    </row>
    <row r="133" spans="1:26" ht="15.75" customHeight="1">
      <c r="A133" s="129"/>
      <c r="B133" s="151" t="s">
        <v>326</v>
      </c>
      <c r="C133" s="117"/>
      <c r="D133" s="117"/>
      <c r="E133" s="117"/>
      <c r="F133" s="117">
        <v>200000</v>
      </c>
      <c r="G133" s="118"/>
      <c r="H133" s="147"/>
      <c r="I133" s="119"/>
      <c r="J133" s="118"/>
      <c r="K133" s="118"/>
      <c r="L133" s="118"/>
      <c r="M133" s="118"/>
      <c r="N133" s="118"/>
      <c r="O133" s="118"/>
      <c r="P133" s="118"/>
      <c r="Q133" s="118"/>
      <c r="R133" s="118"/>
      <c r="S133" s="12"/>
      <c r="T133" s="12"/>
      <c r="U133" s="12"/>
      <c r="V133" s="12"/>
      <c r="W133" s="12"/>
      <c r="X133" s="12"/>
      <c r="Y133" s="161">
        <f t="shared" si="1"/>
        <v>200000</v>
      </c>
      <c r="Z133" s="10"/>
    </row>
    <row r="134" spans="1:26" ht="15.75" customHeight="1">
      <c r="A134" s="129"/>
      <c r="B134" s="151" t="s">
        <v>327</v>
      </c>
      <c r="C134" s="117"/>
      <c r="D134" s="117"/>
      <c r="E134" s="117"/>
      <c r="F134" s="117">
        <v>200000</v>
      </c>
      <c r="G134" s="118"/>
      <c r="H134" s="147"/>
      <c r="I134" s="119"/>
      <c r="J134" s="118"/>
      <c r="K134" s="118"/>
      <c r="L134" s="118"/>
      <c r="M134" s="118"/>
      <c r="N134" s="118"/>
      <c r="O134" s="118"/>
      <c r="P134" s="118"/>
      <c r="Q134" s="118"/>
      <c r="R134" s="118"/>
      <c r="S134" s="12"/>
      <c r="T134" s="12"/>
      <c r="U134" s="12"/>
      <c r="V134" s="12"/>
      <c r="W134" s="12"/>
      <c r="X134" s="12"/>
      <c r="Y134" s="161">
        <f t="shared" si="1"/>
        <v>200000</v>
      </c>
      <c r="Z134" s="10"/>
    </row>
    <row r="135" spans="1:26" ht="15.75" customHeight="1">
      <c r="A135" s="129"/>
      <c r="B135" s="151" t="s">
        <v>328</v>
      </c>
      <c r="C135" s="117"/>
      <c r="D135" s="117"/>
      <c r="E135" s="117"/>
      <c r="F135" s="117">
        <v>200000</v>
      </c>
      <c r="G135" s="118"/>
      <c r="H135" s="147"/>
      <c r="I135" s="119"/>
      <c r="J135" s="118"/>
      <c r="K135" s="118"/>
      <c r="L135" s="118"/>
      <c r="M135" s="118"/>
      <c r="N135" s="118"/>
      <c r="O135" s="118"/>
      <c r="P135" s="118"/>
      <c r="Q135" s="118"/>
      <c r="R135" s="118"/>
      <c r="S135" s="12"/>
      <c r="T135" s="12"/>
      <c r="U135" s="12"/>
      <c r="V135" s="12"/>
      <c r="W135" s="12"/>
      <c r="X135" s="12"/>
      <c r="Y135" s="161">
        <f t="shared" ref="Y135:Y198" si="2">E135+F135+G135+H135+I135+J135+K135+L135+M135+N135+O135+P135+Q135+R135+S135+T135+U135+V135+W135+X135</f>
        <v>200000</v>
      </c>
      <c r="Z135" s="10"/>
    </row>
    <row r="136" spans="1:26" ht="15.75" customHeight="1">
      <c r="A136" s="129"/>
      <c r="B136" s="151" t="s">
        <v>329</v>
      </c>
      <c r="C136" s="117"/>
      <c r="D136" s="117"/>
      <c r="E136" s="117"/>
      <c r="F136" s="117">
        <v>200000</v>
      </c>
      <c r="G136" s="118"/>
      <c r="H136" s="147"/>
      <c r="I136" s="119"/>
      <c r="J136" s="118"/>
      <c r="K136" s="118"/>
      <c r="L136" s="118"/>
      <c r="M136" s="118"/>
      <c r="N136" s="118"/>
      <c r="O136" s="118"/>
      <c r="P136" s="118"/>
      <c r="Q136" s="118"/>
      <c r="R136" s="118"/>
      <c r="S136" s="12"/>
      <c r="T136" s="12"/>
      <c r="U136" s="12"/>
      <c r="V136" s="12"/>
      <c r="W136" s="12"/>
      <c r="X136" s="12"/>
      <c r="Y136" s="161">
        <f t="shared" si="2"/>
        <v>200000</v>
      </c>
      <c r="Z136" s="10"/>
    </row>
    <row r="137" spans="1:26" ht="15.75" customHeight="1">
      <c r="A137" s="129"/>
      <c r="B137" s="151" t="s">
        <v>330</v>
      </c>
      <c r="C137" s="117"/>
      <c r="D137" s="117"/>
      <c r="E137" s="117"/>
      <c r="F137" s="117">
        <v>200000</v>
      </c>
      <c r="G137" s="118"/>
      <c r="H137" s="147"/>
      <c r="I137" s="119"/>
      <c r="J137" s="118"/>
      <c r="K137" s="118"/>
      <c r="L137" s="118"/>
      <c r="M137" s="118"/>
      <c r="N137" s="118"/>
      <c r="O137" s="118"/>
      <c r="P137" s="118"/>
      <c r="Q137" s="118"/>
      <c r="R137" s="118"/>
      <c r="S137" s="12"/>
      <c r="T137" s="12"/>
      <c r="U137" s="12"/>
      <c r="V137" s="12"/>
      <c r="W137" s="12"/>
      <c r="X137" s="12"/>
      <c r="Y137" s="161">
        <f t="shared" si="2"/>
        <v>200000</v>
      </c>
      <c r="Z137" s="10"/>
    </row>
    <row r="138" spans="1:26" ht="15.75" customHeight="1">
      <c r="A138" s="129"/>
      <c r="B138" s="151" t="s">
        <v>331</v>
      </c>
      <c r="C138" s="117"/>
      <c r="D138" s="117"/>
      <c r="E138" s="117"/>
      <c r="F138" s="117">
        <v>200000</v>
      </c>
      <c r="G138" s="118"/>
      <c r="H138" s="147"/>
      <c r="I138" s="119"/>
      <c r="J138" s="118"/>
      <c r="K138" s="118"/>
      <c r="L138" s="118"/>
      <c r="M138" s="118"/>
      <c r="N138" s="118"/>
      <c r="O138" s="118"/>
      <c r="P138" s="118"/>
      <c r="Q138" s="118"/>
      <c r="R138" s="118"/>
      <c r="S138" s="12"/>
      <c r="T138" s="12"/>
      <c r="U138" s="12"/>
      <c r="V138" s="12"/>
      <c r="W138" s="12"/>
      <c r="X138" s="12"/>
      <c r="Y138" s="161">
        <f t="shared" si="2"/>
        <v>200000</v>
      </c>
      <c r="Z138" s="10"/>
    </row>
    <row r="139" spans="1:26" ht="15.75" customHeight="1">
      <c r="A139" s="129">
        <v>45744</v>
      </c>
      <c r="B139" s="151" t="s">
        <v>241</v>
      </c>
      <c r="C139" s="117"/>
      <c r="D139" s="117"/>
      <c r="E139" s="117"/>
      <c r="F139" s="117"/>
      <c r="G139" s="118"/>
      <c r="H139" s="147"/>
      <c r="I139" s="119"/>
      <c r="J139" s="118"/>
      <c r="K139" s="118"/>
      <c r="L139" s="118"/>
      <c r="M139" s="118"/>
      <c r="N139" s="118"/>
      <c r="O139" s="118"/>
      <c r="P139" s="118"/>
      <c r="Q139" s="118"/>
      <c r="R139" s="118"/>
      <c r="S139" s="12"/>
      <c r="T139" s="12"/>
      <c r="U139" s="12"/>
      <c r="V139" s="12"/>
      <c r="W139" s="12"/>
      <c r="X139" s="12">
        <v>800000</v>
      </c>
      <c r="Y139" s="161">
        <f t="shared" si="2"/>
        <v>800000</v>
      </c>
      <c r="Z139" s="10"/>
    </row>
    <row r="140" spans="1:26" ht="15.75" customHeight="1">
      <c r="A140" s="129"/>
      <c r="B140" s="151" t="s">
        <v>242</v>
      </c>
      <c r="C140" s="117"/>
      <c r="D140" s="117"/>
      <c r="E140" s="117"/>
      <c r="F140" s="117"/>
      <c r="G140" s="118"/>
      <c r="H140" s="147"/>
      <c r="I140" s="119"/>
      <c r="J140" s="118"/>
      <c r="K140" s="118"/>
      <c r="L140" s="118"/>
      <c r="M140" s="118"/>
      <c r="N140" s="118"/>
      <c r="O140" s="118"/>
      <c r="P140" s="118"/>
      <c r="Q140" s="118"/>
      <c r="R140" s="118"/>
      <c r="S140" s="12"/>
      <c r="T140" s="12"/>
      <c r="U140" s="12"/>
      <c r="V140" s="12"/>
      <c r="W140" s="12"/>
      <c r="X140" s="12">
        <v>800000</v>
      </c>
      <c r="Y140" s="161">
        <f t="shared" si="2"/>
        <v>800000</v>
      </c>
      <c r="Z140" s="10"/>
    </row>
    <row r="141" spans="1:26" ht="15.75" customHeight="1">
      <c r="A141" s="129">
        <v>45744</v>
      </c>
      <c r="B141" s="151" t="s">
        <v>243</v>
      </c>
      <c r="C141" s="117"/>
      <c r="D141" s="117"/>
      <c r="E141" s="117"/>
      <c r="F141" s="117"/>
      <c r="G141" s="118">
        <f>2*20000</f>
        <v>40000</v>
      </c>
      <c r="H141" s="147"/>
      <c r="I141" s="119"/>
      <c r="J141" s="118"/>
      <c r="K141" s="118"/>
      <c r="L141" s="118"/>
      <c r="M141" s="118"/>
      <c r="N141" s="118"/>
      <c r="O141" s="118"/>
      <c r="P141" s="118"/>
      <c r="Q141" s="118"/>
      <c r="R141" s="118"/>
      <c r="S141" s="12"/>
      <c r="T141" s="12"/>
      <c r="U141" s="12"/>
      <c r="V141" s="12"/>
      <c r="W141" s="12"/>
      <c r="X141" s="12"/>
      <c r="Y141" s="161">
        <f t="shared" si="2"/>
        <v>40000</v>
      </c>
      <c r="Z141" s="10"/>
    </row>
    <row r="142" spans="1:26" ht="15.75" customHeight="1">
      <c r="A142" s="129">
        <v>45744</v>
      </c>
      <c r="B142" s="151" t="s">
        <v>244</v>
      </c>
      <c r="C142" s="117"/>
      <c r="D142" s="117"/>
      <c r="E142" s="117"/>
      <c r="F142" s="117"/>
      <c r="G142" s="118"/>
      <c r="H142" s="147"/>
      <c r="I142" s="119"/>
      <c r="J142" s="118">
        <f>2*60000</f>
        <v>120000</v>
      </c>
      <c r="K142" s="118"/>
      <c r="L142" s="118"/>
      <c r="M142" s="118"/>
      <c r="N142" s="118"/>
      <c r="O142" s="118"/>
      <c r="P142" s="118"/>
      <c r="Q142" s="118"/>
      <c r="R142" s="118"/>
      <c r="S142" s="12"/>
      <c r="T142" s="12"/>
      <c r="U142" s="12"/>
      <c r="V142" s="12"/>
      <c r="W142" s="12"/>
      <c r="X142" s="12"/>
      <c r="Y142" s="161">
        <f t="shared" si="2"/>
        <v>120000</v>
      </c>
      <c r="Z142" s="10"/>
    </row>
    <row r="143" spans="1:26" ht="15.75" customHeight="1">
      <c r="A143" s="129"/>
      <c r="B143" s="151" t="s">
        <v>245</v>
      </c>
      <c r="C143" s="117"/>
      <c r="D143" s="117"/>
      <c r="E143" s="117"/>
      <c r="F143" s="117"/>
      <c r="G143" s="118">
        <f>2*55000</f>
        <v>110000</v>
      </c>
      <c r="H143" s="147"/>
      <c r="I143" s="119"/>
      <c r="J143" s="118"/>
      <c r="K143" s="118"/>
      <c r="L143" s="118"/>
      <c r="M143" s="118"/>
      <c r="N143" s="118"/>
      <c r="O143" s="118"/>
      <c r="P143" s="118"/>
      <c r="Q143" s="118"/>
      <c r="R143" s="118"/>
      <c r="S143" s="12"/>
      <c r="T143" s="12"/>
      <c r="U143" s="12"/>
      <c r="V143" s="12"/>
      <c r="W143" s="12"/>
      <c r="X143" s="12"/>
      <c r="Y143" s="161">
        <f t="shared" si="2"/>
        <v>110000</v>
      </c>
      <c r="Z143" s="10"/>
    </row>
    <row r="144" spans="1:26" ht="15.75" customHeight="1">
      <c r="A144" s="129">
        <v>45744</v>
      </c>
      <c r="B144" s="151" t="s">
        <v>246</v>
      </c>
      <c r="C144" s="117"/>
      <c r="D144" s="117"/>
      <c r="E144" s="117"/>
      <c r="F144" s="117"/>
      <c r="G144" s="118"/>
      <c r="H144" s="147"/>
      <c r="I144" s="119">
        <f>15*40000</f>
        <v>600000</v>
      </c>
      <c r="J144" s="118"/>
      <c r="K144" s="118"/>
      <c r="L144" s="118"/>
      <c r="M144" s="118"/>
      <c r="N144" s="118"/>
      <c r="O144" s="118"/>
      <c r="P144" s="118"/>
      <c r="Q144" s="118"/>
      <c r="R144" s="118"/>
      <c r="S144" s="12"/>
      <c r="T144" s="12"/>
      <c r="U144" s="12"/>
      <c r="V144" s="12"/>
      <c r="W144" s="12"/>
      <c r="X144" s="12"/>
      <c r="Y144" s="161">
        <f t="shared" si="2"/>
        <v>600000</v>
      </c>
      <c r="Z144" s="10"/>
    </row>
    <row r="145" spans="1:26" ht="15.75" customHeight="1">
      <c r="A145" s="129"/>
      <c r="B145" s="151" t="s">
        <v>247</v>
      </c>
      <c r="C145" s="117"/>
      <c r="D145" s="117"/>
      <c r="E145" s="117"/>
      <c r="F145" s="117"/>
      <c r="G145" s="118"/>
      <c r="H145" s="147"/>
      <c r="I145" s="119">
        <f>20*20000</f>
        <v>400000</v>
      </c>
      <c r="J145" s="118"/>
      <c r="K145" s="118"/>
      <c r="L145" s="118"/>
      <c r="M145" s="118"/>
      <c r="N145" s="118"/>
      <c r="O145" s="118"/>
      <c r="P145" s="118"/>
      <c r="Q145" s="118"/>
      <c r="R145" s="118"/>
      <c r="S145" s="12"/>
      <c r="T145" s="12"/>
      <c r="U145" s="12"/>
      <c r="V145" s="12"/>
      <c r="W145" s="12"/>
      <c r="X145" s="12"/>
      <c r="Y145" s="161">
        <f t="shared" si="2"/>
        <v>400000</v>
      </c>
      <c r="Z145" s="10"/>
    </row>
    <row r="146" spans="1:26" ht="15.75" customHeight="1">
      <c r="A146" s="129"/>
      <c r="B146" s="151" t="s">
        <v>248</v>
      </c>
      <c r="C146" s="117"/>
      <c r="D146" s="117"/>
      <c r="E146" s="117"/>
      <c r="F146" s="117"/>
      <c r="G146" s="118"/>
      <c r="H146" s="147"/>
      <c r="I146" s="119">
        <f>10*15000</f>
        <v>150000</v>
      </c>
      <c r="J146" s="118"/>
      <c r="K146" s="118"/>
      <c r="L146" s="118"/>
      <c r="M146" s="118"/>
      <c r="N146" s="118"/>
      <c r="O146" s="118"/>
      <c r="P146" s="118"/>
      <c r="Q146" s="118"/>
      <c r="R146" s="118"/>
      <c r="S146" s="12"/>
      <c r="T146" s="12"/>
      <c r="U146" s="12"/>
      <c r="V146" s="12"/>
      <c r="W146" s="12"/>
      <c r="X146" s="12"/>
      <c r="Y146" s="161">
        <f t="shared" si="2"/>
        <v>150000</v>
      </c>
      <c r="Z146" s="10"/>
    </row>
    <row r="147" spans="1:26" ht="15.75" customHeight="1">
      <c r="A147" s="129"/>
      <c r="B147" s="151" t="s">
        <v>249</v>
      </c>
      <c r="C147" s="117"/>
      <c r="D147" s="117"/>
      <c r="E147" s="117"/>
      <c r="F147" s="117"/>
      <c r="G147" s="118"/>
      <c r="H147" s="147"/>
      <c r="I147" s="119">
        <f>3*25000</f>
        <v>75000</v>
      </c>
      <c r="J147" s="118"/>
      <c r="K147" s="118"/>
      <c r="L147" s="118"/>
      <c r="M147" s="118"/>
      <c r="N147" s="118"/>
      <c r="O147" s="118"/>
      <c r="P147" s="118"/>
      <c r="Q147" s="118"/>
      <c r="R147" s="118"/>
      <c r="S147" s="12"/>
      <c r="T147" s="12"/>
      <c r="U147" s="12"/>
      <c r="V147" s="12"/>
      <c r="W147" s="12"/>
      <c r="X147" s="12"/>
      <c r="Y147" s="161">
        <f t="shared" si="2"/>
        <v>75000</v>
      </c>
      <c r="Z147" s="10"/>
    </row>
    <row r="148" spans="1:26" ht="15.75" customHeight="1">
      <c r="A148" s="129"/>
      <c r="B148" s="151" t="s">
        <v>250</v>
      </c>
      <c r="C148" s="117"/>
      <c r="D148" s="117"/>
      <c r="E148" s="117"/>
      <c r="F148" s="117"/>
      <c r="G148" s="118">
        <v>8500</v>
      </c>
      <c r="H148" s="147"/>
      <c r="I148" s="119"/>
      <c r="J148" s="118"/>
      <c r="K148" s="118"/>
      <c r="L148" s="118"/>
      <c r="M148" s="118"/>
      <c r="N148" s="118"/>
      <c r="O148" s="118"/>
      <c r="P148" s="118"/>
      <c r="Q148" s="118"/>
      <c r="R148" s="118"/>
      <c r="S148" s="12"/>
      <c r="T148" s="12"/>
      <c r="U148" s="12"/>
      <c r="V148" s="12"/>
      <c r="W148" s="12"/>
      <c r="X148" s="12"/>
      <c r="Y148" s="161">
        <f t="shared" si="2"/>
        <v>8500</v>
      </c>
      <c r="Z148" s="10"/>
    </row>
    <row r="149" spans="1:26" ht="15.75" customHeight="1">
      <c r="A149" s="129"/>
      <c r="B149" s="151" t="s">
        <v>251</v>
      </c>
      <c r="C149" s="117"/>
      <c r="D149" s="117"/>
      <c r="E149" s="117"/>
      <c r="F149" s="117"/>
      <c r="G149" s="118"/>
      <c r="H149" s="147"/>
      <c r="I149" s="119">
        <f>6*12000</f>
        <v>72000</v>
      </c>
      <c r="J149" s="118"/>
      <c r="K149" s="118"/>
      <c r="L149" s="118"/>
      <c r="M149" s="118"/>
      <c r="N149" s="118"/>
      <c r="O149" s="118"/>
      <c r="P149" s="118"/>
      <c r="Q149" s="118"/>
      <c r="R149" s="118"/>
      <c r="S149" s="12"/>
      <c r="T149" s="12"/>
      <c r="U149" s="12"/>
      <c r="V149" s="12"/>
      <c r="W149" s="12"/>
      <c r="X149" s="12"/>
      <c r="Y149" s="161">
        <f t="shared" si="2"/>
        <v>72000</v>
      </c>
      <c r="Z149" s="10"/>
    </row>
    <row r="150" spans="1:26" ht="15.75" customHeight="1">
      <c r="A150" s="129">
        <v>45775</v>
      </c>
      <c r="B150" s="151" t="s">
        <v>235</v>
      </c>
      <c r="C150" s="117"/>
      <c r="D150" s="117"/>
      <c r="E150" s="117"/>
      <c r="F150" s="117"/>
      <c r="G150" s="118"/>
      <c r="H150" s="147"/>
      <c r="I150" s="119"/>
      <c r="J150" s="118"/>
      <c r="K150" s="118"/>
      <c r="L150" s="118"/>
      <c r="M150" s="118"/>
      <c r="N150" s="118"/>
      <c r="O150" s="118"/>
      <c r="P150" s="118"/>
      <c r="Q150" s="118"/>
      <c r="R150" s="118"/>
      <c r="S150" s="12"/>
      <c r="T150" s="12">
        <f>51*17000</f>
        <v>867000</v>
      </c>
      <c r="U150" s="12"/>
      <c r="V150" s="12"/>
      <c r="W150" s="12"/>
      <c r="X150" s="12"/>
      <c r="Y150" s="161">
        <f t="shared" si="2"/>
        <v>867000</v>
      </c>
      <c r="Z150" s="10"/>
    </row>
    <row r="151" spans="1:26" ht="15.75" customHeight="1">
      <c r="A151" s="129"/>
      <c r="B151" s="151" t="s">
        <v>252</v>
      </c>
      <c r="C151" s="117"/>
      <c r="D151" s="117"/>
      <c r="E151" s="117"/>
      <c r="F151" s="117"/>
      <c r="G151" s="118"/>
      <c r="H151" s="147"/>
      <c r="I151" s="119"/>
      <c r="J151" s="118"/>
      <c r="K151" s="118"/>
      <c r="L151" s="118"/>
      <c r="M151" s="118"/>
      <c r="N151" s="118"/>
      <c r="O151" s="118"/>
      <c r="P151" s="118"/>
      <c r="Q151" s="118"/>
      <c r="R151" s="118"/>
      <c r="S151" s="12"/>
      <c r="T151" s="12">
        <f>4*17000</f>
        <v>68000</v>
      </c>
      <c r="U151" s="12"/>
      <c r="V151" s="12"/>
      <c r="W151" s="12"/>
      <c r="X151" s="12"/>
      <c r="Y151" s="161">
        <f t="shared" si="2"/>
        <v>68000</v>
      </c>
      <c r="Z151" s="10"/>
    </row>
    <row r="152" spans="1:26" ht="15.75" customHeight="1">
      <c r="A152" s="129"/>
      <c r="B152" s="151" t="s">
        <v>253</v>
      </c>
      <c r="C152" s="117"/>
      <c r="D152" s="117"/>
      <c r="E152" s="117"/>
      <c r="F152" s="117"/>
      <c r="G152" s="118"/>
      <c r="H152" s="147"/>
      <c r="I152" s="119"/>
      <c r="J152" s="118">
        <v>324000</v>
      </c>
      <c r="K152" s="118"/>
      <c r="L152" s="118"/>
      <c r="M152" s="118"/>
      <c r="N152" s="118"/>
      <c r="O152" s="118"/>
      <c r="P152" s="118"/>
      <c r="Q152" s="118"/>
      <c r="R152" s="118"/>
      <c r="S152" s="12"/>
      <c r="T152" s="12"/>
      <c r="U152" s="12"/>
      <c r="V152" s="12"/>
      <c r="W152" s="12"/>
      <c r="X152" s="12"/>
      <c r="Y152" s="161">
        <f t="shared" si="2"/>
        <v>324000</v>
      </c>
      <c r="Z152" s="10"/>
    </row>
    <row r="153" spans="1:26" ht="15.75" customHeight="1">
      <c r="A153" s="129">
        <v>45744</v>
      </c>
      <c r="B153" s="151" t="s">
        <v>254</v>
      </c>
      <c r="C153" s="117"/>
      <c r="D153" s="117"/>
      <c r="E153" s="117"/>
      <c r="F153" s="117"/>
      <c r="G153" s="118"/>
      <c r="H153" s="147"/>
      <c r="I153" s="119"/>
      <c r="J153" s="118"/>
      <c r="K153" s="118"/>
      <c r="L153" s="118"/>
      <c r="M153" s="118"/>
      <c r="N153" s="118"/>
      <c r="O153" s="118"/>
      <c r="P153" s="118"/>
      <c r="Q153" s="118"/>
      <c r="R153" s="118"/>
      <c r="S153" s="12"/>
      <c r="T153" s="12"/>
      <c r="U153" s="12">
        <v>250000</v>
      </c>
      <c r="V153" s="12"/>
      <c r="W153" s="12"/>
      <c r="X153" s="12"/>
      <c r="Y153" s="161">
        <f t="shared" si="2"/>
        <v>250000</v>
      </c>
      <c r="Z153" s="10"/>
    </row>
    <row r="154" spans="1:26" ht="15.75" customHeight="1">
      <c r="A154" s="129"/>
      <c r="B154" s="151" t="s">
        <v>255</v>
      </c>
      <c r="C154" s="117"/>
      <c r="D154" s="117"/>
      <c r="E154" s="117"/>
      <c r="F154" s="117"/>
      <c r="G154" s="118"/>
      <c r="H154" s="147"/>
      <c r="I154" s="119"/>
      <c r="J154" s="118">
        <v>34000</v>
      </c>
      <c r="K154" s="118"/>
      <c r="L154" s="118"/>
      <c r="M154" s="118"/>
      <c r="N154" s="118"/>
      <c r="O154" s="118"/>
      <c r="P154" s="118"/>
      <c r="Q154" s="118"/>
      <c r="R154" s="118"/>
      <c r="S154" s="12"/>
      <c r="T154" s="12"/>
      <c r="U154" s="12"/>
      <c r="V154" s="12"/>
      <c r="W154" s="12"/>
      <c r="X154" s="12"/>
      <c r="Y154" s="161">
        <f t="shared" si="2"/>
        <v>34000</v>
      </c>
      <c r="Z154" s="10"/>
    </row>
    <row r="155" spans="1:26" ht="15.75" customHeight="1">
      <c r="A155" s="129">
        <v>45776</v>
      </c>
      <c r="B155" s="151" t="s">
        <v>256</v>
      </c>
      <c r="C155" s="117"/>
      <c r="D155" s="117"/>
      <c r="E155" s="117"/>
      <c r="F155" s="117"/>
      <c r="G155" s="118"/>
      <c r="H155" s="147"/>
      <c r="I155" s="119"/>
      <c r="J155" s="118"/>
      <c r="K155" s="118"/>
      <c r="L155" s="118"/>
      <c r="M155" s="118"/>
      <c r="N155" s="118"/>
      <c r="O155" s="118"/>
      <c r="P155" s="118"/>
      <c r="Q155" s="118"/>
      <c r="R155" s="118"/>
      <c r="S155" s="12"/>
      <c r="T155" s="12"/>
      <c r="U155" s="12"/>
      <c r="V155" s="12"/>
      <c r="W155" s="12"/>
      <c r="X155" s="12">
        <v>150000</v>
      </c>
      <c r="Y155" s="161">
        <f t="shared" si="2"/>
        <v>150000</v>
      </c>
      <c r="Z155" s="10"/>
    </row>
    <row r="156" spans="1:26" ht="15.75" customHeight="1">
      <c r="A156" s="129">
        <v>45776</v>
      </c>
      <c r="B156" s="151" t="s">
        <v>257</v>
      </c>
      <c r="C156" s="117"/>
      <c r="D156" s="117"/>
      <c r="E156" s="117"/>
      <c r="F156" s="117"/>
      <c r="G156" s="118"/>
      <c r="H156" s="147"/>
      <c r="I156" s="119"/>
      <c r="J156" s="118"/>
      <c r="K156" s="118"/>
      <c r="L156" s="118"/>
      <c r="M156" s="118"/>
      <c r="N156" s="118"/>
      <c r="O156" s="118"/>
      <c r="P156" s="118"/>
      <c r="Q156" s="118"/>
      <c r="R156" s="118"/>
      <c r="S156" s="12"/>
      <c r="T156" s="12"/>
      <c r="U156" s="12"/>
      <c r="V156" s="12"/>
      <c r="W156" s="12"/>
      <c r="X156" s="12">
        <v>700000</v>
      </c>
      <c r="Y156" s="161">
        <f t="shared" si="2"/>
        <v>700000</v>
      </c>
      <c r="Z156" s="10"/>
    </row>
    <row r="157" spans="1:26" ht="15.75" customHeight="1">
      <c r="A157" s="129"/>
      <c r="B157" s="151" t="s">
        <v>258</v>
      </c>
      <c r="C157" s="117"/>
      <c r="D157" s="117"/>
      <c r="E157" s="117"/>
      <c r="F157" s="117"/>
      <c r="G157" s="118">
        <f>2*147500</f>
        <v>295000</v>
      </c>
      <c r="H157" s="147"/>
      <c r="I157" s="119"/>
      <c r="J157" s="118"/>
      <c r="K157" s="118"/>
      <c r="L157" s="118"/>
      <c r="M157" s="118"/>
      <c r="N157" s="118"/>
      <c r="O157" s="118"/>
      <c r="P157" s="118"/>
      <c r="Q157" s="118"/>
      <c r="R157" s="118"/>
      <c r="S157" s="12"/>
      <c r="T157" s="12"/>
      <c r="U157" s="12"/>
      <c r="V157" s="12"/>
      <c r="W157" s="12"/>
      <c r="X157" s="12"/>
      <c r="Y157" s="161">
        <f t="shared" si="2"/>
        <v>295000</v>
      </c>
      <c r="Z157" s="10"/>
    </row>
    <row r="158" spans="1:26" ht="15.75" customHeight="1">
      <c r="A158" s="129">
        <v>45745</v>
      </c>
      <c r="B158" s="151" t="s">
        <v>259</v>
      </c>
      <c r="C158" s="117"/>
      <c r="D158" s="117"/>
      <c r="E158" s="117"/>
      <c r="F158" s="117"/>
      <c r="G158" s="118">
        <f>3*37000</f>
        <v>111000</v>
      </c>
      <c r="H158" s="147"/>
      <c r="I158" s="119"/>
      <c r="J158" s="118"/>
      <c r="K158" s="118"/>
      <c r="L158" s="118"/>
      <c r="M158" s="118"/>
      <c r="N158" s="118"/>
      <c r="O158" s="118"/>
      <c r="P158" s="118"/>
      <c r="Q158" s="118"/>
      <c r="R158" s="118"/>
      <c r="S158" s="12"/>
      <c r="T158" s="12"/>
      <c r="U158" s="12"/>
      <c r="V158" s="12"/>
      <c r="W158" s="12"/>
      <c r="X158" s="12"/>
      <c r="Y158" s="161">
        <f t="shared" si="2"/>
        <v>111000</v>
      </c>
      <c r="Z158" s="10"/>
    </row>
    <row r="159" spans="1:26" ht="15.75" customHeight="1">
      <c r="A159" s="129">
        <v>45776</v>
      </c>
      <c r="B159" s="151" t="s">
        <v>260</v>
      </c>
      <c r="C159" s="117"/>
      <c r="D159" s="117"/>
      <c r="E159" s="117"/>
      <c r="F159" s="117"/>
      <c r="G159" s="118"/>
      <c r="H159" s="147"/>
      <c r="I159" s="119"/>
      <c r="J159" s="118"/>
      <c r="K159" s="118"/>
      <c r="L159" s="118"/>
      <c r="M159" s="118"/>
      <c r="N159" s="118"/>
      <c r="O159" s="118"/>
      <c r="P159" s="118"/>
      <c r="Q159" s="118"/>
      <c r="R159" s="118"/>
      <c r="S159" s="12"/>
      <c r="T159" s="12">
        <f>2*23600</f>
        <v>47200</v>
      </c>
      <c r="U159" s="12"/>
      <c r="V159" s="12"/>
      <c r="W159" s="12"/>
      <c r="X159" s="12"/>
      <c r="Y159" s="161">
        <f t="shared" si="2"/>
        <v>47200</v>
      </c>
      <c r="Z159" s="10"/>
    </row>
    <row r="160" spans="1:26" ht="15.75" customHeight="1">
      <c r="A160" s="129"/>
      <c r="B160" s="151" t="s">
        <v>235</v>
      </c>
      <c r="C160" s="117"/>
      <c r="D160" s="117"/>
      <c r="E160" s="117"/>
      <c r="F160" s="117"/>
      <c r="G160" s="118"/>
      <c r="H160" s="147"/>
      <c r="I160" s="119"/>
      <c r="J160" s="118"/>
      <c r="K160" s="118"/>
      <c r="L160" s="118"/>
      <c r="M160" s="118"/>
      <c r="N160" s="118"/>
      <c r="O160" s="118"/>
      <c r="P160" s="118"/>
      <c r="Q160" s="118"/>
      <c r="R160" s="118"/>
      <c r="S160" s="12"/>
      <c r="T160" s="12">
        <f>51*17000</f>
        <v>867000</v>
      </c>
      <c r="U160" s="12"/>
      <c r="V160" s="12"/>
      <c r="W160" s="12"/>
      <c r="X160" s="12"/>
      <c r="Y160" s="161">
        <f t="shared" si="2"/>
        <v>867000</v>
      </c>
      <c r="Z160" s="10"/>
    </row>
    <row r="161" spans="1:26" ht="15.75" customHeight="1">
      <c r="A161" s="129"/>
      <c r="B161" s="151" t="s">
        <v>238</v>
      </c>
      <c r="C161" s="117"/>
      <c r="D161" s="117"/>
      <c r="E161" s="117"/>
      <c r="F161" s="117"/>
      <c r="G161" s="118"/>
      <c r="H161" s="147"/>
      <c r="I161" s="119"/>
      <c r="J161" s="118"/>
      <c r="K161" s="118"/>
      <c r="L161" s="118"/>
      <c r="M161" s="118"/>
      <c r="N161" s="118"/>
      <c r="O161" s="118"/>
      <c r="P161" s="118"/>
      <c r="Q161" s="118"/>
      <c r="R161" s="118"/>
      <c r="S161" s="12"/>
      <c r="T161" s="12"/>
      <c r="U161" s="12">
        <v>200000</v>
      </c>
      <c r="V161" s="12"/>
      <c r="W161" s="12"/>
      <c r="X161" s="12"/>
      <c r="Y161" s="161">
        <f t="shared" si="2"/>
        <v>200000</v>
      </c>
      <c r="Z161" s="10"/>
    </row>
    <row r="162" spans="1:26" ht="15.75" customHeight="1">
      <c r="A162" s="129"/>
      <c r="B162" s="151" t="s">
        <v>254</v>
      </c>
      <c r="C162" s="117"/>
      <c r="D162" s="117"/>
      <c r="E162" s="117"/>
      <c r="F162" s="117"/>
      <c r="G162" s="118"/>
      <c r="H162" s="147"/>
      <c r="I162" s="119"/>
      <c r="J162" s="118"/>
      <c r="K162" s="118"/>
      <c r="L162" s="118"/>
      <c r="M162" s="118"/>
      <c r="N162" s="118"/>
      <c r="O162" s="118"/>
      <c r="P162" s="118"/>
      <c r="Q162" s="118"/>
      <c r="R162" s="118"/>
      <c r="S162" s="12"/>
      <c r="T162" s="12"/>
      <c r="U162" s="12">
        <v>210320</v>
      </c>
      <c r="V162" s="12"/>
      <c r="W162" s="12"/>
      <c r="X162" s="12"/>
      <c r="Y162" s="161">
        <f t="shared" si="2"/>
        <v>210320</v>
      </c>
      <c r="Z162" s="10"/>
    </row>
    <row r="163" spans="1:26" ht="15.75" customHeight="1">
      <c r="A163" s="129"/>
      <c r="B163" s="151" t="s">
        <v>261</v>
      </c>
      <c r="C163" s="117"/>
      <c r="D163" s="117"/>
      <c r="E163" s="117"/>
      <c r="F163" s="117"/>
      <c r="G163" s="118"/>
      <c r="H163" s="147"/>
      <c r="I163" s="119"/>
      <c r="J163" s="118"/>
      <c r="K163" s="118"/>
      <c r="L163" s="118"/>
      <c r="M163" s="118"/>
      <c r="N163" s="118"/>
      <c r="O163" s="118"/>
      <c r="P163" s="118"/>
      <c r="Q163" s="118"/>
      <c r="R163" s="118"/>
      <c r="S163" s="12"/>
      <c r="T163" s="12">
        <f>4*20000</f>
        <v>80000</v>
      </c>
      <c r="U163" s="12"/>
      <c r="V163" s="12"/>
      <c r="W163" s="12"/>
      <c r="X163" s="12"/>
      <c r="Y163" s="161">
        <f t="shared" si="2"/>
        <v>80000</v>
      </c>
      <c r="Z163" s="10"/>
    </row>
    <row r="164" spans="1:26" ht="15.75" customHeight="1">
      <c r="A164" s="129"/>
      <c r="B164" s="151" t="s">
        <v>231</v>
      </c>
      <c r="C164" s="117"/>
      <c r="D164" s="117"/>
      <c r="E164" s="117"/>
      <c r="F164" s="117"/>
      <c r="G164" s="118"/>
      <c r="H164" s="147"/>
      <c r="I164" s="119"/>
      <c r="J164" s="118"/>
      <c r="K164" s="118"/>
      <c r="L164" s="118"/>
      <c r="M164" s="118"/>
      <c r="N164" s="118"/>
      <c r="O164" s="118"/>
      <c r="P164" s="118"/>
      <c r="Q164" s="118"/>
      <c r="R164" s="118"/>
      <c r="S164" s="12"/>
      <c r="T164" s="12"/>
      <c r="U164" s="12">
        <v>40000</v>
      </c>
      <c r="V164" s="12"/>
      <c r="W164" s="12"/>
      <c r="X164" s="12"/>
      <c r="Y164" s="161">
        <f t="shared" si="2"/>
        <v>40000</v>
      </c>
      <c r="Z164" s="10"/>
    </row>
    <row r="165" spans="1:26" ht="15.75" customHeight="1">
      <c r="A165" s="129">
        <v>45746</v>
      </c>
      <c r="B165" s="151" t="s">
        <v>205</v>
      </c>
      <c r="C165" s="117">
        <v>70000000</v>
      </c>
      <c r="D165" s="117"/>
      <c r="E165" s="117"/>
      <c r="F165" s="117"/>
      <c r="G165" s="118"/>
      <c r="H165" s="147"/>
      <c r="I165" s="119"/>
      <c r="J165" s="118"/>
      <c r="K165" s="118"/>
      <c r="L165" s="118"/>
      <c r="M165" s="118"/>
      <c r="N165" s="118"/>
      <c r="O165" s="118"/>
      <c r="P165" s="118"/>
      <c r="Q165" s="118"/>
      <c r="R165" s="118"/>
      <c r="S165" s="12"/>
      <c r="T165" s="12"/>
      <c r="U165" s="12"/>
      <c r="V165" s="12"/>
      <c r="W165" s="12"/>
      <c r="X165" s="12"/>
      <c r="Y165" s="161">
        <f t="shared" si="2"/>
        <v>0</v>
      </c>
      <c r="Z165" s="10"/>
    </row>
    <row r="166" spans="1:26" ht="15.75" customHeight="1">
      <c r="A166" s="129"/>
      <c r="B166" s="151" t="s">
        <v>262</v>
      </c>
      <c r="C166" s="117"/>
      <c r="D166" s="117"/>
      <c r="E166" s="117"/>
      <c r="F166" s="117"/>
      <c r="G166" s="118"/>
      <c r="H166" s="147"/>
      <c r="I166" s="119"/>
      <c r="J166" s="118"/>
      <c r="K166" s="118"/>
      <c r="L166" s="118"/>
      <c r="M166" s="118"/>
      <c r="N166" s="118"/>
      <c r="O166" s="118"/>
      <c r="P166" s="118"/>
      <c r="Q166" s="118">
        <v>4000000</v>
      </c>
      <c r="R166" s="118"/>
      <c r="S166" s="12"/>
      <c r="T166" s="12"/>
      <c r="U166" s="12"/>
      <c r="V166" s="12"/>
      <c r="W166" s="12"/>
      <c r="X166" s="12"/>
      <c r="Y166" s="161">
        <f t="shared" si="2"/>
        <v>4000000</v>
      </c>
      <c r="Z166" s="10"/>
    </row>
    <row r="167" spans="1:26" ht="15.75" customHeight="1">
      <c r="A167" s="129"/>
      <c r="B167" s="151" t="s">
        <v>263</v>
      </c>
      <c r="C167" s="117"/>
      <c r="D167" s="117"/>
      <c r="E167" s="117"/>
      <c r="F167" s="117"/>
      <c r="G167" s="118"/>
      <c r="H167" s="147"/>
      <c r="I167" s="119"/>
      <c r="J167" s="118"/>
      <c r="K167" s="118"/>
      <c r="L167" s="118"/>
      <c r="M167" s="118"/>
      <c r="N167" s="118"/>
      <c r="O167" s="118"/>
      <c r="P167" s="118"/>
      <c r="Q167" s="118">
        <v>4000000</v>
      </c>
      <c r="R167" s="118"/>
      <c r="S167" s="12"/>
      <c r="T167" s="12"/>
      <c r="U167" s="12"/>
      <c r="V167" s="12"/>
      <c r="W167" s="12"/>
      <c r="X167" s="12"/>
      <c r="Y167" s="161">
        <f t="shared" si="2"/>
        <v>4000000</v>
      </c>
      <c r="Z167" s="10"/>
    </row>
    <row r="168" spans="1:26" ht="15.75" customHeight="1">
      <c r="A168" s="129"/>
      <c r="B168" s="151" t="s">
        <v>264</v>
      </c>
      <c r="C168" s="117"/>
      <c r="D168" s="117"/>
      <c r="E168" s="117"/>
      <c r="F168" s="117"/>
      <c r="G168" s="118"/>
      <c r="H168" s="147"/>
      <c r="I168" s="119"/>
      <c r="J168" s="118"/>
      <c r="K168" s="118"/>
      <c r="L168" s="118"/>
      <c r="M168" s="118"/>
      <c r="N168" s="118"/>
      <c r="O168" s="118"/>
      <c r="P168" s="118"/>
      <c r="Q168" s="118"/>
      <c r="R168" s="118"/>
      <c r="S168" s="12"/>
      <c r="T168" s="12"/>
      <c r="U168" s="12"/>
      <c r="V168" s="12"/>
      <c r="W168" s="12"/>
      <c r="X168" s="12">
        <v>50000</v>
      </c>
      <c r="Y168" s="161">
        <f t="shared" si="2"/>
        <v>50000</v>
      </c>
      <c r="Z168" s="10"/>
    </row>
    <row r="169" spans="1:26" ht="15.75" customHeight="1">
      <c r="A169" s="129"/>
      <c r="B169" s="151" t="s">
        <v>265</v>
      </c>
      <c r="C169" s="117"/>
      <c r="D169" s="117"/>
      <c r="E169" s="117"/>
      <c r="F169" s="117"/>
      <c r="G169" s="118"/>
      <c r="H169" s="147"/>
      <c r="I169" s="119"/>
      <c r="J169" s="118"/>
      <c r="K169" s="118"/>
      <c r="L169" s="118"/>
      <c r="M169" s="118"/>
      <c r="N169" s="118"/>
      <c r="O169" s="118"/>
      <c r="P169" s="118"/>
      <c r="Q169" s="118"/>
      <c r="R169" s="118"/>
      <c r="S169" s="12"/>
      <c r="T169" s="12">
        <v>200000</v>
      </c>
      <c r="U169" s="12"/>
      <c r="V169" s="12"/>
      <c r="W169" s="12"/>
      <c r="X169" s="12"/>
      <c r="Y169" s="161">
        <f t="shared" si="2"/>
        <v>200000</v>
      </c>
      <c r="Z169" s="10"/>
    </row>
    <row r="170" spans="1:26" ht="15.75" customHeight="1">
      <c r="A170" s="129"/>
      <c r="B170" s="151" t="s">
        <v>266</v>
      </c>
      <c r="C170" s="117"/>
      <c r="D170" s="117"/>
      <c r="E170" s="117"/>
      <c r="F170" s="117"/>
      <c r="G170" s="118"/>
      <c r="H170" s="147"/>
      <c r="I170" s="119"/>
      <c r="J170" s="118"/>
      <c r="K170" s="118"/>
      <c r="L170" s="118"/>
      <c r="M170" s="118"/>
      <c r="N170" s="118"/>
      <c r="O170" s="118"/>
      <c r="P170" s="118"/>
      <c r="Q170" s="118"/>
      <c r="R170" s="118"/>
      <c r="S170" s="12"/>
      <c r="T170" s="12"/>
      <c r="U170" s="12">
        <v>45000</v>
      </c>
      <c r="V170" s="12"/>
      <c r="W170" s="12"/>
      <c r="X170" s="12"/>
      <c r="Y170" s="161">
        <f t="shared" si="2"/>
        <v>45000</v>
      </c>
      <c r="Z170" s="10"/>
    </row>
    <row r="171" spans="1:26" ht="15.75" customHeight="1">
      <c r="A171" s="129"/>
      <c r="B171" s="151" t="s">
        <v>267</v>
      </c>
      <c r="C171" s="117"/>
      <c r="D171" s="117"/>
      <c r="E171" s="117"/>
      <c r="F171" s="117"/>
      <c r="G171" s="118"/>
      <c r="H171" s="147"/>
      <c r="I171" s="119"/>
      <c r="J171" s="118"/>
      <c r="K171" s="118"/>
      <c r="L171" s="118"/>
      <c r="M171" s="118"/>
      <c r="N171" s="118"/>
      <c r="O171" s="118"/>
      <c r="P171" s="118"/>
      <c r="Q171" s="118"/>
      <c r="R171" s="118"/>
      <c r="S171" s="12"/>
      <c r="T171" s="12"/>
      <c r="U171" s="12"/>
      <c r="V171" s="12"/>
      <c r="W171" s="12"/>
      <c r="X171" s="12">
        <v>40000</v>
      </c>
      <c r="Y171" s="161">
        <f t="shared" si="2"/>
        <v>40000</v>
      </c>
      <c r="Z171" s="10"/>
    </row>
    <row r="172" spans="1:26" ht="15.75" customHeight="1">
      <c r="A172" s="129">
        <v>45748</v>
      </c>
      <c r="B172" s="151" t="s">
        <v>268</v>
      </c>
      <c r="C172" s="117"/>
      <c r="D172" s="117"/>
      <c r="E172" s="117"/>
      <c r="F172" s="117"/>
      <c r="G172" s="118"/>
      <c r="H172" s="147"/>
      <c r="I172" s="119"/>
      <c r="J172" s="118"/>
      <c r="K172" s="118"/>
      <c r="L172" s="118"/>
      <c r="M172" s="118"/>
      <c r="N172" s="118"/>
      <c r="O172" s="118"/>
      <c r="P172" s="118"/>
      <c r="Q172" s="118">
        <v>4000000</v>
      </c>
      <c r="R172" s="118"/>
      <c r="S172" s="12"/>
      <c r="T172" s="12"/>
      <c r="U172" s="12"/>
      <c r="V172" s="12"/>
      <c r="W172" s="12"/>
      <c r="X172" s="12"/>
      <c r="Y172" s="161">
        <f t="shared" si="2"/>
        <v>4000000</v>
      </c>
      <c r="Z172" s="10"/>
    </row>
    <row r="173" spans="1:26" ht="15.75" customHeight="1">
      <c r="A173" s="129"/>
      <c r="B173" s="151" t="s">
        <v>269</v>
      </c>
      <c r="C173" s="117"/>
      <c r="D173" s="117"/>
      <c r="E173" s="117"/>
      <c r="F173" s="117"/>
      <c r="G173" s="118"/>
      <c r="H173" s="147"/>
      <c r="I173" s="119"/>
      <c r="J173" s="118"/>
      <c r="K173" s="118"/>
      <c r="L173" s="118"/>
      <c r="M173" s="118"/>
      <c r="N173" s="118"/>
      <c r="O173" s="118"/>
      <c r="P173" s="118"/>
      <c r="Q173" s="118">
        <v>4000000</v>
      </c>
      <c r="R173" s="118"/>
      <c r="S173" s="12"/>
      <c r="T173" s="12"/>
      <c r="U173" s="12"/>
      <c r="V173" s="12"/>
      <c r="W173" s="12"/>
      <c r="X173" s="12"/>
      <c r="Y173" s="161">
        <f t="shared" si="2"/>
        <v>4000000</v>
      </c>
      <c r="Z173" s="10"/>
    </row>
    <row r="174" spans="1:26" ht="15.75" customHeight="1">
      <c r="A174" s="129"/>
      <c r="B174" s="151" t="s">
        <v>235</v>
      </c>
      <c r="C174" s="117"/>
      <c r="D174" s="117"/>
      <c r="E174" s="117"/>
      <c r="F174" s="117"/>
      <c r="G174" s="118"/>
      <c r="H174" s="147"/>
      <c r="I174" s="119"/>
      <c r="J174" s="118"/>
      <c r="K174" s="118"/>
      <c r="L174" s="118"/>
      <c r="M174" s="118"/>
      <c r="N174" s="118"/>
      <c r="O174" s="118"/>
      <c r="P174" s="118"/>
      <c r="Q174" s="118"/>
      <c r="R174" s="118"/>
      <c r="S174" s="12"/>
      <c r="T174" s="12">
        <f>51*17000</f>
        <v>867000</v>
      </c>
      <c r="U174" s="12"/>
      <c r="V174" s="12"/>
      <c r="W174" s="12"/>
      <c r="X174" s="12"/>
      <c r="Y174" s="161">
        <f t="shared" si="2"/>
        <v>867000</v>
      </c>
      <c r="Z174" s="10"/>
    </row>
    <row r="175" spans="1:26" ht="15.75" customHeight="1">
      <c r="A175" s="129"/>
      <c r="B175" s="151" t="s">
        <v>270</v>
      </c>
      <c r="C175" s="117"/>
      <c r="D175" s="117"/>
      <c r="E175" s="117"/>
      <c r="F175" s="117"/>
      <c r="G175" s="118"/>
      <c r="H175" s="147"/>
      <c r="I175" s="119"/>
      <c r="J175" s="118"/>
      <c r="K175" s="118"/>
      <c r="L175" s="118"/>
      <c r="M175" s="118"/>
      <c r="N175" s="118"/>
      <c r="O175" s="118"/>
      <c r="P175" s="118"/>
      <c r="Q175" s="118"/>
      <c r="R175" s="118"/>
      <c r="S175" s="12"/>
      <c r="T175" s="12"/>
      <c r="U175" s="12">
        <v>236000</v>
      </c>
      <c r="V175" s="12"/>
      <c r="W175" s="12"/>
      <c r="X175" s="12"/>
      <c r="Y175" s="161">
        <f t="shared" si="2"/>
        <v>236000</v>
      </c>
      <c r="Z175" s="10"/>
    </row>
    <row r="176" spans="1:26" ht="15.75" customHeight="1">
      <c r="A176" s="129"/>
      <c r="B176" s="151" t="s">
        <v>271</v>
      </c>
      <c r="C176" s="117"/>
      <c r="D176" s="117"/>
      <c r="E176" s="117"/>
      <c r="F176" s="117"/>
      <c r="G176" s="118"/>
      <c r="H176" s="147"/>
      <c r="I176" s="119"/>
      <c r="J176" s="118"/>
      <c r="K176" s="118"/>
      <c r="L176" s="118"/>
      <c r="M176" s="118"/>
      <c r="N176" s="118"/>
      <c r="O176" s="118"/>
      <c r="P176" s="118"/>
      <c r="Q176" s="118"/>
      <c r="R176" s="118"/>
      <c r="S176" s="12"/>
      <c r="T176" s="12">
        <f>4*20000</f>
        <v>80000</v>
      </c>
      <c r="U176" s="12"/>
      <c r="V176" s="12"/>
      <c r="W176" s="12"/>
      <c r="X176" s="12"/>
      <c r="Y176" s="161">
        <f t="shared" si="2"/>
        <v>80000</v>
      </c>
      <c r="Z176" s="10"/>
    </row>
    <row r="177" spans="1:26" ht="15.75" customHeight="1">
      <c r="A177" s="129"/>
      <c r="B177" s="151" t="s">
        <v>272</v>
      </c>
      <c r="C177" s="117"/>
      <c r="D177" s="117"/>
      <c r="E177" s="117"/>
      <c r="F177" s="117"/>
      <c r="G177" s="118"/>
      <c r="H177" s="147"/>
      <c r="I177" s="119"/>
      <c r="J177" s="118"/>
      <c r="K177" s="118"/>
      <c r="L177" s="118"/>
      <c r="M177" s="118"/>
      <c r="N177" s="118"/>
      <c r="O177" s="118"/>
      <c r="P177" s="118"/>
      <c r="Q177" s="118"/>
      <c r="R177" s="118"/>
      <c r="S177" s="12"/>
      <c r="T177" s="12">
        <v>300000</v>
      </c>
      <c r="U177" s="12"/>
      <c r="V177" s="12"/>
      <c r="W177" s="12"/>
      <c r="X177" s="12"/>
      <c r="Y177" s="161">
        <f t="shared" si="2"/>
        <v>300000</v>
      </c>
      <c r="Z177" s="10"/>
    </row>
    <row r="178" spans="1:26" ht="15.75" customHeight="1">
      <c r="A178" s="129">
        <v>45749</v>
      </c>
      <c r="B178" s="151" t="s">
        <v>235</v>
      </c>
      <c r="C178" s="117"/>
      <c r="D178" s="117"/>
      <c r="E178" s="117"/>
      <c r="F178" s="117"/>
      <c r="G178" s="118"/>
      <c r="H178" s="147"/>
      <c r="I178" s="119"/>
      <c r="J178" s="118"/>
      <c r="K178" s="118"/>
      <c r="L178" s="118"/>
      <c r="M178" s="118"/>
      <c r="N178" s="118"/>
      <c r="O178" s="118"/>
      <c r="P178" s="118"/>
      <c r="Q178" s="118"/>
      <c r="R178" s="118"/>
      <c r="S178" s="12"/>
      <c r="T178" s="12">
        <f>51*17000</f>
        <v>867000</v>
      </c>
      <c r="U178" s="12"/>
      <c r="V178" s="12"/>
      <c r="W178" s="12"/>
      <c r="X178" s="12"/>
      <c r="Y178" s="161">
        <f t="shared" si="2"/>
        <v>867000</v>
      </c>
      <c r="Z178" s="10"/>
    </row>
    <row r="179" spans="1:26" ht="15.75" customHeight="1">
      <c r="A179" s="129"/>
      <c r="B179" s="151" t="s">
        <v>273</v>
      </c>
      <c r="C179" s="117"/>
      <c r="D179" s="117"/>
      <c r="E179" s="117"/>
      <c r="F179" s="117"/>
      <c r="G179" s="118"/>
      <c r="H179" s="147"/>
      <c r="I179" s="119"/>
      <c r="J179" s="118"/>
      <c r="K179" s="118"/>
      <c r="L179" s="118"/>
      <c r="M179" s="118"/>
      <c r="N179" s="118"/>
      <c r="O179" s="118"/>
      <c r="P179" s="118"/>
      <c r="Q179" s="118"/>
      <c r="R179" s="118"/>
      <c r="S179" s="12"/>
      <c r="T179" s="12">
        <f>5*20000</f>
        <v>100000</v>
      </c>
      <c r="U179" s="12"/>
      <c r="V179" s="12"/>
      <c r="W179" s="12"/>
      <c r="X179" s="12"/>
      <c r="Y179" s="161">
        <f t="shared" si="2"/>
        <v>100000</v>
      </c>
      <c r="Z179" s="10"/>
    </row>
    <row r="180" spans="1:26" ht="15.75" customHeight="1">
      <c r="A180" s="129"/>
      <c r="B180" s="151" t="s">
        <v>260</v>
      </c>
      <c r="C180" s="117"/>
      <c r="D180" s="117"/>
      <c r="E180" s="117"/>
      <c r="F180" s="117"/>
      <c r="G180" s="118"/>
      <c r="H180" s="147"/>
      <c r="I180" s="119"/>
      <c r="J180" s="118"/>
      <c r="K180" s="118"/>
      <c r="L180" s="118"/>
      <c r="M180" s="118"/>
      <c r="N180" s="118"/>
      <c r="O180" s="118"/>
      <c r="P180" s="118"/>
      <c r="Q180" s="118"/>
      <c r="R180" s="118"/>
      <c r="S180" s="12"/>
      <c r="T180" s="12">
        <f>2*20000</f>
        <v>40000</v>
      </c>
      <c r="U180" s="12"/>
      <c r="V180" s="12"/>
      <c r="W180" s="12"/>
      <c r="X180" s="12"/>
      <c r="Y180" s="161">
        <f t="shared" si="2"/>
        <v>40000</v>
      </c>
      <c r="Z180" s="10"/>
    </row>
    <row r="181" spans="1:26" ht="15.75" customHeight="1">
      <c r="A181" s="129"/>
      <c r="B181" s="151" t="s">
        <v>274</v>
      </c>
      <c r="C181" s="117"/>
      <c r="D181" s="117"/>
      <c r="E181" s="117"/>
      <c r="F181" s="117"/>
      <c r="G181" s="118"/>
      <c r="H181" s="147"/>
      <c r="I181" s="119"/>
      <c r="J181" s="118">
        <v>102000</v>
      </c>
      <c r="K181" s="118"/>
      <c r="L181" s="118"/>
      <c r="M181" s="118"/>
      <c r="N181" s="118"/>
      <c r="O181" s="118"/>
      <c r="P181" s="118"/>
      <c r="Q181" s="118"/>
      <c r="R181" s="118"/>
      <c r="S181" s="12"/>
      <c r="T181" s="12"/>
      <c r="U181" s="12"/>
      <c r="V181" s="12"/>
      <c r="W181" s="12"/>
      <c r="X181" s="12"/>
      <c r="Y181" s="161">
        <f t="shared" si="2"/>
        <v>102000</v>
      </c>
      <c r="Z181" s="10"/>
    </row>
    <row r="182" spans="1:26" ht="15.75" customHeight="1">
      <c r="A182" s="129"/>
      <c r="B182" s="151" t="s">
        <v>275</v>
      </c>
      <c r="C182" s="117"/>
      <c r="D182" s="117"/>
      <c r="E182" s="117"/>
      <c r="F182" s="117"/>
      <c r="G182" s="118"/>
      <c r="H182" s="147"/>
      <c r="I182" s="119"/>
      <c r="J182" s="118"/>
      <c r="K182" s="118"/>
      <c r="L182" s="118"/>
      <c r="M182" s="118"/>
      <c r="N182" s="118"/>
      <c r="O182" s="118"/>
      <c r="P182" s="118"/>
      <c r="Q182" s="118"/>
      <c r="R182" s="118"/>
      <c r="S182" s="12"/>
      <c r="T182" s="12"/>
      <c r="U182" s="12"/>
      <c r="V182" s="12"/>
      <c r="W182" s="12"/>
      <c r="X182" s="12">
        <v>102000</v>
      </c>
      <c r="Y182" s="161">
        <f t="shared" si="2"/>
        <v>102000</v>
      </c>
      <c r="Z182" s="10"/>
    </row>
    <row r="183" spans="1:26" ht="15.75" customHeight="1">
      <c r="A183" s="129">
        <v>45749</v>
      </c>
      <c r="B183" s="151" t="s">
        <v>276</v>
      </c>
      <c r="C183" s="117"/>
      <c r="D183" s="117"/>
      <c r="E183" s="117"/>
      <c r="F183" s="117"/>
      <c r="G183" s="118"/>
      <c r="H183" s="147"/>
      <c r="I183" s="119">
        <f>11*35000</f>
        <v>385000</v>
      </c>
      <c r="J183" s="118"/>
      <c r="K183" s="118"/>
      <c r="L183" s="118"/>
      <c r="M183" s="118"/>
      <c r="N183" s="118"/>
      <c r="O183" s="118"/>
      <c r="P183" s="118"/>
      <c r="Q183" s="118"/>
      <c r="R183" s="118"/>
      <c r="S183" s="12"/>
      <c r="T183" s="12"/>
      <c r="U183" s="12"/>
      <c r="V183" s="12"/>
      <c r="W183" s="12"/>
      <c r="X183" s="12"/>
      <c r="Y183" s="161">
        <f t="shared" si="2"/>
        <v>385000</v>
      </c>
      <c r="Z183" s="10"/>
    </row>
    <row r="184" spans="1:26" ht="15.75" customHeight="1">
      <c r="A184" s="129"/>
      <c r="B184" s="151" t="s">
        <v>277</v>
      </c>
      <c r="C184" s="117"/>
      <c r="D184" s="117"/>
      <c r="E184" s="117"/>
      <c r="F184" s="117"/>
      <c r="G184" s="118"/>
      <c r="H184" s="147"/>
      <c r="I184" s="119"/>
      <c r="J184" s="118"/>
      <c r="K184" s="118"/>
      <c r="L184" s="118"/>
      <c r="M184" s="118"/>
      <c r="N184" s="118"/>
      <c r="O184" s="118"/>
      <c r="P184" s="118"/>
      <c r="Q184" s="118"/>
      <c r="R184" s="118"/>
      <c r="S184" s="12"/>
      <c r="T184" s="12">
        <v>479000</v>
      </c>
      <c r="U184" s="12"/>
      <c r="V184" s="12"/>
      <c r="W184" s="12"/>
      <c r="X184" s="12"/>
      <c r="Y184" s="161">
        <f t="shared" si="2"/>
        <v>479000</v>
      </c>
      <c r="Z184" s="10"/>
    </row>
    <row r="185" spans="1:26" ht="15.75" customHeight="1">
      <c r="A185" s="129"/>
      <c r="B185" s="151" t="s">
        <v>278</v>
      </c>
      <c r="C185" s="117"/>
      <c r="D185" s="117"/>
      <c r="E185" s="117"/>
      <c r="F185" s="117"/>
      <c r="G185" s="118"/>
      <c r="H185" s="147"/>
      <c r="I185" s="119"/>
      <c r="J185" s="118"/>
      <c r="K185" s="118"/>
      <c r="L185" s="118"/>
      <c r="M185" s="118"/>
      <c r="N185" s="118"/>
      <c r="O185" s="118"/>
      <c r="P185" s="118"/>
      <c r="Q185" s="118"/>
      <c r="R185" s="118"/>
      <c r="S185" s="12"/>
      <c r="T185" s="12">
        <v>470000</v>
      </c>
      <c r="U185" s="12"/>
      <c r="V185" s="12"/>
      <c r="W185" s="12"/>
      <c r="X185" s="12"/>
      <c r="Y185" s="161">
        <f t="shared" si="2"/>
        <v>470000</v>
      </c>
      <c r="Z185" s="10"/>
    </row>
    <row r="186" spans="1:26" ht="15.75" customHeight="1">
      <c r="A186" s="129"/>
      <c r="B186" s="151" t="s">
        <v>279</v>
      </c>
      <c r="C186" s="117"/>
      <c r="D186" s="117"/>
      <c r="E186" s="117"/>
      <c r="F186" s="117"/>
      <c r="G186" s="118"/>
      <c r="H186" s="147"/>
      <c r="I186" s="119"/>
      <c r="J186" s="118"/>
      <c r="K186" s="118"/>
      <c r="L186" s="118"/>
      <c r="M186" s="118"/>
      <c r="N186" s="118"/>
      <c r="O186" s="118"/>
      <c r="P186" s="118"/>
      <c r="Q186" s="118"/>
      <c r="R186" s="118"/>
      <c r="S186" s="12"/>
      <c r="T186" s="12"/>
      <c r="U186" s="12"/>
      <c r="V186" s="12"/>
      <c r="W186" s="12"/>
      <c r="X186" s="12">
        <v>100000</v>
      </c>
      <c r="Y186" s="161">
        <f t="shared" si="2"/>
        <v>100000</v>
      </c>
      <c r="Z186" s="10"/>
    </row>
    <row r="187" spans="1:26" ht="15.75" customHeight="1">
      <c r="A187" s="129">
        <v>45750</v>
      </c>
      <c r="B187" s="151" t="s">
        <v>281</v>
      </c>
      <c r="C187" s="117"/>
      <c r="D187" s="117"/>
      <c r="E187" s="117"/>
      <c r="F187" s="117"/>
      <c r="G187" s="118">
        <f>8*3000</f>
        <v>24000</v>
      </c>
      <c r="H187" s="147"/>
      <c r="I187" s="119"/>
      <c r="J187" s="118"/>
      <c r="K187" s="118"/>
      <c r="L187" s="118"/>
      <c r="M187" s="118"/>
      <c r="N187" s="118"/>
      <c r="O187" s="118"/>
      <c r="P187" s="118"/>
      <c r="Q187" s="118"/>
      <c r="R187" s="118"/>
      <c r="S187" s="12"/>
      <c r="T187" s="12"/>
      <c r="U187" s="12"/>
      <c r="V187" s="12"/>
      <c r="W187" s="12"/>
      <c r="X187" s="12"/>
      <c r="Y187" s="161">
        <f t="shared" si="2"/>
        <v>24000</v>
      </c>
      <c r="Z187" s="10"/>
    </row>
    <row r="188" spans="1:26" ht="15.75" customHeight="1">
      <c r="A188" s="129"/>
      <c r="B188" s="151" t="s">
        <v>280</v>
      </c>
      <c r="C188" s="117"/>
      <c r="D188" s="117"/>
      <c r="E188" s="117"/>
      <c r="F188" s="117"/>
      <c r="G188" s="118">
        <f>8500</f>
        <v>8500</v>
      </c>
      <c r="H188" s="147"/>
      <c r="I188" s="119"/>
      <c r="J188" s="118"/>
      <c r="K188" s="118"/>
      <c r="L188" s="118"/>
      <c r="M188" s="118"/>
      <c r="N188" s="118"/>
      <c r="O188" s="118"/>
      <c r="P188" s="118"/>
      <c r="Q188" s="118"/>
      <c r="R188" s="118"/>
      <c r="S188" s="12"/>
      <c r="T188" s="12"/>
      <c r="U188" s="12"/>
      <c r="V188" s="12"/>
      <c r="W188" s="12"/>
      <c r="X188" s="12"/>
      <c r="Y188" s="161">
        <f t="shared" si="2"/>
        <v>8500</v>
      </c>
      <c r="Z188" s="10"/>
    </row>
    <row r="189" spans="1:26" ht="15.75" customHeight="1">
      <c r="A189" s="129"/>
      <c r="B189" s="151" t="s">
        <v>235</v>
      </c>
      <c r="C189" s="117"/>
      <c r="D189" s="117"/>
      <c r="E189" s="117"/>
      <c r="F189" s="117"/>
      <c r="G189" s="118"/>
      <c r="H189" s="147"/>
      <c r="I189" s="119"/>
      <c r="J189" s="118"/>
      <c r="K189" s="118"/>
      <c r="L189" s="118"/>
      <c r="M189" s="118"/>
      <c r="N189" s="118"/>
      <c r="O189" s="118"/>
      <c r="P189" s="118"/>
      <c r="Q189" s="118"/>
      <c r="R189" s="118"/>
      <c r="S189" s="12"/>
      <c r="T189" s="12">
        <f>51*17000</f>
        <v>867000</v>
      </c>
      <c r="U189" s="12"/>
      <c r="V189" s="12"/>
      <c r="W189" s="12"/>
      <c r="X189" s="12"/>
      <c r="Y189" s="161">
        <f t="shared" si="2"/>
        <v>867000</v>
      </c>
      <c r="Z189" s="10"/>
    </row>
    <row r="190" spans="1:26" ht="15.75" customHeight="1">
      <c r="A190" s="129"/>
      <c r="B190" s="151" t="s">
        <v>282</v>
      </c>
      <c r="C190" s="117"/>
      <c r="D190" s="117"/>
      <c r="E190" s="117"/>
      <c r="F190" s="117"/>
      <c r="G190" s="118"/>
      <c r="H190" s="147"/>
      <c r="I190" s="119"/>
      <c r="J190" s="118"/>
      <c r="K190" s="118"/>
      <c r="L190" s="118"/>
      <c r="M190" s="118"/>
      <c r="N190" s="118"/>
      <c r="O190" s="118"/>
      <c r="P190" s="118"/>
      <c r="Q190" s="118"/>
      <c r="R190" s="118"/>
      <c r="S190" s="12"/>
      <c r="T190" s="12">
        <f>10*20000</f>
        <v>200000</v>
      </c>
      <c r="U190" s="12"/>
      <c r="V190" s="12"/>
      <c r="W190" s="12"/>
      <c r="X190" s="12"/>
      <c r="Y190" s="161">
        <f t="shared" si="2"/>
        <v>200000</v>
      </c>
      <c r="Z190" s="10"/>
    </row>
    <row r="191" spans="1:26" ht="15.75" customHeight="1">
      <c r="A191" s="129"/>
      <c r="B191" s="151" t="s">
        <v>283</v>
      </c>
      <c r="C191" s="117"/>
      <c r="D191" s="117"/>
      <c r="E191" s="117"/>
      <c r="F191" s="117"/>
      <c r="G191" s="118"/>
      <c r="H191" s="147"/>
      <c r="I191" s="119"/>
      <c r="J191" s="118"/>
      <c r="K191" s="118"/>
      <c r="L191" s="118"/>
      <c r="M191" s="118"/>
      <c r="N191" s="118"/>
      <c r="O191" s="118"/>
      <c r="P191" s="118"/>
      <c r="Q191" s="118"/>
      <c r="R191" s="118"/>
      <c r="S191" s="12"/>
      <c r="T191" s="12"/>
      <c r="U191" s="12"/>
      <c r="V191" s="12"/>
      <c r="W191" s="12"/>
      <c r="X191" s="12">
        <v>1520000</v>
      </c>
      <c r="Y191" s="161">
        <f t="shared" si="2"/>
        <v>1520000</v>
      </c>
      <c r="Z191" s="10"/>
    </row>
    <row r="192" spans="1:26" ht="15.75" customHeight="1">
      <c r="A192" s="129"/>
      <c r="B192" s="151" t="s">
        <v>284</v>
      </c>
      <c r="C192" s="117"/>
      <c r="D192" s="117"/>
      <c r="E192" s="117"/>
      <c r="F192" s="117"/>
      <c r="G192" s="118"/>
      <c r="H192" s="147"/>
      <c r="I192" s="119"/>
      <c r="J192" s="118"/>
      <c r="K192" s="118"/>
      <c r="L192" s="118"/>
      <c r="M192" s="118"/>
      <c r="N192" s="118"/>
      <c r="O192" s="118"/>
      <c r="P192" s="118"/>
      <c r="Q192" s="118"/>
      <c r="R192" s="118"/>
      <c r="S192" s="12"/>
      <c r="T192" s="12"/>
      <c r="U192" s="12">
        <f>23230</f>
        <v>23230</v>
      </c>
      <c r="V192" s="12"/>
      <c r="W192" s="12"/>
      <c r="X192" s="12"/>
      <c r="Y192" s="161">
        <f t="shared" si="2"/>
        <v>23230</v>
      </c>
      <c r="Z192" s="10"/>
    </row>
    <row r="193" spans="1:26" ht="15.75" customHeight="1">
      <c r="A193" s="129"/>
      <c r="B193" s="151" t="s">
        <v>285</v>
      </c>
      <c r="C193" s="117"/>
      <c r="D193" s="117"/>
      <c r="E193" s="117"/>
      <c r="F193" s="117"/>
      <c r="G193" s="118"/>
      <c r="H193" s="147"/>
      <c r="I193" s="119"/>
      <c r="J193" s="118"/>
      <c r="K193" s="118"/>
      <c r="L193" s="118"/>
      <c r="M193" s="118"/>
      <c r="N193" s="118"/>
      <c r="O193" s="118"/>
      <c r="P193" s="118"/>
      <c r="Q193" s="118"/>
      <c r="R193" s="118"/>
      <c r="S193" s="12"/>
      <c r="T193" s="12"/>
      <c r="U193" s="12">
        <v>250000</v>
      </c>
      <c r="V193" s="12"/>
      <c r="W193" s="12"/>
      <c r="X193" s="12"/>
      <c r="Y193" s="161">
        <f t="shared" si="2"/>
        <v>250000</v>
      </c>
      <c r="Z193" s="10"/>
    </row>
    <row r="194" spans="1:26" ht="15.75" customHeight="1">
      <c r="A194" s="129"/>
      <c r="B194" s="151" t="s">
        <v>286</v>
      </c>
      <c r="C194" s="117"/>
      <c r="D194" s="117"/>
      <c r="E194" s="117"/>
      <c r="F194" s="117"/>
      <c r="G194" s="118"/>
      <c r="H194" s="147"/>
      <c r="I194" s="119"/>
      <c r="J194" s="118"/>
      <c r="K194" s="118"/>
      <c r="L194" s="118"/>
      <c r="M194" s="118"/>
      <c r="N194" s="118"/>
      <c r="O194" s="118"/>
      <c r="P194" s="118"/>
      <c r="Q194" s="118"/>
      <c r="R194" s="118"/>
      <c r="S194" s="12"/>
      <c r="T194" s="12">
        <v>68400</v>
      </c>
      <c r="U194" s="12"/>
      <c r="V194" s="12"/>
      <c r="W194" s="12"/>
      <c r="X194" s="12"/>
      <c r="Y194" s="161">
        <f t="shared" si="2"/>
        <v>68400</v>
      </c>
      <c r="Z194" s="10"/>
    </row>
    <row r="195" spans="1:26" ht="15.75" customHeight="1">
      <c r="A195" s="129"/>
      <c r="B195" s="151" t="s">
        <v>287</v>
      </c>
      <c r="C195" s="117"/>
      <c r="D195" s="117"/>
      <c r="E195" s="117"/>
      <c r="F195" s="117"/>
      <c r="G195" s="118"/>
      <c r="H195" s="147"/>
      <c r="I195" s="119"/>
      <c r="J195" s="118"/>
      <c r="K195" s="118"/>
      <c r="L195" s="118"/>
      <c r="M195" s="118"/>
      <c r="N195" s="118"/>
      <c r="O195" s="118"/>
      <c r="P195" s="118"/>
      <c r="Q195" s="118"/>
      <c r="R195" s="118"/>
      <c r="S195" s="12"/>
      <c r="T195" s="12"/>
      <c r="U195" s="12"/>
      <c r="V195" s="12"/>
      <c r="W195" s="12"/>
      <c r="X195" s="12">
        <v>100000</v>
      </c>
      <c r="Y195" s="161">
        <f t="shared" si="2"/>
        <v>100000</v>
      </c>
      <c r="Z195" s="10"/>
    </row>
    <row r="196" spans="1:26" ht="15.75" customHeight="1">
      <c r="A196" s="129">
        <v>45751</v>
      </c>
      <c r="B196" s="151" t="s">
        <v>205</v>
      </c>
      <c r="C196" s="117">
        <v>40000000</v>
      </c>
      <c r="D196" s="117"/>
      <c r="E196" s="117"/>
      <c r="F196" s="117"/>
      <c r="G196" s="118"/>
      <c r="H196" s="147"/>
      <c r="I196" s="119"/>
      <c r="J196" s="118"/>
      <c r="K196" s="118"/>
      <c r="L196" s="118"/>
      <c r="M196" s="118"/>
      <c r="N196" s="118"/>
      <c r="O196" s="118"/>
      <c r="P196" s="118"/>
      <c r="Q196" s="118"/>
      <c r="R196" s="118"/>
      <c r="S196" s="12"/>
      <c r="T196" s="12"/>
      <c r="U196" s="12"/>
      <c r="V196" s="12"/>
      <c r="W196" s="12"/>
      <c r="X196" s="12"/>
      <c r="Y196" s="161">
        <f t="shared" si="2"/>
        <v>0</v>
      </c>
      <c r="Z196" s="10"/>
    </row>
    <row r="197" spans="1:26" ht="15.75" customHeight="1">
      <c r="A197" s="129"/>
      <c r="B197" s="151" t="s">
        <v>235</v>
      </c>
      <c r="C197" s="117"/>
      <c r="D197" s="117"/>
      <c r="E197" s="117"/>
      <c r="F197" s="117"/>
      <c r="G197" s="118"/>
      <c r="H197" s="147"/>
      <c r="I197" s="119"/>
      <c r="J197" s="118"/>
      <c r="K197" s="118"/>
      <c r="L197" s="118"/>
      <c r="M197" s="118"/>
      <c r="N197" s="118"/>
      <c r="O197" s="118"/>
      <c r="P197" s="118"/>
      <c r="Q197" s="118"/>
      <c r="R197" s="118"/>
      <c r="S197" s="12"/>
      <c r="T197" s="12">
        <f>51*17000</f>
        <v>867000</v>
      </c>
      <c r="U197" s="12"/>
      <c r="V197" s="12"/>
      <c r="W197" s="12"/>
      <c r="X197" s="12"/>
      <c r="Y197" s="161">
        <f t="shared" si="2"/>
        <v>867000</v>
      </c>
      <c r="Z197" s="10"/>
    </row>
    <row r="198" spans="1:26" ht="15.75" customHeight="1">
      <c r="A198" s="129"/>
      <c r="B198" s="151" t="s">
        <v>288</v>
      </c>
      <c r="C198" s="117"/>
      <c r="D198" s="117"/>
      <c r="E198" s="117"/>
      <c r="F198" s="117"/>
      <c r="G198" s="118"/>
      <c r="H198" s="147"/>
      <c r="I198" s="119">
        <f>30*6000</f>
        <v>180000</v>
      </c>
      <c r="J198" s="118"/>
      <c r="K198" s="118"/>
      <c r="L198" s="118"/>
      <c r="M198" s="118"/>
      <c r="N198" s="118"/>
      <c r="O198" s="118"/>
      <c r="P198" s="118"/>
      <c r="Q198" s="118"/>
      <c r="R198" s="118"/>
      <c r="S198" s="12"/>
      <c r="T198" s="12"/>
      <c r="U198" s="12"/>
      <c r="V198" s="12"/>
      <c r="W198" s="12"/>
      <c r="X198" s="12"/>
      <c r="Y198" s="161">
        <f t="shared" si="2"/>
        <v>180000</v>
      </c>
      <c r="Z198" s="10"/>
    </row>
    <row r="199" spans="1:26" ht="15.75" customHeight="1">
      <c r="A199" s="129"/>
      <c r="B199" s="151" t="s">
        <v>141</v>
      </c>
      <c r="C199" s="117"/>
      <c r="D199" s="117"/>
      <c r="E199" s="117"/>
      <c r="F199" s="117"/>
      <c r="G199" s="118"/>
      <c r="H199" s="147"/>
      <c r="I199" s="119">
        <f>10*48000</f>
        <v>480000</v>
      </c>
      <c r="J199" s="118"/>
      <c r="K199" s="118"/>
      <c r="L199" s="118"/>
      <c r="M199" s="118"/>
      <c r="N199" s="118"/>
      <c r="O199" s="118"/>
      <c r="P199" s="118"/>
      <c r="Q199" s="118"/>
      <c r="R199" s="118"/>
      <c r="S199" s="12"/>
      <c r="T199" s="12"/>
      <c r="U199" s="12"/>
      <c r="V199" s="12"/>
      <c r="W199" s="12"/>
      <c r="X199" s="12"/>
      <c r="Y199" s="161">
        <f t="shared" ref="Y199:Y258" si="3">E199+F199+G199+H199+I199+J199+K199+L199+M199+N199+O199+P199+Q199+R199+S199+T199+U199+V199+W199+X199</f>
        <v>480000</v>
      </c>
      <c r="Z199" s="10"/>
    </row>
    <row r="200" spans="1:26" ht="15.75" customHeight="1">
      <c r="A200" s="129"/>
      <c r="B200" s="151" t="s">
        <v>289</v>
      </c>
      <c r="C200" s="117"/>
      <c r="D200" s="117"/>
      <c r="E200" s="117"/>
      <c r="F200" s="117"/>
      <c r="G200" s="118"/>
      <c r="H200" s="147"/>
      <c r="I200" s="119">
        <f>2*79000</f>
        <v>158000</v>
      </c>
      <c r="J200" s="118"/>
      <c r="K200" s="118"/>
      <c r="L200" s="118"/>
      <c r="M200" s="118"/>
      <c r="N200" s="118"/>
      <c r="O200" s="118"/>
      <c r="P200" s="118"/>
      <c r="Q200" s="118"/>
      <c r="R200" s="118"/>
      <c r="S200" s="12"/>
      <c r="T200" s="12">
        <f>10*20000</f>
        <v>200000</v>
      </c>
      <c r="U200" s="12"/>
      <c r="V200" s="12"/>
      <c r="W200" s="12"/>
      <c r="X200" s="12"/>
      <c r="Y200" s="161">
        <f t="shared" si="3"/>
        <v>358000</v>
      </c>
      <c r="Z200" s="10"/>
    </row>
    <row r="201" spans="1:26" ht="15.75" customHeight="1">
      <c r="A201" s="129"/>
      <c r="B201" s="151" t="s">
        <v>290</v>
      </c>
      <c r="C201" s="117"/>
      <c r="D201" s="117"/>
      <c r="E201" s="117"/>
      <c r="F201" s="117"/>
      <c r="G201" s="118"/>
      <c r="H201" s="147"/>
      <c r="I201" s="119"/>
      <c r="J201" s="118"/>
      <c r="K201" s="118"/>
      <c r="L201" s="118"/>
      <c r="M201" s="118"/>
      <c r="N201" s="118"/>
      <c r="O201" s="118"/>
      <c r="P201" s="118"/>
      <c r="Q201" s="118"/>
      <c r="R201" s="118"/>
      <c r="S201" s="12"/>
      <c r="T201" s="12"/>
      <c r="U201" s="12"/>
      <c r="V201" s="12"/>
      <c r="W201" s="12"/>
      <c r="X201" s="12">
        <v>59500</v>
      </c>
      <c r="Y201" s="161">
        <f t="shared" si="3"/>
        <v>59500</v>
      </c>
      <c r="Z201" s="10"/>
    </row>
    <row r="202" spans="1:26" ht="15.75" customHeight="1">
      <c r="A202" s="129">
        <v>45752</v>
      </c>
      <c r="B202" s="151" t="s">
        <v>291</v>
      </c>
      <c r="C202" s="117"/>
      <c r="D202" s="117"/>
      <c r="E202" s="117"/>
      <c r="F202" s="117"/>
      <c r="G202" s="118">
        <f>2*17500</f>
        <v>35000</v>
      </c>
      <c r="H202" s="147"/>
      <c r="I202" s="119"/>
      <c r="J202" s="118"/>
      <c r="K202" s="118"/>
      <c r="L202" s="118"/>
      <c r="M202" s="118"/>
      <c r="N202" s="118"/>
      <c r="O202" s="118"/>
      <c r="P202" s="118"/>
      <c r="Q202" s="118"/>
      <c r="R202" s="118"/>
      <c r="S202" s="12"/>
      <c r="T202" s="12"/>
      <c r="U202" s="12"/>
      <c r="V202" s="12"/>
      <c r="W202" s="12"/>
      <c r="X202" s="12"/>
      <c r="Y202" s="161">
        <f t="shared" si="3"/>
        <v>35000</v>
      </c>
      <c r="Z202" s="10"/>
    </row>
    <row r="203" spans="1:26" ht="15.75" customHeight="1">
      <c r="A203" s="129"/>
      <c r="B203" s="151" t="s">
        <v>292</v>
      </c>
      <c r="C203" s="117"/>
      <c r="D203" s="117"/>
      <c r="E203" s="117"/>
      <c r="F203" s="117"/>
      <c r="G203" s="118"/>
      <c r="H203" s="147"/>
      <c r="I203" s="119"/>
      <c r="J203" s="118">
        <f>3*16500</f>
        <v>49500</v>
      </c>
      <c r="K203" s="118"/>
      <c r="L203" s="118"/>
      <c r="M203" s="118"/>
      <c r="N203" s="118"/>
      <c r="O203" s="118"/>
      <c r="P203" s="118"/>
      <c r="Q203" s="118"/>
      <c r="R203" s="118"/>
      <c r="S203" s="12"/>
      <c r="T203" s="12"/>
      <c r="U203" s="12"/>
      <c r="V203" s="12"/>
      <c r="W203" s="12"/>
      <c r="X203" s="12"/>
      <c r="Y203" s="161">
        <f t="shared" si="3"/>
        <v>49500</v>
      </c>
      <c r="Z203" s="10"/>
    </row>
    <row r="204" spans="1:26" ht="15.75" customHeight="1">
      <c r="A204" s="129"/>
      <c r="B204" s="151" t="s">
        <v>293</v>
      </c>
      <c r="C204" s="117"/>
      <c r="D204" s="117"/>
      <c r="E204" s="117"/>
      <c r="F204" s="117"/>
      <c r="G204" s="118">
        <f>4*14500</f>
        <v>58000</v>
      </c>
      <c r="H204" s="147"/>
      <c r="I204" s="119"/>
      <c r="J204" s="118"/>
      <c r="K204" s="118"/>
      <c r="L204" s="118"/>
      <c r="M204" s="118"/>
      <c r="N204" s="118"/>
      <c r="O204" s="118"/>
      <c r="P204" s="118"/>
      <c r="Q204" s="118"/>
      <c r="R204" s="118"/>
      <c r="S204" s="12"/>
      <c r="T204" s="12"/>
      <c r="U204" s="12"/>
      <c r="V204" s="12"/>
      <c r="W204" s="12"/>
      <c r="X204" s="12"/>
      <c r="Y204" s="161">
        <f t="shared" si="3"/>
        <v>58000</v>
      </c>
      <c r="Z204" s="10"/>
    </row>
    <row r="205" spans="1:26" ht="15.75" customHeight="1">
      <c r="A205" s="129"/>
      <c r="B205" s="151" t="s">
        <v>294</v>
      </c>
      <c r="C205" s="117"/>
      <c r="D205" s="117"/>
      <c r="E205" s="117"/>
      <c r="F205" s="117"/>
      <c r="G205" s="118">
        <f>4*100000</f>
        <v>400000</v>
      </c>
      <c r="H205" s="147"/>
      <c r="I205" s="119"/>
      <c r="J205" s="118"/>
      <c r="K205" s="118"/>
      <c r="L205" s="118"/>
      <c r="M205" s="118"/>
      <c r="N205" s="118"/>
      <c r="O205" s="118"/>
      <c r="P205" s="118"/>
      <c r="Q205" s="118"/>
      <c r="R205" s="118"/>
      <c r="S205" s="12"/>
      <c r="T205" s="12"/>
      <c r="U205" s="12"/>
      <c r="V205" s="12"/>
      <c r="W205" s="12"/>
      <c r="X205" s="12"/>
      <c r="Y205" s="161">
        <f t="shared" si="3"/>
        <v>400000</v>
      </c>
      <c r="Z205" s="10"/>
    </row>
    <row r="206" spans="1:26" ht="15.75" customHeight="1">
      <c r="A206" s="129"/>
      <c r="B206" s="151" t="s">
        <v>295</v>
      </c>
      <c r="C206" s="117"/>
      <c r="D206" s="117"/>
      <c r="E206" s="117"/>
      <c r="F206" s="117"/>
      <c r="G206" s="118"/>
      <c r="H206" s="147"/>
      <c r="I206" s="119"/>
      <c r="J206" s="118"/>
      <c r="K206" s="118"/>
      <c r="L206" s="118"/>
      <c r="M206" s="118"/>
      <c r="N206" s="118"/>
      <c r="O206" s="118"/>
      <c r="P206" s="118"/>
      <c r="Q206" s="118"/>
      <c r="R206" s="118"/>
      <c r="S206" s="12"/>
      <c r="T206" s="12"/>
      <c r="U206" s="12">
        <v>40000</v>
      </c>
      <c r="V206" s="12"/>
      <c r="W206" s="12"/>
      <c r="X206" s="12"/>
      <c r="Y206" s="161">
        <f t="shared" si="3"/>
        <v>40000</v>
      </c>
      <c r="Z206" s="10"/>
    </row>
    <row r="207" spans="1:26" ht="15.75" customHeight="1">
      <c r="A207" s="129"/>
      <c r="B207" s="151" t="s">
        <v>235</v>
      </c>
      <c r="C207" s="117"/>
      <c r="D207" s="117"/>
      <c r="E207" s="117"/>
      <c r="F207" s="117"/>
      <c r="G207" s="118"/>
      <c r="H207" s="147"/>
      <c r="I207" s="119"/>
      <c r="J207" s="118"/>
      <c r="K207" s="118"/>
      <c r="L207" s="118"/>
      <c r="M207" s="118"/>
      <c r="N207" s="118"/>
      <c r="O207" s="118"/>
      <c r="P207" s="118"/>
      <c r="Q207" s="118"/>
      <c r="R207" s="118"/>
      <c r="S207" s="12"/>
      <c r="T207" s="12">
        <f>51*17000</f>
        <v>867000</v>
      </c>
      <c r="U207" s="12"/>
      <c r="V207" s="12"/>
      <c r="W207" s="12"/>
      <c r="X207" s="12"/>
      <c r="Y207" s="161">
        <f t="shared" si="3"/>
        <v>867000</v>
      </c>
      <c r="Z207" s="10"/>
    </row>
    <row r="208" spans="1:26" ht="15.75" customHeight="1">
      <c r="A208" s="129"/>
      <c r="B208" s="151" t="s">
        <v>261</v>
      </c>
      <c r="C208" s="117"/>
      <c r="D208" s="117"/>
      <c r="E208" s="117"/>
      <c r="F208" s="117"/>
      <c r="G208" s="118"/>
      <c r="H208" s="147"/>
      <c r="I208" s="119"/>
      <c r="J208" s="118"/>
      <c r="K208" s="118"/>
      <c r="L208" s="118"/>
      <c r="M208" s="118"/>
      <c r="N208" s="118"/>
      <c r="O208" s="118"/>
      <c r="P208" s="118"/>
      <c r="Q208" s="118"/>
      <c r="R208" s="118"/>
      <c r="S208" s="12"/>
      <c r="T208" s="12">
        <f>4*20000</f>
        <v>80000</v>
      </c>
      <c r="U208" s="12"/>
      <c r="V208" s="12"/>
      <c r="W208" s="12"/>
      <c r="X208" s="12"/>
      <c r="Y208" s="161">
        <f t="shared" si="3"/>
        <v>80000</v>
      </c>
      <c r="Z208" s="10"/>
    </row>
    <row r="209" spans="1:26" ht="15.75" customHeight="1">
      <c r="A209" s="129"/>
      <c r="B209" s="151" t="s">
        <v>296</v>
      </c>
      <c r="C209" s="117"/>
      <c r="D209" s="117"/>
      <c r="E209" s="117"/>
      <c r="F209" s="117"/>
      <c r="G209" s="118">
        <v>300000</v>
      </c>
      <c r="H209" s="147"/>
      <c r="I209" s="119"/>
      <c r="J209" s="118"/>
      <c r="K209" s="118"/>
      <c r="L209" s="118"/>
      <c r="M209" s="118"/>
      <c r="N209" s="118"/>
      <c r="O209" s="118"/>
      <c r="P209" s="118"/>
      <c r="Q209" s="118"/>
      <c r="R209" s="118"/>
      <c r="S209" s="12"/>
      <c r="T209" s="12"/>
      <c r="U209" s="12"/>
      <c r="V209" s="12"/>
      <c r="W209" s="12"/>
      <c r="X209" s="12"/>
      <c r="Y209" s="161">
        <f t="shared" si="3"/>
        <v>300000</v>
      </c>
      <c r="Z209" s="10"/>
    </row>
    <row r="210" spans="1:26" ht="15.75" customHeight="1">
      <c r="A210" s="129"/>
      <c r="B210" s="151" t="s">
        <v>297</v>
      </c>
      <c r="C210" s="117"/>
      <c r="D210" s="117"/>
      <c r="E210" s="117"/>
      <c r="F210" s="117"/>
      <c r="G210" s="118"/>
      <c r="H210" s="147"/>
      <c r="I210" s="119"/>
      <c r="J210" s="118"/>
      <c r="K210" s="118"/>
      <c r="L210" s="118"/>
      <c r="M210" s="118"/>
      <c r="N210" s="118"/>
      <c r="O210" s="118"/>
      <c r="P210" s="118"/>
      <c r="Q210" s="118"/>
      <c r="R210" s="118"/>
      <c r="S210" s="12"/>
      <c r="T210" s="12"/>
      <c r="U210" s="12">
        <v>300000</v>
      </c>
      <c r="V210" s="12"/>
      <c r="W210" s="12"/>
      <c r="X210" s="12"/>
      <c r="Y210" s="161">
        <f t="shared" si="3"/>
        <v>300000</v>
      </c>
      <c r="Z210" s="10"/>
    </row>
    <row r="211" spans="1:26" ht="15.75" customHeight="1">
      <c r="A211" s="129"/>
      <c r="B211" s="151" t="s">
        <v>284</v>
      </c>
      <c r="C211" s="117"/>
      <c r="D211" s="117"/>
      <c r="E211" s="117"/>
      <c r="F211" s="117"/>
      <c r="G211" s="118"/>
      <c r="H211" s="147"/>
      <c r="I211" s="119"/>
      <c r="J211" s="118"/>
      <c r="K211" s="118"/>
      <c r="L211" s="118"/>
      <c r="M211" s="118"/>
      <c r="N211" s="118"/>
      <c r="O211" s="118"/>
      <c r="P211" s="118"/>
      <c r="Q211" s="118"/>
      <c r="R211" s="118"/>
      <c r="S211" s="12"/>
      <c r="T211" s="12"/>
      <c r="U211" s="12">
        <v>200000</v>
      </c>
      <c r="V211" s="12"/>
      <c r="W211" s="12"/>
      <c r="X211" s="12"/>
      <c r="Y211" s="161">
        <f t="shared" si="3"/>
        <v>200000</v>
      </c>
      <c r="Z211" s="10"/>
    </row>
    <row r="212" spans="1:26" ht="15.75" customHeight="1">
      <c r="A212" s="129"/>
      <c r="B212" s="151" t="s">
        <v>298</v>
      </c>
      <c r="C212" s="117"/>
      <c r="D212" s="117"/>
      <c r="E212" s="117"/>
      <c r="F212" s="117"/>
      <c r="G212" s="118"/>
      <c r="H212" s="147"/>
      <c r="I212" s="119"/>
      <c r="J212" s="118"/>
      <c r="K212" s="118"/>
      <c r="L212" s="118"/>
      <c r="M212" s="118"/>
      <c r="N212" s="118"/>
      <c r="O212" s="118"/>
      <c r="P212" s="118"/>
      <c r="Q212" s="118"/>
      <c r="R212" s="118"/>
      <c r="S212" s="12"/>
      <c r="T212" s="12"/>
      <c r="U212" s="12"/>
      <c r="V212" s="12"/>
      <c r="W212" s="12"/>
      <c r="X212" s="12">
        <v>100000</v>
      </c>
      <c r="Y212" s="161">
        <f t="shared" si="3"/>
        <v>100000</v>
      </c>
      <c r="Z212" s="10"/>
    </row>
    <row r="213" spans="1:26" ht="15.75" customHeight="1">
      <c r="A213" s="129">
        <v>45753</v>
      </c>
      <c r="B213" s="151" t="s">
        <v>299</v>
      </c>
      <c r="C213" s="117"/>
      <c r="D213" s="117"/>
      <c r="E213" s="117"/>
      <c r="F213" s="117"/>
      <c r="G213" s="118"/>
      <c r="H213" s="147"/>
      <c r="I213" s="119"/>
      <c r="J213" s="118"/>
      <c r="K213" s="118"/>
      <c r="L213" s="118"/>
      <c r="M213" s="118"/>
      <c r="N213" s="118"/>
      <c r="O213" s="118"/>
      <c r="P213" s="118"/>
      <c r="Q213" s="118">
        <v>5800000</v>
      </c>
      <c r="R213" s="118"/>
      <c r="S213" s="12"/>
      <c r="T213" s="12"/>
      <c r="U213" s="12"/>
      <c r="V213" s="12"/>
      <c r="W213" s="12"/>
      <c r="X213" s="12"/>
      <c r="Y213" s="161">
        <f t="shared" si="3"/>
        <v>5800000</v>
      </c>
      <c r="Z213" s="10"/>
    </row>
    <row r="214" spans="1:26" ht="15.75" customHeight="1">
      <c r="A214" s="129"/>
      <c r="B214" s="151" t="s">
        <v>300</v>
      </c>
      <c r="C214" s="117"/>
      <c r="D214" s="117"/>
      <c r="E214" s="117"/>
      <c r="F214" s="117"/>
      <c r="G214" s="118"/>
      <c r="H214" s="147"/>
      <c r="I214" s="119"/>
      <c r="J214" s="118"/>
      <c r="K214" s="118"/>
      <c r="L214" s="118"/>
      <c r="M214" s="118"/>
      <c r="N214" s="118"/>
      <c r="O214" s="118"/>
      <c r="P214" s="118"/>
      <c r="Q214" s="118"/>
      <c r="R214" s="118"/>
      <c r="S214" s="12"/>
      <c r="T214" s="12"/>
      <c r="U214" s="12"/>
      <c r="V214" s="12"/>
      <c r="W214" s="12"/>
      <c r="X214" s="12">
        <v>50000</v>
      </c>
      <c r="Y214" s="161">
        <f t="shared" si="3"/>
        <v>50000</v>
      </c>
      <c r="Z214" s="10"/>
    </row>
    <row r="215" spans="1:26" ht="15.75" customHeight="1">
      <c r="A215" s="129"/>
      <c r="B215" s="151" t="s">
        <v>301</v>
      </c>
      <c r="C215" s="117"/>
      <c r="D215" s="117"/>
      <c r="E215" s="117"/>
      <c r="F215" s="117"/>
      <c r="G215" s="118"/>
      <c r="H215" s="147"/>
      <c r="I215" s="119"/>
      <c r="J215" s="118"/>
      <c r="K215" s="118"/>
      <c r="L215" s="118"/>
      <c r="M215" s="118"/>
      <c r="N215" s="118"/>
      <c r="O215" s="118"/>
      <c r="P215" s="118"/>
      <c r="Q215" s="118"/>
      <c r="R215" s="118"/>
      <c r="S215" s="12"/>
      <c r="T215" s="12">
        <f>12*17000</f>
        <v>204000</v>
      </c>
      <c r="U215" s="12"/>
      <c r="V215" s="12"/>
      <c r="W215" s="12"/>
      <c r="X215" s="12"/>
      <c r="Y215" s="161">
        <f t="shared" si="3"/>
        <v>204000</v>
      </c>
      <c r="Z215" s="10"/>
    </row>
    <row r="216" spans="1:26" ht="15.75" customHeight="1">
      <c r="A216" s="129"/>
      <c r="B216" s="151" t="s">
        <v>302</v>
      </c>
      <c r="C216" s="117"/>
      <c r="D216" s="117"/>
      <c r="E216" s="117"/>
      <c r="F216" s="117"/>
      <c r="G216" s="118"/>
      <c r="H216" s="147"/>
      <c r="I216" s="119"/>
      <c r="J216" s="118"/>
      <c r="K216" s="118"/>
      <c r="L216" s="118"/>
      <c r="M216" s="118"/>
      <c r="N216" s="118"/>
      <c r="O216" s="118"/>
      <c r="P216" s="118"/>
      <c r="Q216" s="118"/>
      <c r="R216" s="118"/>
      <c r="S216" s="12"/>
      <c r="T216" s="12">
        <f>2*20000</f>
        <v>40000</v>
      </c>
      <c r="U216" s="12"/>
      <c r="V216" s="12"/>
      <c r="W216" s="12"/>
      <c r="X216" s="12"/>
      <c r="Y216" s="161">
        <f t="shared" si="3"/>
        <v>40000</v>
      </c>
      <c r="Z216" s="10"/>
    </row>
    <row r="217" spans="1:26" ht="15.75" customHeight="1">
      <c r="A217" s="129"/>
      <c r="B217" s="151" t="s">
        <v>303</v>
      </c>
      <c r="C217" s="117"/>
      <c r="D217" s="117"/>
      <c r="E217" s="117"/>
      <c r="F217" s="117"/>
      <c r="G217" s="118"/>
      <c r="H217" s="147"/>
      <c r="I217" s="119"/>
      <c r="J217" s="118"/>
      <c r="K217" s="118"/>
      <c r="L217" s="118"/>
      <c r="M217" s="118"/>
      <c r="N217" s="118"/>
      <c r="O217" s="118"/>
      <c r="P217" s="118"/>
      <c r="Q217" s="118"/>
      <c r="R217" s="118"/>
      <c r="S217" s="12"/>
      <c r="T217" s="12"/>
      <c r="U217" s="12"/>
      <c r="V217" s="12"/>
      <c r="W217" s="12"/>
      <c r="X217" s="12">
        <v>100000</v>
      </c>
      <c r="Y217" s="161">
        <f t="shared" si="3"/>
        <v>100000</v>
      </c>
      <c r="Z217" s="10"/>
    </row>
    <row r="218" spans="1:26" ht="15.75" customHeight="1">
      <c r="A218" s="129"/>
      <c r="B218" s="151" t="s">
        <v>285</v>
      </c>
      <c r="C218" s="117"/>
      <c r="D218" s="117"/>
      <c r="E218" s="117"/>
      <c r="F218" s="117"/>
      <c r="G218" s="118"/>
      <c r="H218" s="147"/>
      <c r="I218" s="119"/>
      <c r="J218" s="118"/>
      <c r="K218" s="118"/>
      <c r="L218" s="118"/>
      <c r="M218" s="118"/>
      <c r="N218" s="118"/>
      <c r="O218" s="118"/>
      <c r="P218" s="118"/>
      <c r="Q218" s="118"/>
      <c r="R218" s="118"/>
      <c r="S218" s="12"/>
      <c r="T218" s="12"/>
      <c r="U218" s="12">
        <v>150000</v>
      </c>
      <c r="V218" s="12"/>
      <c r="W218" s="12"/>
      <c r="X218" s="12"/>
      <c r="Y218" s="161">
        <f t="shared" si="3"/>
        <v>150000</v>
      </c>
      <c r="Z218" s="10"/>
    </row>
    <row r="219" spans="1:26" ht="15.75" customHeight="1">
      <c r="A219" s="129"/>
      <c r="B219" s="151" t="s">
        <v>304</v>
      </c>
      <c r="C219" s="117"/>
      <c r="D219" s="117"/>
      <c r="E219" s="117"/>
      <c r="F219" s="117"/>
      <c r="G219" s="118"/>
      <c r="H219" s="147"/>
      <c r="I219" s="119"/>
      <c r="J219" s="118"/>
      <c r="K219" s="118"/>
      <c r="L219" s="118"/>
      <c r="M219" s="118"/>
      <c r="N219" s="118"/>
      <c r="O219" s="118"/>
      <c r="P219" s="118"/>
      <c r="Q219" s="118"/>
      <c r="R219" s="118"/>
      <c r="S219" s="12"/>
      <c r="T219" s="12"/>
      <c r="U219" s="12"/>
      <c r="V219" s="12"/>
      <c r="W219" s="12"/>
      <c r="X219" s="12">
        <v>100000</v>
      </c>
      <c r="Y219" s="161">
        <f t="shared" si="3"/>
        <v>100000</v>
      </c>
      <c r="Z219" s="10"/>
    </row>
    <row r="220" spans="1:26" ht="15.75" customHeight="1">
      <c r="A220" s="129"/>
      <c r="B220" s="151" t="s">
        <v>305</v>
      </c>
      <c r="C220" s="117"/>
      <c r="D220" s="117"/>
      <c r="E220" s="117"/>
      <c r="F220" s="117"/>
      <c r="G220" s="118"/>
      <c r="H220" s="147"/>
      <c r="I220" s="119"/>
      <c r="J220" s="118"/>
      <c r="K220" s="118"/>
      <c r="L220" s="118"/>
      <c r="M220" s="118"/>
      <c r="N220" s="118"/>
      <c r="O220" s="118"/>
      <c r="P220" s="118"/>
      <c r="Q220" s="118"/>
      <c r="R220" s="118"/>
      <c r="S220" s="12"/>
      <c r="T220" s="12"/>
      <c r="U220" s="12"/>
      <c r="V220" s="12"/>
      <c r="W220" s="12"/>
      <c r="X220" s="12">
        <v>100000</v>
      </c>
      <c r="Y220" s="161">
        <f t="shared" si="3"/>
        <v>100000</v>
      </c>
      <c r="Z220" s="10"/>
    </row>
    <row r="221" spans="1:26" ht="15.75" customHeight="1">
      <c r="A221" s="129">
        <v>45753</v>
      </c>
      <c r="B221" s="151" t="s">
        <v>306</v>
      </c>
      <c r="C221" s="117"/>
      <c r="D221" s="117"/>
      <c r="E221" s="117"/>
      <c r="F221" s="117"/>
      <c r="G221" s="118"/>
      <c r="H221" s="147"/>
      <c r="I221" s="119"/>
      <c r="J221" s="118"/>
      <c r="K221" s="118"/>
      <c r="L221" s="118"/>
      <c r="M221" s="118"/>
      <c r="N221" s="118"/>
      <c r="O221" s="118"/>
      <c r="P221" s="118"/>
      <c r="Q221" s="118"/>
      <c r="R221" s="118"/>
      <c r="S221" s="12"/>
      <c r="T221" s="12"/>
      <c r="U221" s="12"/>
      <c r="V221" s="12"/>
      <c r="W221" s="12"/>
      <c r="X221" s="12">
        <v>200000</v>
      </c>
      <c r="Y221" s="161">
        <f t="shared" si="3"/>
        <v>200000</v>
      </c>
      <c r="Z221" s="10"/>
    </row>
    <row r="222" spans="1:26" ht="15.75" customHeight="1">
      <c r="A222" s="129"/>
      <c r="B222" s="151" t="s">
        <v>307</v>
      </c>
      <c r="C222" s="117"/>
      <c r="D222" s="117"/>
      <c r="E222" s="117"/>
      <c r="F222" s="117"/>
      <c r="G222" s="118"/>
      <c r="H222" s="147"/>
      <c r="I222" s="119"/>
      <c r="J222" s="118"/>
      <c r="K222" s="118"/>
      <c r="L222" s="118"/>
      <c r="M222" s="118"/>
      <c r="N222" s="118"/>
      <c r="O222" s="118"/>
      <c r="P222" s="118"/>
      <c r="Q222" s="118">
        <v>1000000</v>
      </c>
      <c r="R222" s="118"/>
      <c r="S222" s="12"/>
      <c r="T222" s="12"/>
      <c r="U222" s="12"/>
      <c r="V222" s="12"/>
      <c r="W222" s="12"/>
      <c r="X222" s="12"/>
      <c r="Y222" s="161">
        <f t="shared" si="3"/>
        <v>1000000</v>
      </c>
      <c r="Z222" s="10"/>
    </row>
    <row r="223" spans="1:26" ht="15.75" customHeight="1">
      <c r="A223" s="129">
        <v>45754</v>
      </c>
      <c r="B223" s="151" t="s">
        <v>205</v>
      </c>
      <c r="C223" s="117">
        <v>22000000</v>
      </c>
      <c r="D223" s="117"/>
      <c r="E223" s="117"/>
      <c r="F223" s="117"/>
      <c r="G223" s="118"/>
      <c r="H223" s="147"/>
      <c r="I223" s="119"/>
      <c r="J223" s="118"/>
      <c r="K223" s="118"/>
      <c r="L223" s="118"/>
      <c r="M223" s="118"/>
      <c r="N223" s="118"/>
      <c r="O223" s="118"/>
      <c r="P223" s="118"/>
      <c r="Q223" s="118"/>
      <c r="R223" s="118"/>
      <c r="S223" s="12"/>
      <c r="T223" s="12"/>
      <c r="U223" s="12"/>
      <c r="V223" s="12"/>
      <c r="W223" s="12"/>
      <c r="X223" s="12"/>
      <c r="Y223" s="161">
        <f t="shared" si="3"/>
        <v>0</v>
      </c>
      <c r="Z223" s="10"/>
    </row>
    <row r="224" spans="1:26" ht="15.75" customHeight="1">
      <c r="A224" s="129">
        <v>45754</v>
      </c>
      <c r="B224" s="151" t="s">
        <v>295</v>
      </c>
      <c r="C224" s="117"/>
      <c r="D224" s="117"/>
      <c r="E224" s="117"/>
      <c r="F224" s="117"/>
      <c r="G224" s="118"/>
      <c r="H224" s="147"/>
      <c r="I224" s="119"/>
      <c r="J224" s="118"/>
      <c r="K224" s="118"/>
      <c r="L224" s="118"/>
      <c r="M224" s="118"/>
      <c r="N224" s="118"/>
      <c r="O224" s="118"/>
      <c r="P224" s="118"/>
      <c r="Q224" s="118"/>
      <c r="R224" s="118"/>
      <c r="S224" s="12"/>
      <c r="T224" s="12"/>
      <c r="U224" s="12">
        <v>40000</v>
      </c>
      <c r="V224" s="12"/>
      <c r="W224" s="12"/>
      <c r="X224" s="12"/>
      <c r="Y224" s="161">
        <f t="shared" si="3"/>
        <v>40000</v>
      </c>
      <c r="Z224" s="10"/>
    </row>
    <row r="225" spans="1:26" ht="15.75" customHeight="1">
      <c r="A225" s="129"/>
      <c r="B225" s="151" t="s">
        <v>301</v>
      </c>
      <c r="C225" s="117"/>
      <c r="D225" s="117"/>
      <c r="E225" s="117"/>
      <c r="F225" s="117"/>
      <c r="G225" s="118"/>
      <c r="H225" s="147"/>
      <c r="I225" s="119"/>
      <c r="J225" s="118"/>
      <c r="K225" s="118"/>
      <c r="L225" s="118"/>
      <c r="M225" s="118"/>
      <c r="N225" s="118"/>
      <c r="O225" s="118"/>
      <c r="P225" s="118"/>
      <c r="Q225" s="118"/>
      <c r="R225" s="118"/>
      <c r="S225" s="12"/>
      <c r="T225" s="12">
        <f>12*17000</f>
        <v>204000</v>
      </c>
      <c r="U225" s="12"/>
      <c r="V225" s="12"/>
      <c r="W225" s="12"/>
      <c r="X225" s="12"/>
      <c r="Y225" s="161">
        <f t="shared" si="3"/>
        <v>204000</v>
      </c>
      <c r="Z225" s="10"/>
    </row>
    <row r="226" spans="1:26" ht="15.75" customHeight="1">
      <c r="A226" s="129"/>
      <c r="B226" s="151" t="s">
        <v>308</v>
      </c>
      <c r="C226" s="117"/>
      <c r="D226" s="117"/>
      <c r="E226" s="117"/>
      <c r="F226" s="117"/>
      <c r="G226" s="118"/>
      <c r="H226" s="147"/>
      <c r="I226" s="119"/>
      <c r="J226" s="118"/>
      <c r="K226" s="118"/>
      <c r="L226" s="118"/>
      <c r="M226" s="118"/>
      <c r="N226" s="118"/>
      <c r="O226" s="118"/>
      <c r="P226" s="118"/>
      <c r="Q226" s="118"/>
      <c r="R226" s="118"/>
      <c r="S226" s="12"/>
      <c r="T226" s="12"/>
      <c r="U226" s="12"/>
      <c r="V226" s="12"/>
      <c r="W226" s="12"/>
      <c r="X226" s="12">
        <v>100000</v>
      </c>
      <c r="Y226" s="161">
        <f t="shared" si="3"/>
        <v>100000</v>
      </c>
      <c r="Z226" s="10"/>
    </row>
    <row r="227" spans="1:26" ht="15.75" customHeight="1">
      <c r="A227" s="129"/>
      <c r="B227" s="151" t="s">
        <v>309</v>
      </c>
      <c r="C227" s="117"/>
      <c r="D227" s="117"/>
      <c r="E227" s="117"/>
      <c r="F227" s="117"/>
      <c r="G227" s="118"/>
      <c r="H227" s="147"/>
      <c r="I227" s="119"/>
      <c r="J227" s="118"/>
      <c r="K227" s="118"/>
      <c r="L227" s="118"/>
      <c r="M227" s="118"/>
      <c r="N227" s="118"/>
      <c r="O227" s="118"/>
      <c r="P227" s="118"/>
      <c r="Q227" s="118"/>
      <c r="R227" s="118"/>
      <c r="S227" s="12"/>
      <c r="T227" s="12"/>
      <c r="U227" s="12">
        <v>261000</v>
      </c>
      <c r="V227" s="12"/>
      <c r="W227" s="12"/>
      <c r="X227" s="12"/>
      <c r="Y227" s="161">
        <f t="shared" si="3"/>
        <v>261000</v>
      </c>
      <c r="Z227" s="10"/>
    </row>
    <row r="228" spans="1:26" ht="15.75" customHeight="1">
      <c r="A228" s="129"/>
      <c r="B228" s="151" t="s">
        <v>294</v>
      </c>
      <c r="C228" s="117"/>
      <c r="D228" s="117"/>
      <c r="E228" s="117"/>
      <c r="F228" s="117"/>
      <c r="G228" s="118">
        <f>4*45000</f>
        <v>180000</v>
      </c>
      <c r="H228" s="147"/>
      <c r="I228" s="119"/>
      <c r="J228" s="118"/>
      <c r="K228" s="118"/>
      <c r="L228" s="118"/>
      <c r="M228" s="118"/>
      <c r="N228" s="118"/>
      <c r="O228" s="118"/>
      <c r="P228" s="118"/>
      <c r="Q228" s="118"/>
      <c r="R228" s="118"/>
      <c r="S228" s="12"/>
      <c r="T228" s="12"/>
      <c r="U228" s="12"/>
      <c r="V228" s="12"/>
      <c r="W228" s="12"/>
      <c r="X228" s="12"/>
      <c r="Y228" s="161">
        <f t="shared" si="3"/>
        <v>180000</v>
      </c>
      <c r="Z228" s="10"/>
    </row>
    <row r="229" spans="1:26" ht="15.75" customHeight="1">
      <c r="A229" s="129"/>
      <c r="B229" s="151" t="s">
        <v>310</v>
      </c>
      <c r="C229" s="117"/>
      <c r="D229" s="117"/>
      <c r="E229" s="117"/>
      <c r="F229" s="117"/>
      <c r="G229" s="118"/>
      <c r="H229" s="147"/>
      <c r="I229" s="119"/>
      <c r="J229" s="118">
        <f>6*20000</f>
        <v>120000</v>
      </c>
      <c r="K229" s="118"/>
      <c r="L229" s="118"/>
      <c r="M229" s="118"/>
      <c r="N229" s="118"/>
      <c r="O229" s="118"/>
      <c r="P229" s="118"/>
      <c r="Q229" s="118"/>
      <c r="R229" s="118"/>
      <c r="S229" s="12"/>
      <c r="T229" s="12"/>
      <c r="U229" s="12"/>
      <c r="V229" s="12"/>
      <c r="W229" s="12"/>
      <c r="X229" s="12"/>
      <c r="Y229" s="161">
        <f t="shared" si="3"/>
        <v>120000</v>
      </c>
      <c r="Z229" s="10"/>
    </row>
    <row r="230" spans="1:26" ht="15.75" customHeight="1">
      <c r="A230" s="129"/>
      <c r="B230" s="151" t="s">
        <v>315</v>
      </c>
      <c r="C230" s="117"/>
      <c r="D230" s="117"/>
      <c r="E230" s="117"/>
      <c r="F230" s="117"/>
      <c r="G230" s="118"/>
      <c r="H230" s="147"/>
      <c r="I230" s="119"/>
      <c r="J230" s="118"/>
      <c r="K230" s="118"/>
      <c r="L230" s="118"/>
      <c r="M230" s="118"/>
      <c r="N230" s="118"/>
      <c r="O230" s="118"/>
      <c r="P230" s="118"/>
      <c r="Q230" s="118"/>
      <c r="R230" s="118"/>
      <c r="S230" s="12"/>
      <c r="T230" s="12"/>
      <c r="U230" s="12"/>
      <c r="V230" s="12"/>
      <c r="W230" s="12"/>
      <c r="X230" s="12">
        <v>50000</v>
      </c>
      <c r="Y230" s="161">
        <f t="shared" si="3"/>
        <v>50000</v>
      </c>
      <c r="Z230" s="10"/>
    </row>
    <row r="231" spans="1:26" ht="15.75" customHeight="1">
      <c r="A231" s="129"/>
      <c r="B231" s="151" t="s">
        <v>311</v>
      </c>
      <c r="C231" s="117"/>
      <c r="D231" s="117"/>
      <c r="E231" s="117"/>
      <c r="F231" s="117"/>
      <c r="G231" s="118"/>
      <c r="H231" s="147"/>
      <c r="I231" s="119"/>
      <c r="J231" s="118"/>
      <c r="K231" s="118"/>
      <c r="L231" s="118"/>
      <c r="M231" s="118"/>
      <c r="N231" s="118"/>
      <c r="O231" s="118"/>
      <c r="P231" s="118"/>
      <c r="Q231" s="118"/>
      <c r="R231" s="118"/>
      <c r="S231" s="12"/>
      <c r="T231" s="12">
        <f>2*20000</f>
        <v>40000</v>
      </c>
      <c r="U231" s="12"/>
      <c r="V231" s="12"/>
      <c r="W231" s="12"/>
      <c r="X231" s="12"/>
      <c r="Y231" s="161">
        <f t="shared" si="3"/>
        <v>40000</v>
      </c>
      <c r="Z231" s="10"/>
    </row>
    <row r="232" spans="1:26" ht="15.75" customHeight="1">
      <c r="A232" s="129">
        <v>45755</v>
      </c>
      <c r="B232" s="151" t="s">
        <v>312</v>
      </c>
      <c r="C232" s="117"/>
      <c r="D232" s="117"/>
      <c r="E232" s="117"/>
      <c r="F232" s="117"/>
      <c r="G232" s="118"/>
      <c r="H232" s="147"/>
      <c r="I232" s="119"/>
      <c r="J232" s="118"/>
      <c r="K232" s="118"/>
      <c r="L232" s="118"/>
      <c r="M232" s="118"/>
      <c r="N232" s="118"/>
      <c r="O232" s="118"/>
      <c r="P232" s="118"/>
      <c r="Q232" s="118"/>
      <c r="R232" s="118"/>
      <c r="S232" s="12"/>
      <c r="T232" s="12">
        <f>2*20000</f>
        <v>40000</v>
      </c>
      <c r="U232" s="12"/>
      <c r="V232" s="12"/>
      <c r="W232" s="12"/>
      <c r="X232" s="12"/>
      <c r="Y232" s="161">
        <f t="shared" si="3"/>
        <v>40000</v>
      </c>
      <c r="Z232" s="10"/>
    </row>
    <row r="233" spans="1:26" ht="15.75" customHeight="1">
      <c r="A233" s="129"/>
      <c r="B233" s="151" t="s">
        <v>313</v>
      </c>
      <c r="C233" s="117"/>
      <c r="D233" s="117"/>
      <c r="E233" s="117"/>
      <c r="F233" s="117"/>
      <c r="G233" s="118">
        <v>50000</v>
      </c>
      <c r="H233" s="147"/>
      <c r="I233" s="119"/>
      <c r="J233" s="118"/>
      <c r="K233" s="118"/>
      <c r="L233" s="118"/>
      <c r="M233" s="118"/>
      <c r="N233" s="118"/>
      <c r="O233" s="118"/>
      <c r="P233" s="118"/>
      <c r="Q233" s="118"/>
      <c r="R233" s="118"/>
      <c r="S233" s="12"/>
      <c r="T233" s="12"/>
      <c r="U233" s="12"/>
      <c r="V233" s="12"/>
      <c r="W233" s="12"/>
      <c r="X233" s="12"/>
      <c r="Y233" s="161">
        <f t="shared" si="3"/>
        <v>50000</v>
      </c>
      <c r="Z233" s="10"/>
    </row>
    <row r="234" spans="1:26" ht="15.75" customHeight="1">
      <c r="A234" s="129"/>
      <c r="B234" s="151" t="s">
        <v>314</v>
      </c>
      <c r="C234" s="117"/>
      <c r="D234" s="117"/>
      <c r="E234" s="117"/>
      <c r="F234" s="117"/>
      <c r="G234" s="118"/>
      <c r="H234" s="147"/>
      <c r="I234" s="119"/>
      <c r="J234" s="118"/>
      <c r="K234" s="118"/>
      <c r="L234" s="118"/>
      <c r="M234" s="118"/>
      <c r="N234" s="118"/>
      <c r="O234" s="118"/>
      <c r="P234" s="118"/>
      <c r="Q234" s="118"/>
      <c r="R234" s="118"/>
      <c r="S234" s="12"/>
      <c r="T234" s="12"/>
      <c r="U234" s="12"/>
      <c r="V234" s="12"/>
      <c r="W234" s="12"/>
      <c r="X234" s="12">
        <v>100000</v>
      </c>
      <c r="Y234" s="161">
        <f t="shared" si="3"/>
        <v>100000</v>
      </c>
      <c r="Z234" s="10"/>
    </row>
    <row r="235" spans="1:26" ht="15.75" customHeight="1">
      <c r="A235" s="129"/>
      <c r="B235" s="151" t="s">
        <v>316</v>
      </c>
      <c r="C235" s="117"/>
      <c r="D235" s="117"/>
      <c r="E235" s="117"/>
      <c r="F235" s="117"/>
      <c r="G235" s="118"/>
      <c r="H235" s="147"/>
      <c r="I235" s="119"/>
      <c r="J235" s="118"/>
      <c r="K235" s="118"/>
      <c r="L235" s="118"/>
      <c r="M235" s="118"/>
      <c r="N235" s="118"/>
      <c r="O235" s="118"/>
      <c r="P235" s="118"/>
      <c r="Q235" s="118"/>
      <c r="R235" s="118"/>
      <c r="S235" s="12"/>
      <c r="T235" s="12"/>
      <c r="U235" s="12"/>
      <c r="V235" s="12"/>
      <c r="W235" s="12"/>
      <c r="X235" s="12">
        <v>100000</v>
      </c>
      <c r="Y235" s="161">
        <f t="shared" si="3"/>
        <v>100000</v>
      </c>
      <c r="Z235" s="10"/>
    </row>
    <row r="236" spans="1:26" ht="15.75" customHeight="1">
      <c r="A236" s="129">
        <v>45755</v>
      </c>
      <c r="B236" s="151" t="s">
        <v>223</v>
      </c>
      <c r="C236" s="117"/>
      <c r="D236" s="117"/>
      <c r="E236" s="117"/>
      <c r="F236" s="117"/>
      <c r="G236" s="118">
        <f>5*100000</f>
        <v>500000</v>
      </c>
      <c r="H236" s="147"/>
      <c r="I236" s="119"/>
      <c r="J236" s="118"/>
      <c r="K236" s="118"/>
      <c r="L236" s="118"/>
      <c r="M236" s="118"/>
      <c r="N236" s="118"/>
      <c r="O236" s="118"/>
      <c r="P236" s="118"/>
      <c r="Q236" s="118"/>
      <c r="R236" s="118"/>
      <c r="S236" s="12"/>
      <c r="T236" s="12"/>
      <c r="U236" s="12"/>
      <c r="V236" s="12"/>
      <c r="W236" s="12"/>
      <c r="X236" s="12"/>
      <c r="Y236" s="161">
        <f t="shared" si="3"/>
        <v>500000</v>
      </c>
      <c r="Z236" s="10"/>
    </row>
    <row r="237" spans="1:26" ht="15.75" customHeight="1">
      <c r="A237" s="129">
        <v>45756</v>
      </c>
      <c r="B237" s="151" t="s">
        <v>317</v>
      </c>
      <c r="C237" s="117"/>
      <c r="D237" s="117"/>
      <c r="E237" s="117"/>
      <c r="F237" s="117"/>
      <c r="G237" s="118"/>
      <c r="H237" s="147"/>
      <c r="I237" s="119"/>
      <c r="J237" s="118"/>
      <c r="K237" s="118"/>
      <c r="L237" s="118"/>
      <c r="M237" s="118"/>
      <c r="N237" s="118"/>
      <c r="O237" s="118"/>
      <c r="P237" s="118"/>
      <c r="Q237" s="118"/>
      <c r="R237" s="118"/>
      <c r="S237" s="12"/>
      <c r="T237" s="12">
        <f>2*20000</f>
        <v>40000</v>
      </c>
      <c r="U237" s="12"/>
      <c r="V237" s="12"/>
      <c r="W237" s="12"/>
      <c r="X237" s="12"/>
      <c r="Y237" s="161">
        <f t="shared" si="3"/>
        <v>40000</v>
      </c>
      <c r="Z237" s="10"/>
    </row>
    <row r="238" spans="1:26" ht="15.75" customHeight="1">
      <c r="A238" s="129"/>
      <c r="B238" s="151" t="s">
        <v>318</v>
      </c>
      <c r="C238" s="117"/>
      <c r="D238" s="117"/>
      <c r="E238" s="117"/>
      <c r="F238" s="117"/>
      <c r="G238" s="118"/>
      <c r="H238" s="147"/>
      <c r="I238" s="119"/>
      <c r="J238" s="118"/>
      <c r="K238" s="118"/>
      <c r="L238" s="118"/>
      <c r="M238" s="118"/>
      <c r="N238" s="118"/>
      <c r="O238" s="118"/>
      <c r="P238" s="118"/>
      <c r="Q238" s="118">
        <v>1000000</v>
      </c>
      <c r="R238" s="118"/>
      <c r="S238" s="12"/>
      <c r="T238" s="12"/>
      <c r="U238" s="12"/>
      <c r="V238" s="12"/>
      <c r="W238" s="12"/>
      <c r="X238" s="12"/>
      <c r="Y238" s="161">
        <f t="shared" si="3"/>
        <v>1000000</v>
      </c>
      <c r="Z238" s="10"/>
    </row>
    <row r="239" spans="1:26" ht="15.75" customHeight="1">
      <c r="A239" s="129"/>
      <c r="B239" s="151"/>
      <c r="C239" s="117"/>
      <c r="D239" s="117"/>
      <c r="E239" s="117"/>
      <c r="F239" s="117"/>
      <c r="G239" s="118"/>
      <c r="H239" s="147"/>
      <c r="I239" s="119"/>
      <c r="J239" s="118"/>
      <c r="K239" s="118"/>
      <c r="L239" s="118"/>
      <c r="M239" s="118"/>
      <c r="N239" s="118"/>
      <c r="O239" s="118"/>
      <c r="P239" s="118"/>
      <c r="Q239" s="118"/>
      <c r="R239" s="118"/>
      <c r="S239" s="12"/>
      <c r="T239" s="12"/>
      <c r="U239" s="12"/>
      <c r="V239" s="12"/>
      <c r="W239" s="12"/>
      <c r="X239" s="12"/>
      <c r="Y239" s="161">
        <f t="shared" si="3"/>
        <v>0</v>
      </c>
      <c r="Z239" s="10"/>
    </row>
    <row r="240" spans="1:26" ht="15.75" customHeight="1">
      <c r="A240" s="129">
        <v>45756</v>
      </c>
      <c r="B240" s="151" t="s">
        <v>103</v>
      </c>
      <c r="C240" s="117"/>
      <c r="D240" s="117"/>
      <c r="E240" s="117">
        <v>72407500</v>
      </c>
      <c r="F240" s="117"/>
      <c r="G240" s="118"/>
      <c r="H240" s="147"/>
      <c r="I240" s="119"/>
      <c r="J240" s="118"/>
      <c r="K240" s="118"/>
      <c r="L240" s="118"/>
      <c r="M240" s="118"/>
      <c r="N240" s="118"/>
      <c r="O240" s="118"/>
      <c r="P240" s="118"/>
      <c r="Q240" s="118"/>
      <c r="R240" s="118"/>
      <c r="S240" s="12"/>
      <c r="T240" s="12"/>
      <c r="U240" s="12"/>
      <c r="V240" s="12"/>
      <c r="W240" s="12"/>
      <c r="X240" s="12"/>
      <c r="Y240" s="161">
        <f t="shared" si="3"/>
        <v>72407500</v>
      </c>
      <c r="Z240" s="10"/>
    </row>
    <row r="241" spans="1:26" ht="15.75" customHeight="1">
      <c r="A241" s="129"/>
      <c r="B241" s="151" t="s">
        <v>104</v>
      </c>
      <c r="C241" s="117"/>
      <c r="D241" s="117"/>
      <c r="E241" s="117"/>
      <c r="F241" s="117">
        <v>33792000</v>
      </c>
      <c r="G241" s="118"/>
      <c r="H241" s="147"/>
      <c r="I241" s="119"/>
      <c r="J241" s="118"/>
      <c r="K241" s="118"/>
      <c r="L241" s="118"/>
      <c r="M241" s="118"/>
      <c r="N241" s="118"/>
      <c r="O241" s="118"/>
      <c r="P241" s="118"/>
      <c r="Q241" s="118"/>
      <c r="R241" s="118"/>
      <c r="S241" s="12"/>
      <c r="T241" s="12"/>
      <c r="U241" s="12"/>
      <c r="V241" s="12"/>
      <c r="W241" s="12"/>
      <c r="X241" s="12"/>
      <c r="Y241" s="161">
        <f t="shared" si="3"/>
        <v>33792000</v>
      </c>
      <c r="Z241" s="10"/>
    </row>
    <row r="242" spans="1:26" ht="15.75" customHeight="1">
      <c r="A242" s="129"/>
      <c r="B242" s="151" t="s">
        <v>105</v>
      </c>
      <c r="C242" s="117"/>
      <c r="D242" s="117"/>
      <c r="E242" s="117">
        <v>90271350</v>
      </c>
      <c r="F242" s="117"/>
      <c r="G242" s="118"/>
      <c r="H242" s="147"/>
      <c r="I242" s="119"/>
      <c r="J242" s="118"/>
      <c r="K242" s="118"/>
      <c r="L242" s="118"/>
      <c r="M242" s="118"/>
      <c r="N242" s="118"/>
      <c r="O242" s="118"/>
      <c r="P242" s="118"/>
      <c r="Q242" s="118"/>
      <c r="R242" s="118"/>
      <c r="S242" s="12"/>
      <c r="T242" s="12"/>
      <c r="U242" s="12"/>
      <c r="V242" s="12"/>
      <c r="W242" s="12"/>
      <c r="X242" s="12"/>
      <c r="Y242" s="161">
        <f t="shared" si="3"/>
        <v>90271350</v>
      </c>
      <c r="Z242" s="10"/>
    </row>
    <row r="243" spans="1:26" ht="15.75" customHeight="1">
      <c r="A243" s="129"/>
      <c r="B243" s="151" t="s">
        <v>104</v>
      </c>
      <c r="C243" s="117"/>
      <c r="D243" s="117"/>
      <c r="E243" s="117"/>
      <c r="F243" s="117">
        <v>37100000</v>
      </c>
      <c r="G243" s="118"/>
      <c r="H243" s="147"/>
      <c r="I243" s="119"/>
      <c r="J243" s="118"/>
      <c r="K243" s="118"/>
      <c r="L243" s="118"/>
      <c r="M243" s="118"/>
      <c r="N243" s="118"/>
      <c r="O243" s="118"/>
      <c r="P243" s="118"/>
      <c r="Q243" s="118"/>
      <c r="R243" s="118"/>
      <c r="S243" s="12"/>
      <c r="T243" s="12"/>
      <c r="U243" s="12"/>
      <c r="V243" s="12"/>
      <c r="W243" s="12"/>
      <c r="X243" s="12"/>
      <c r="Y243" s="161">
        <f t="shared" si="3"/>
        <v>37100000</v>
      </c>
      <c r="Z243" s="10"/>
    </row>
    <row r="244" spans="1:26" ht="15.75" customHeight="1">
      <c r="A244" s="129">
        <v>45757</v>
      </c>
      <c r="B244" s="151" t="s">
        <v>111</v>
      </c>
      <c r="C244" s="117"/>
      <c r="D244" s="117"/>
      <c r="E244" s="117">
        <v>87518875</v>
      </c>
      <c r="F244" s="117"/>
      <c r="G244" s="118"/>
      <c r="H244" s="147"/>
      <c r="I244" s="119"/>
      <c r="J244" s="118"/>
      <c r="K244" s="118"/>
      <c r="L244" s="118"/>
      <c r="M244" s="118"/>
      <c r="N244" s="118"/>
      <c r="O244" s="118"/>
      <c r="P244" s="118"/>
      <c r="Q244" s="118"/>
      <c r="R244" s="118"/>
      <c r="S244" s="12"/>
      <c r="T244" s="12"/>
      <c r="U244" s="12"/>
      <c r="V244" s="12"/>
      <c r="W244" s="12"/>
      <c r="X244" s="12"/>
      <c r="Y244" s="161">
        <f t="shared" si="3"/>
        <v>87518875</v>
      </c>
      <c r="Z244" s="10"/>
    </row>
    <row r="245" spans="1:26" ht="15.75" customHeight="1">
      <c r="A245" s="129"/>
      <c r="B245" s="151" t="s">
        <v>112</v>
      </c>
      <c r="C245" s="117"/>
      <c r="D245" s="117"/>
      <c r="E245" s="117"/>
      <c r="F245" s="117">
        <v>27560000</v>
      </c>
      <c r="G245" s="118"/>
      <c r="H245" s="147"/>
      <c r="I245" s="119"/>
      <c r="J245" s="118"/>
      <c r="K245" s="118"/>
      <c r="L245" s="118"/>
      <c r="M245" s="118"/>
      <c r="N245" s="118"/>
      <c r="O245" s="118"/>
      <c r="P245" s="118"/>
      <c r="Q245" s="118"/>
      <c r="R245" s="118"/>
      <c r="S245" s="12"/>
      <c r="T245" s="12"/>
      <c r="U245" s="12"/>
      <c r="V245" s="12"/>
      <c r="W245" s="12"/>
      <c r="X245" s="12"/>
      <c r="Y245" s="161">
        <f t="shared" si="3"/>
        <v>27560000</v>
      </c>
      <c r="Z245" s="10"/>
    </row>
    <row r="246" spans="1:26" ht="15.75" customHeight="1">
      <c r="A246" s="129">
        <v>45758</v>
      </c>
      <c r="B246" s="151" t="s">
        <v>113</v>
      </c>
      <c r="C246" s="117"/>
      <c r="D246" s="117"/>
      <c r="E246" s="117">
        <v>6466100</v>
      </c>
      <c r="F246" s="117"/>
      <c r="G246" s="118"/>
      <c r="H246" s="147"/>
      <c r="I246" s="119"/>
      <c r="J246" s="118"/>
      <c r="K246" s="118"/>
      <c r="L246" s="118"/>
      <c r="M246" s="118"/>
      <c r="N246" s="118"/>
      <c r="O246" s="118"/>
      <c r="P246" s="118"/>
      <c r="Q246" s="118"/>
      <c r="R246" s="118"/>
      <c r="S246" s="12"/>
      <c r="T246" s="12"/>
      <c r="U246" s="12"/>
      <c r="V246" s="12"/>
      <c r="W246" s="12"/>
      <c r="X246" s="12"/>
      <c r="Y246" s="161">
        <f t="shared" si="3"/>
        <v>6466100</v>
      </c>
      <c r="Z246" s="10"/>
    </row>
    <row r="247" spans="1:26" ht="15.75" customHeight="1">
      <c r="A247" s="129"/>
      <c r="B247" s="151" t="s">
        <v>115</v>
      </c>
      <c r="C247" s="117"/>
      <c r="D247" s="117"/>
      <c r="E247" s="117">
        <v>3147500</v>
      </c>
      <c r="F247" s="117"/>
      <c r="G247" s="118"/>
      <c r="H247" s="147"/>
      <c r="I247" s="119"/>
      <c r="J247" s="118"/>
      <c r="K247" s="118"/>
      <c r="L247" s="118"/>
      <c r="M247" s="118"/>
      <c r="N247" s="118"/>
      <c r="O247" s="118"/>
      <c r="P247" s="118"/>
      <c r="Q247" s="118"/>
      <c r="R247" s="118"/>
      <c r="S247" s="12"/>
      <c r="T247" s="12"/>
      <c r="U247" s="12"/>
      <c r="V247" s="12"/>
      <c r="W247" s="12"/>
      <c r="X247" s="12"/>
      <c r="Y247" s="161">
        <f t="shared" si="3"/>
        <v>3147500</v>
      </c>
      <c r="Z247" s="10"/>
    </row>
    <row r="248" spans="1:26" ht="15.75" customHeight="1">
      <c r="A248" s="129"/>
      <c r="B248" s="151" t="s">
        <v>114</v>
      </c>
      <c r="C248" s="117"/>
      <c r="D248" s="117"/>
      <c r="E248" s="117">
        <v>6740250</v>
      </c>
      <c r="F248" s="117"/>
      <c r="G248" s="118"/>
      <c r="H248" s="147"/>
      <c r="I248" s="119"/>
      <c r="J248" s="118"/>
      <c r="K248" s="118"/>
      <c r="L248" s="118"/>
      <c r="M248" s="118"/>
      <c r="N248" s="118"/>
      <c r="O248" s="118"/>
      <c r="P248" s="118"/>
      <c r="Q248" s="118"/>
      <c r="R248" s="118"/>
      <c r="S248" s="12"/>
      <c r="T248" s="12"/>
      <c r="U248" s="12"/>
      <c r="V248" s="12"/>
      <c r="W248" s="12"/>
      <c r="X248" s="12"/>
      <c r="Y248" s="161">
        <f t="shared" si="3"/>
        <v>6740250</v>
      </c>
      <c r="Z248" s="10"/>
    </row>
    <row r="249" spans="1:26" ht="15.75" customHeight="1">
      <c r="A249" s="129"/>
      <c r="B249" s="151" t="s">
        <v>116</v>
      </c>
      <c r="C249" s="117"/>
      <c r="D249" s="117"/>
      <c r="E249" s="117"/>
      <c r="F249" s="117">
        <v>2407000</v>
      </c>
      <c r="G249" s="118"/>
      <c r="H249" s="147"/>
      <c r="I249" s="119"/>
      <c r="J249" s="118"/>
      <c r="K249" s="118"/>
      <c r="L249" s="118"/>
      <c r="M249" s="118"/>
      <c r="N249" s="118"/>
      <c r="O249" s="118"/>
      <c r="P249" s="118"/>
      <c r="Q249" s="118"/>
      <c r="R249" s="118"/>
      <c r="S249" s="12"/>
      <c r="T249" s="12"/>
      <c r="U249" s="12"/>
      <c r="V249" s="12"/>
      <c r="W249" s="12"/>
      <c r="X249" s="12"/>
      <c r="Y249" s="161">
        <f t="shared" si="3"/>
        <v>2407000</v>
      </c>
      <c r="Z249" s="10"/>
    </row>
    <row r="250" spans="1:26" ht="15.75" customHeight="1">
      <c r="A250" s="129"/>
      <c r="B250" s="151" t="s">
        <v>117</v>
      </c>
      <c r="C250" s="117"/>
      <c r="D250" s="117"/>
      <c r="E250" s="117"/>
      <c r="F250" s="117">
        <v>1217000</v>
      </c>
      <c r="G250" s="118"/>
      <c r="H250" s="147"/>
      <c r="I250" s="119"/>
      <c r="J250" s="118"/>
      <c r="K250" s="118"/>
      <c r="L250" s="118"/>
      <c r="M250" s="118"/>
      <c r="N250" s="118"/>
      <c r="O250" s="118"/>
      <c r="P250" s="118"/>
      <c r="Q250" s="118"/>
      <c r="R250" s="118"/>
      <c r="S250" s="12"/>
      <c r="T250" s="12"/>
      <c r="U250" s="12"/>
      <c r="V250" s="12"/>
      <c r="W250" s="12"/>
      <c r="X250" s="12"/>
      <c r="Y250" s="161">
        <f t="shared" si="3"/>
        <v>1217000</v>
      </c>
      <c r="Z250" s="10"/>
    </row>
    <row r="251" spans="1:26" ht="15.75" customHeight="1">
      <c r="A251" s="129"/>
      <c r="B251" s="151" t="s">
        <v>118</v>
      </c>
      <c r="C251" s="117"/>
      <c r="D251" s="117"/>
      <c r="E251" s="117"/>
      <c r="F251" s="117">
        <v>190000</v>
      </c>
      <c r="G251" s="118"/>
      <c r="H251" s="147"/>
      <c r="I251" s="119"/>
      <c r="J251" s="118"/>
      <c r="K251" s="118"/>
      <c r="L251" s="118"/>
      <c r="M251" s="118"/>
      <c r="N251" s="118"/>
      <c r="O251" s="118"/>
      <c r="P251" s="118"/>
      <c r="Q251" s="118"/>
      <c r="R251" s="118"/>
      <c r="S251" s="12"/>
      <c r="T251" s="12"/>
      <c r="U251" s="12"/>
      <c r="V251" s="12"/>
      <c r="W251" s="12"/>
      <c r="X251" s="12"/>
      <c r="Y251" s="161">
        <f t="shared" si="3"/>
        <v>190000</v>
      </c>
      <c r="Z251" s="10"/>
    </row>
    <row r="252" spans="1:26" ht="15.75" customHeight="1">
      <c r="A252" s="129">
        <v>45758</v>
      </c>
      <c r="B252" s="151" t="s">
        <v>352</v>
      </c>
      <c r="C252" s="117"/>
      <c r="D252" s="117"/>
      <c r="E252" s="117"/>
      <c r="F252" s="117"/>
      <c r="G252" s="118"/>
      <c r="H252" s="147"/>
      <c r="I252" s="119"/>
      <c r="J252" s="118"/>
      <c r="K252" s="118">
        <f>8*250000*5</f>
        <v>10000000</v>
      </c>
      <c r="L252" s="118"/>
      <c r="M252" s="118"/>
      <c r="N252" s="118"/>
      <c r="O252" s="118"/>
      <c r="P252" s="118"/>
      <c r="Q252" s="118"/>
      <c r="R252" s="118"/>
      <c r="S252" s="12"/>
      <c r="T252" s="12"/>
      <c r="U252" s="12"/>
      <c r="V252" s="12"/>
      <c r="W252" s="12"/>
      <c r="X252" s="12"/>
      <c r="Y252" s="161">
        <f t="shared" si="3"/>
        <v>10000000</v>
      </c>
      <c r="Z252" s="10"/>
    </row>
    <row r="253" spans="1:26" ht="15.75" customHeight="1">
      <c r="A253" s="129"/>
      <c r="B253" s="151" t="s">
        <v>353</v>
      </c>
      <c r="C253" s="117"/>
      <c r="D253" s="117"/>
      <c r="E253" s="117"/>
      <c r="F253" s="117"/>
      <c r="G253" s="118"/>
      <c r="H253" s="147"/>
      <c r="I253" s="119"/>
      <c r="J253" s="118"/>
      <c r="K253" s="118"/>
      <c r="L253" s="118">
        <f>2*5*250000</f>
        <v>2500000</v>
      </c>
      <c r="M253" s="118"/>
      <c r="N253" s="118"/>
      <c r="O253" s="118"/>
      <c r="P253" s="118"/>
      <c r="Q253" s="118"/>
      <c r="R253" s="118"/>
      <c r="S253" s="12"/>
      <c r="T253" s="12"/>
      <c r="U253" s="12"/>
      <c r="V253" s="12"/>
      <c r="W253" s="12"/>
      <c r="X253" s="12"/>
      <c r="Y253" s="161">
        <f t="shared" si="3"/>
        <v>2500000</v>
      </c>
      <c r="Z253" s="10"/>
    </row>
    <row r="254" spans="1:26" ht="15.75" customHeight="1">
      <c r="A254" s="129"/>
      <c r="B254" s="151" t="s">
        <v>354</v>
      </c>
      <c r="C254" s="117"/>
      <c r="D254" s="117"/>
      <c r="E254" s="117"/>
      <c r="F254" s="117"/>
      <c r="G254" s="118"/>
      <c r="H254" s="147"/>
      <c r="I254" s="119"/>
      <c r="J254" s="118"/>
      <c r="K254" s="118"/>
      <c r="L254" s="118"/>
      <c r="M254" s="118">
        <f>2*5*100000</f>
        <v>1000000</v>
      </c>
      <c r="N254" s="118"/>
      <c r="O254" s="118"/>
      <c r="P254" s="118"/>
      <c r="Q254" s="118"/>
      <c r="R254" s="118"/>
      <c r="S254" s="12"/>
      <c r="T254" s="12"/>
      <c r="U254" s="12"/>
      <c r="V254" s="12"/>
      <c r="W254" s="12"/>
      <c r="X254" s="12"/>
      <c r="Y254" s="161">
        <f t="shared" si="3"/>
        <v>1000000</v>
      </c>
      <c r="Z254" s="10"/>
    </row>
    <row r="255" spans="1:26" ht="15.75" customHeight="1">
      <c r="A255" s="129"/>
      <c r="B255" s="151" t="s">
        <v>350</v>
      </c>
      <c r="C255" s="117"/>
      <c r="D255" s="117"/>
      <c r="E255" s="117"/>
      <c r="F255" s="117"/>
      <c r="G255" s="118"/>
      <c r="H255" s="147"/>
      <c r="I255" s="119"/>
      <c r="J255" s="118"/>
      <c r="K255" s="118"/>
      <c r="L255" s="118"/>
      <c r="M255" s="118"/>
      <c r="N255" s="118"/>
      <c r="O255" s="118">
        <f>2*6*100000</f>
        <v>1200000</v>
      </c>
      <c r="P255" s="118"/>
      <c r="Q255" s="118"/>
      <c r="R255" s="118"/>
      <c r="S255" s="12"/>
      <c r="T255" s="12"/>
      <c r="U255" s="12"/>
      <c r="V255" s="12"/>
      <c r="W255" s="12"/>
      <c r="X255" s="12"/>
      <c r="Y255" s="161">
        <f t="shared" si="3"/>
        <v>1200000</v>
      </c>
      <c r="Z255" s="10"/>
    </row>
    <row r="256" spans="1:26" ht="15.75" customHeight="1">
      <c r="A256" s="129"/>
      <c r="B256" s="151" t="s">
        <v>351</v>
      </c>
      <c r="C256" s="117"/>
      <c r="D256" s="117"/>
      <c r="E256" s="117"/>
      <c r="F256" s="117"/>
      <c r="G256" s="118"/>
      <c r="H256" s="147"/>
      <c r="I256" s="119"/>
      <c r="J256" s="118"/>
      <c r="K256" s="118"/>
      <c r="L256" s="118"/>
      <c r="M256" s="118"/>
      <c r="N256" s="118"/>
      <c r="O256" s="118"/>
      <c r="P256" s="118">
        <f>3*1500000</f>
        <v>4500000</v>
      </c>
      <c r="Q256" s="118"/>
      <c r="R256" s="118"/>
      <c r="S256" s="12"/>
      <c r="T256" s="12"/>
      <c r="U256" s="12"/>
      <c r="V256" s="12"/>
      <c r="W256" s="12"/>
      <c r="X256" s="12"/>
      <c r="Y256" s="161">
        <f t="shared" si="3"/>
        <v>4500000</v>
      </c>
      <c r="Z256" s="10"/>
    </row>
    <row r="257" spans="1:26" ht="15.75" customHeight="1">
      <c r="A257" s="129"/>
      <c r="B257" s="151" t="s">
        <v>349</v>
      </c>
      <c r="C257" s="117"/>
      <c r="D257" s="117"/>
      <c r="E257" s="117"/>
      <c r="F257" s="117"/>
      <c r="G257" s="118"/>
      <c r="H257" s="147"/>
      <c r="I257" s="119"/>
      <c r="J257" s="118"/>
      <c r="K257" s="118"/>
      <c r="L257" s="118"/>
      <c r="M257" s="118"/>
      <c r="N257" s="118">
        <f>5*7*100000</f>
        <v>3500000</v>
      </c>
      <c r="O257" s="118"/>
      <c r="P257" s="118"/>
      <c r="Q257" s="118"/>
      <c r="R257" s="118"/>
      <c r="S257" s="12"/>
      <c r="T257" s="12"/>
      <c r="U257" s="12"/>
      <c r="V257" s="12"/>
      <c r="W257" s="12"/>
      <c r="X257" s="12"/>
      <c r="Y257" s="161">
        <f t="shared" si="3"/>
        <v>3500000</v>
      </c>
      <c r="Z257" s="10"/>
    </row>
    <row r="258" spans="1:26" ht="15.75" customHeight="1">
      <c r="A258" s="129"/>
      <c r="B258" s="151"/>
      <c r="C258" s="117"/>
      <c r="D258" s="117"/>
      <c r="E258" s="117"/>
      <c r="F258" s="117"/>
      <c r="G258" s="118"/>
      <c r="H258" s="147"/>
      <c r="I258" s="119"/>
      <c r="J258" s="118"/>
      <c r="K258" s="118"/>
      <c r="L258" s="118"/>
      <c r="M258" s="118"/>
      <c r="N258" s="118"/>
      <c r="O258" s="118"/>
      <c r="P258" s="118"/>
      <c r="Q258" s="118"/>
      <c r="R258" s="118"/>
      <c r="S258" s="12"/>
      <c r="T258" s="12"/>
      <c r="U258" s="12"/>
      <c r="V258" s="12"/>
      <c r="W258" s="12"/>
      <c r="X258" s="12"/>
      <c r="Y258" s="161">
        <f t="shared" si="3"/>
        <v>0</v>
      </c>
      <c r="Z258" s="10"/>
    </row>
    <row r="259" spans="1:26" ht="15.75" customHeight="1">
      <c r="A259" s="129"/>
      <c r="B259" s="151"/>
      <c r="C259" s="117"/>
      <c r="D259" s="117"/>
      <c r="E259" s="117"/>
      <c r="F259" s="117"/>
      <c r="G259" s="118"/>
      <c r="H259" s="147"/>
      <c r="I259" s="119"/>
      <c r="J259" s="118"/>
      <c r="K259" s="118"/>
      <c r="L259" s="118"/>
      <c r="M259" s="118"/>
      <c r="N259" s="118"/>
      <c r="O259" s="118"/>
      <c r="P259" s="118"/>
      <c r="Q259" s="118"/>
      <c r="R259" s="118"/>
      <c r="S259" s="12"/>
      <c r="T259" s="12"/>
      <c r="U259" s="12"/>
      <c r="V259" s="12"/>
      <c r="W259" s="12"/>
      <c r="X259" s="12"/>
      <c r="Y259" s="161">
        <f t="shared" ref="Y259:Y260" si="4">E259+F259+G259+H259+I259+J259+K259+L259+M259+N259+O259+P259+Q259+R259+S259+T259+U259+V259+W259+X259</f>
        <v>0</v>
      </c>
      <c r="Z259" s="10"/>
    </row>
    <row r="260" spans="1:26" ht="15.75" customHeight="1">
      <c r="A260" s="130"/>
      <c r="B260" s="152"/>
      <c r="C260" s="120"/>
      <c r="D260" s="120"/>
      <c r="E260" s="120"/>
      <c r="F260" s="120"/>
      <c r="G260" s="121"/>
      <c r="H260" s="148"/>
      <c r="I260" s="122"/>
      <c r="J260" s="121"/>
      <c r="K260" s="121"/>
      <c r="L260" s="121"/>
      <c r="M260" s="121"/>
      <c r="N260" s="121"/>
      <c r="O260" s="121"/>
      <c r="P260" s="121"/>
      <c r="Q260" s="121"/>
      <c r="R260" s="123"/>
      <c r="S260" s="124"/>
      <c r="T260" s="124"/>
      <c r="U260" s="124"/>
      <c r="V260" s="124"/>
      <c r="W260" s="124"/>
      <c r="X260" s="124"/>
      <c r="Y260" s="162">
        <f t="shared" si="4"/>
        <v>0</v>
      </c>
      <c r="Z260" s="10"/>
    </row>
    <row r="261" spans="1:26" ht="15.75" customHeight="1" thickBot="1">
      <c r="A261" s="131"/>
      <c r="B261" s="157" t="s">
        <v>16</v>
      </c>
      <c r="C261" s="18">
        <f>SUM(C4:C260)</f>
        <v>182000000</v>
      </c>
      <c r="D261" s="158"/>
      <c r="E261" s="64">
        <f>SUM(E6:E260)</f>
        <v>281755925</v>
      </c>
      <c r="F261" s="60">
        <f>SUM(F6:F260)</f>
        <v>103666000</v>
      </c>
      <c r="G261" s="53">
        <f>SUM(G6:G260)</f>
        <v>30925000</v>
      </c>
      <c r="H261" s="149">
        <f>SUM(H6:H260)</f>
        <v>40322618</v>
      </c>
      <c r="I261" s="19">
        <f>SUM(I7:I260)</f>
        <v>25784000</v>
      </c>
      <c r="J261" s="19">
        <f>SUM(J7:J260)</f>
        <v>4092500</v>
      </c>
      <c r="K261" s="19">
        <f>SUM(K7:K260)</f>
        <v>10000000</v>
      </c>
      <c r="L261" s="19">
        <f>SUM(L7:L260)</f>
        <v>2500000</v>
      </c>
      <c r="M261" s="125">
        <f>SUM(M6:M260)</f>
        <v>1000000</v>
      </c>
      <c r="N261" s="125">
        <f>SUM(N6:N260)</f>
        <v>3500000</v>
      </c>
      <c r="O261" s="125">
        <f>SUM(O6:O260)</f>
        <v>1200000</v>
      </c>
      <c r="P261" s="125">
        <f>SUM(P6:P260)</f>
        <v>4500000</v>
      </c>
      <c r="Q261" s="45">
        <f>SUM(Q6:Q260)</f>
        <v>31800000</v>
      </c>
      <c r="R261" s="46">
        <f>SUM(R6:R260)</f>
        <v>4500000</v>
      </c>
      <c r="S261" s="47">
        <f>SUM(S6:S260)</f>
        <v>11000000</v>
      </c>
      <c r="T261" s="48">
        <f>SUM(T6:T260)</f>
        <v>10082600</v>
      </c>
      <c r="U261" s="57">
        <f>SUM(U6:U260)</f>
        <v>3485550</v>
      </c>
      <c r="V261" s="57">
        <f>SUM(V6:V260)</f>
        <v>1779670</v>
      </c>
      <c r="W261" s="57">
        <f>SUM(W6:W260)</f>
        <v>0</v>
      </c>
      <c r="X261" s="56">
        <f>SUM(X6:X260)</f>
        <v>6541500</v>
      </c>
      <c r="Y261" s="126">
        <f>SUM(Y6:Y260)</f>
        <v>578435363</v>
      </c>
    </row>
    <row r="262" spans="1:26" ht="15.75" customHeight="1" thickTop="1">
      <c r="C262" s="20"/>
      <c r="D262" s="20"/>
      <c r="E262" s="21"/>
      <c r="L262" s="21"/>
      <c r="M262" s="21"/>
      <c r="N262" s="21"/>
      <c r="O262" s="21"/>
      <c r="P262" s="21"/>
      <c r="V262" s="20"/>
      <c r="W262" s="21"/>
      <c r="Y262" s="21">
        <f>E261+F261+G261+H261+I261+J261+K261+L261+M261+N261+O261+P261+Q261+R261+S261+T261+U261+V261+W261+X261</f>
        <v>578435363</v>
      </c>
    </row>
    <row r="263" spans="1:26" ht="15.75" customHeight="1">
      <c r="Y263" s="21">
        <f>E261+F261+G261+H261+I261+J261+K261+L261+M261+N261+O261+P261+Q261+R261+S261+T261+U261+V261+W261+X261</f>
        <v>578435363</v>
      </c>
    </row>
    <row r="264" spans="1:26" ht="15.75" customHeight="1">
      <c r="A264" s="133"/>
      <c r="B264" s="153" t="s">
        <v>17</v>
      </c>
      <c r="E264" s="23">
        <f>80700000+91800000+166800000+155900000+67000000+67000000+78600000+96400000+224400000+79500000+192700000</f>
        <v>1300800000</v>
      </c>
      <c r="F264" s="24"/>
      <c r="G264" s="50"/>
      <c r="R264" s="25"/>
      <c r="S264" s="25"/>
      <c r="T264" s="25"/>
      <c r="U264" s="25"/>
      <c r="V264" s="25"/>
      <c r="W264" s="49"/>
    </row>
    <row r="265" spans="1:26" ht="15.75" customHeight="1">
      <c r="A265" s="134" t="s">
        <v>18</v>
      </c>
      <c r="B265" s="27" t="s">
        <v>19</v>
      </c>
      <c r="C265" s="28"/>
      <c r="D265" s="28"/>
      <c r="E265" s="29"/>
      <c r="F265" s="30"/>
      <c r="G265" s="66" t="s">
        <v>36</v>
      </c>
      <c r="H265" s="138">
        <f>F282</f>
        <v>3485550</v>
      </c>
    </row>
    <row r="266" spans="1:26" ht="15.75" customHeight="1">
      <c r="A266" s="135"/>
      <c r="B266" s="65" t="s">
        <v>6</v>
      </c>
      <c r="C266" s="32"/>
      <c r="D266" s="32"/>
      <c r="E266" s="33"/>
      <c r="F266" s="34">
        <f>E261</f>
        <v>281755925</v>
      </c>
      <c r="G266" s="66" t="s">
        <v>37</v>
      </c>
      <c r="H266" s="138">
        <f>F284*100/E264</f>
        <v>44.467663207257075</v>
      </c>
    </row>
    <row r="267" spans="1:26" ht="15.75" customHeight="1">
      <c r="A267" s="136"/>
      <c r="B267" s="65" t="s">
        <v>7</v>
      </c>
      <c r="C267" s="32"/>
      <c r="D267" s="32"/>
      <c r="E267" s="83"/>
      <c r="F267" s="34">
        <f>F261</f>
        <v>103666000</v>
      </c>
      <c r="G267" s="25"/>
      <c r="H267" s="139"/>
    </row>
    <row r="268" spans="1:26" ht="15.75" customHeight="1">
      <c r="A268" s="136"/>
      <c r="B268" s="65" t="s">
        <v>8</v>
      </c>
      <c r="C268" s="32"/>
      <c r="D268" s="32"/>
      <c r="E268" s="83"/>
      <c r="F268" s="34">
        <f>G261</f>
        <v>30925000</v>
      </c>
      <c r="G268" s="71"/>
      <c r="I268" s="69" t="s">
        <v>38</v>
      </c>
      <c r="J268" s="72" t="s">
        <v>39</v>
      </c>
      <c r="K268" s="69" t="s">
        <v>40</v>
      </c>
    </row>
    <row r="269" spans="1:26" ht="15.75" customHeight="1">
      <c r="A269" s="136"/>
      <c r="B269" s="65" t="s">
        <v>9</v>
      </c>
      <c r="C269" s="32"/>
      <c r="D269" s="32"/>
      <c r="E269" s="33"/>
      <c r="F269" s="34">
        <f>H261</f>
        <v>40322618</v>
      </c>
      <c r="G269" s="99"/>
      <c r="H269" s="140" t="s">
        <v>48</v>
      </c>
      <c r="J269" s="103"/>
      <c r="K269" s="102"/>
    </row>
    <row r="270" spans="1:26" ht="15.75" customHeight="1">
      <c r="A270" s="136"/>
      <c r="B270" s="65" t="s">
        <v>10</v>
      </c>
      <c r="C270" s="32"/>
      <c r="D270" s="32"/>
      <c r="E270" s="33"/>
      <c r="F270" s="34">
        <f>I261</f>
        <v>25784000</v>
      </c>
      <c r="G270" s="73"/>
      <c r="H270" s="141" t="s">
        <v>47</v>
      </c>
      <c r="I270" s="102">
        <f>50000000+65000000+120000000+112500000+43500000+43500000+50000000+65000000+160000000+47500000+137500000</f>
        <v>894500000</v>
      </c>
      <c r="J270" s="103">
        <f>E261+F261</f>
        <v>385421925</v>
      </c>
      <c r="K270" s="102">
        <f>I270-J270</f>
        <v>509078075</v>
      </c>
    </row>
    <row r="271" spans="1:26" ht="15.75" customHeight="1">
      <c r="A271" s="136"/>
      <c r="B271" s="65" t="s">
        <v>11</v>
      </c>
      <c r="C271" s="32"/>
      <c r="D271" s="32"/>
      <c r="E271" s="33"/>
      <c r="F271" s="34">
        <f>J261</f>
        <v>4092500</v>
      </c>
      <c r="G271" s="73"/>
      <c r="H271" s="140" t="s">
        <v>49</v>
      </c>
      <c r="I271" s="102"/>
      <c r="J271" s="103"/>
      <c r="K271" s="102"/>
    </row>
    <row r="272" spans="1:26" ht="15.75" customHeight="1">
      <c r="A272" s="136"/>
      <c r="B272" s="65" t="s">
        <v>356</v>
      </c>
      <c r="C272" s="32"/>
      <c r="D272" s="32"/>
      <c r="E272" s="33"/>
      <c r="F272" s="34">
        <f>K261</f>
        <v>10000000</v>
      </c>
      <c r="G272" s="73"/>
      <c r="H272" s="67" t="s">
        <v>74</v>
      </c>
      <c r="I272" s="102">
        <f>4200000+3150000+5600000+5600000+3150000+4200000+10500000+8400000+7000000</f>
        <v>51800000</v>
      </c>
      <c r="J272" s="21">
        <f>K261</f>
        <v>10000000</v>
      </c>
      <c r="K272" s="166">
        <f>I272-J272</f>
        <v>41800000</v>
      </c>
    </row>
    <row r="273" spans="1:23" ht="15.75" customHeight="1">
      <c r="A273" s="136"/>
      <c r="B273" s="65" t="s">
        <v>75</v>
      </c>
      <c r="C273" s="32"/>
      <c r="D273" s="32"/>
      <c r="E273" s="33"/>
      <c r="F273" s="34">
        <f>L261</f>
        <v>2500000</v>
      </c>
      <c r="G273" s="73"/>
      <c r="H273" s="141" t="s">
        <v>342</v>
      </c>
      <c r="I273" s="102">
        <f>700000+1050000+1750000+1750000+1050000+1050000+1400000+700000+3500000</f>
        <v>12950000</v>
      </c>
      <c r="J273" s="103">
        <f>L261</f>
        <v>2500000</v>
      </c>
      <c r="K273" s="167">
        <f>I273-J273</f>
        <v>10450000</v>
      </c>
    </row>
    <row r="274" spans="1:23" ht="15.75" customHeight="1">
      <c r="A274" s="136"/>
      <c r="B274" s="65" t="s">
        <v>84</v>
      </c>
      <c r="C274" s="32"/>
      <c r="D274" s="32"/>
      <c r="E274" s="33"/>
      <c r="F274" s="34">
        <f>M261</f>
        <v>1000000</v>
      </c>
      <c r="G274" s="73"/>
      <c r="H274" s="141" t="s">
        <v>76</v>
      </c>
      <c r="I274" s="102">
        <f>600000+900000+1500000+1500000+900000+900000+1200000+600000+2250000</f>
        <v>10350000</v>
      </c>
      <c r="J274" s="103">
        <f>M261</f>
        <v>1000000</v>
      </c>
      <c r="K274" s="167">
        <f>I274-J274</f>
        <v>9350000</v>
      </c>
    </row>
    <row r="275" spans="1:23" ht="15.75" customHeight="1">
      <c r="A275" s="136"/>
      <c r="B275" s="65" t="s">
        <v>77</v>
      </c>
      <c r="C275" s="32"/>
      <c r="D275" s="32"/>
      <c r="E275" s="33"/>
      <c r="F275" s="34">
        <f>N261</f>
        <v>3500000</v>
      </c>
      <c r="G275" s="73"/>
      <c r="H275" s="141" t="s">
        <v>343</v>
      </c>
      <c r="I275" s="102">
        <f>200000+200000+400000</f>
        <v>800000</v>
      </c>
      <c r="J275" s="103">
        <f>O261</f>
        <v>1200000</v>
      </c>
      <c r="K275" s="167">
        <f t="shared" ref="K275:K290" si="5">I275-J275</f>
        <v>-400000</v>
      </c>
    </row>
    <row r="276" spans="1:23" ht="15.75" customHeight="1">
      <c r="A276" s="136"/>
      <c r="B276" s="65" t="s">
        <v>357</v>
      </c>
      <c r="C276" s="32"/>
      <c r="D276" s="32"/>
      <c r="E276" s="33"/>
      <c r="F276" s="34">
        <f>O261</f>
        <v>1200000</v>
      </c>
      <c r="G276" s="100"/>
      <c r="H276" s="141" t="s">
        <v>79</v>
      </c>
      <c r="I276" s="102">
        <f>2750000+2750000+2750000</f>
        <v>8250000</v>
      </c>
      <c r="J276" s="21">
        <f>P261</f>
        <v>4500000</v>
      </c>
      <c r="K276" s="167">
        <f t="shared" si="5"/>
        <v>3750000</v>
      </c>
    </row>
    <row r="277" spans="1:23" ht="15.75" customHeight="1">
      <c r="A277" s="136"/>
      <c r="B277" s="65" t="s">
        <v>85</v>
      </c>
      <c r="C277" s="32"/>
      <c r="D277" s="32"/>
      <c r="E277" s="33"/>
      <c r="F277" s="34">
        <f>P261</f>
        <v>4500000</v>
      </c>
      <c r="G277" s="100"/>
      <c r="H277" s="141" t="s">
        <v>77</v>
      </c>
      <c r="I277" s="102">
        <f>600000+300000+300000+150000</f>
        <v>1350000</v>
      </c>
      <c r="J277" s="103">
        <f>N261</f>
        <v>3500000</v>
      </c>
      <c r="K277" s="167">
        <f t="shared" si="5"/>
        <v>-2150000</v>
      </c>
    </row>
    <row r="278" spans="1:23" ht="15.75" customHeight="1">
      <c r="A278" s="136"/>
      <c r="B278" s="65" t="s">
        <v>33</v>
      </c>
      <c r="C278" s="32"/>
      <c r="D278" s="32"/>
      <c r="E278" s="33"/>
      <c r="F278" s="34">
        <f>Q261</f>
        <v>31800000</v>
      </c>
      <c r="G278" s="100"/>
      <c r="H278" s="67" t="s">
        <v>348</v>
      </c>
      <c r="I278" s="102">
        <f>8500000+8500000</f>
        <v>17000000</v>
      </c>
      <c r="K278" s="167">
        <f t="shared" si="5"/>
        <v>17000000</v>
      </c>
    </row>
    <row r="279" spans="1:23" ht="15.75" customHeight="1">
      <c r="A279" s="136"/>
      <c r="B279" s="65" t="s">
        <v>34</v>
      </c>
      <c r="C279" s="32"/>
      <c r="D279" s="32"/>
      <c r="E279" s="33"/>
      <c r="F279" s="34">
        <f>R261</f>
        <v>4500000</v>
      </c>
      <c r="G279" s="100"/>
      <c r="H279" s="142" t="s">
        <v>52</v>
      </c>
      <c r="I279" s="102"/>
      <c r="J279" s="103"/>
      <c r="K279" s="167"/>
    </row>
    <row r="280" spans="1:23" ht="15.75" customHeight="1">
      <c r="A280" s="136"/>
      <c r="B280" s="65" t="s">
        <v>13</v>
      </c>
      <c r="C280" s="32"/>
      <c r="D280" s="32"/>
      <c r="E280" s="33"/>
      <c r="F280" s="34">
        <f>S261</f>
        <v>11000000</v>
      </c>
      <c r="G280" s="100"/>
      <c r="H280" s="67" t="s">
        <v>50</v>
      </c>
      <c r="I280" s="102">
        <f>4000000+4800000+6000000+4800000+2400000+2400000+3200000+4800000+9600000+4800000+7200000</f>
        <v>54000000</v>
      </c>
      <c r="J280" s="103">
        <f>Q261</f>
        <v>31800000</v>
      </c>
      <c r="K280" s="167">
        <f t="shared" si="5"/>
        <v>22200000</v>
      </c>
    </row>
    <row r="281" spans="1:23" ht="15.75" customHeight="1">
      <c r="A281" s="136"/>
      <c r="B281" s="65" t="s">
        <v>12</v>
      </c>
      <c r="C281" s="32"/>
      <c r="D281" s="32"/>
      <c r="E281" s="33"/>
      <c r="F281" s="34">
        <f>T261</f>
        <v>10082600</v>
      </c>
      <c r="G281" s="100"/>
      <c r="H281" s="67" t="s">
        <v>51</v>
      </c>
      <c r="I281" s="102">
        <f>3500000+3500000+3500000+3500000+3500000+3500000+3500000+3500000+3500000+3500000+3500000</f>
        <v>38500000</v>
      </c>
      <c r="J281" s="103">
        <f>R261</f>
        <v>4500000</v>
      </c>
      <c r="K281" s="167">
        <f t="shared" si="5"/>
        <v>34000000</v>
      </c>
    </row>
    <row r="282" spans="1:23" ht="15.75" customHeight="1">
      <c r="A282" s="136"/>
      <c r="B282" s="65" t="s">
        <v>35</v>
      </c>
      <c r="C282" s="32"/>
      <c r="D282" s="32"/>
      <c r="E282" s="33"/>
      <c r="F282" s="34">
        <f>U261</f>
        <v>3485550</v>
      </c>
      <c r="G282" s="100"/>
      <c r="H282" s="140" t="s">
        <v>53</v>
      </c>
      <c r="I282" s="102"/>
      <c r="J282" s="103"/>
      <c r="K282" s="167">
        <f t="shared" si="5"/>
        <v>0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 spans="1:23" ht="15.75" customHeight="1">
      <c r="A283" s="136"/>
      <c r="B283" s="65" t="s">
        <v>44</v>
      </c>
      <c r="C283" s="32"/>
      <c r="D283" s="32"/>
      <c r="E283" s="33"/>
      <c r="F283" s="34">
        <f>V261+W261+X261</f>
        <v>8321170</v>
      </c>
      <c r="G283" s="100"/>
      <c r="H283" s="67" t="s">
        <v>54</v>
      </c>
      <c r="I283" s="102">
        <f>4500000+5400000+10800000+10800000+2700000+2700000+4800000+7200000+23400000+5400000+13500000</f>
        <v>91200000</v>
      </c>
      <c r="J283" s="103">
        <f>T261</f>
        <v>10082600</v>
      </c>
      <c r="K283" s="167">
        <f t="shared" si="5"/>
        <v>81117400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 spans="1:23" ht="15.75" customHeight="1">
      <c r="A284" s="136"/>
      <c r="B284" s="154"/>
      <c r="C284" s="38"/>
      <c r="D284" s="38"/>
      <c r="E284" s="39" t="s">
        <v>21</v>
      </c>
      <c r="F284" s="40">
        <f>SUM(F266:F283)</f>
        <v>578435363</v>
      </c>
      <c r="G284" s="73"/>
      <c r="H284" s="67" t="s">
        <v>26</v>
      </c>
      <c r="I284" s="102">
        <f>3000000+3000000+3000000+3000000+3000000+3000000+3000000+3000000+3000000+3000000+3000000</f>
        <v>33000000</v>
      </c>
      <c r="J284" s="103">
        <f>S261</f>
        <v>11000000</v>
      </c>
      <c r="K284" s="167">
        <f t="shared" si="5"/>
        <v>22000000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 spans="1:23" ht="15.75" customHeight="1">
      <c r="A285" s="136"/>
      <c r="B285" s="155"/>
      <c r="C285" s="42"/>
      <c r="D285" s="42"/>
      <c r="E285" s="43" t="s">
        <v>22</v>
      </c>
      <c r="F285" s="44">
        <f>E264-F284</f>
        <v>722364637</v>
      </c>
      <c r="G285" s="73"/>
      <c r="H285" s="67" t="s">
        <v>46</v>
      </c>
      <c r="I285" s="102">
        <f>3000000+3000000+6000000+6000000+3000000+3000000+4000000+4000000+6500000+3000000+5000000</f>
        <v>46500000</v>
      </c>
      <c r="J285" s="103">
        <f>U261</f>
        <v>3485550</v>
      </c>
      <c r="K285" s="167">
        <f t="shared" si="5"/>
        <v>43014450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 spans="1:23" ht="15.75" customHeight="1">
      <c r="A286" s="137"/>
      <c r="E286" s="21"/>
      <c r="F286" s="21"/>
      <c r="G286" s="73"/>
      <c r="H286" s="140" t="s">
        <v>55</v>
      </c>
      <c r="I286" s="102"/>
      <c r="J286" s="103"/>
      <c r="K286" s="167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 spans="1:23" ht="15.75" customHeight="1">
      <c r="A287" s="164" t="s">
        <v>332</v>
      </c>
      <c r="B287" s="153" t="s">
        <v>81</v>
      </c>
      <c r="C287" s="82">
        <v>80700000</v>
      </c>
      <c r="D287" s="21" t="s">
        <v>87</v>
      </c>
      <c r="E287" s="82">
        <f>C287</f>
        <v>80700000</v>
      </c>
      <c r="F287" s="21"/>
      <c r="H287" s="67" t="s">
        <v>58</v>
      </c>
      <c r="I287" s="102">
        <f>1500000+1800000+1800000+1800000+900000+900000+1200000+1800000+3600000+1800000+2700000</f>
        <v>19800000</v>
      </c>
      <c r="J287" s="103">
        <f>J261</f>
        <v>4092500</v>
      </c>
      <c r="K287" s="167">
        <f t="shared" si="5"/>
        <v>15707500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 spans="1:23" ht="15.75" customHeight="1">
      <c r="A288" s="164" t="s">
        <v>333</v>
      </c>
      <c r="B288" s="153" t="s">
        <v>82</v>
      </c>
      <c r="C288" s="82">
        <v>91800000</v>
      </c>
      <c r="D288" s="21" t="s">
        <v>88</v>
      </c>
      <c r="E288" s="82">
        <f t="shared" ref="E288:E297" si="6">E287+C288</f>
        <v>172500000</v>
      </c>
      <c r="F288" s="21"/>
      <c r="G288" s="21"/>
      <c r="H288" s="140" t="s">
        <v>56</v>
      </c>
      <c r="I288" s="102"/>
      <c r="J288" s="103"/>
      <c r="K288" s="167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 spans="1:22" ht="15.75" customHeight="1">
      <c r="A289" s="164" t="s">
        <v>334</v>
      </c>
      <c r="B289" s="153" t="s">
        <v>345</v>
      </c>
      <c r="C289" s="82">
        <v>166800000</v>
      </c>
      <c r="D289" s="21" t="s">
        <v>89</v>
      </c>
      <c r="E289" s="82">
        <f t="shared" si="6"/>
        <v>339300000</v>
      </c>
      <c r="F289" s="21"/>
      <c r="G289" s="21"/>
      <c r="H289" s="67" t="s">
        <v>57</v>
      </c>
      <c r="I289" s="102">
        <f>7000000+5000000+15000000+12500000+3000000+3000000+5000000+6000000+10000000+5000000+17500000</f>
        <v>89000000</v>
      </c>
      <c r="J289" s="103">
        <f>G261+H261+I261</f>
        <v>97031618</v>
      </c>
      <c r="K289" s="167">
        <f t="shared" si="5"/>
        <v>-8031618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</row>
    <row r="290" spans="1:22" ht="15.75" customHeight="1" thickBot="1">
      <c r="A290" s="164" t="s">
        <v>335</v>
      </c>
      <c r="B290" s="153" t="s">
        <v>97</v>
      </c>
      <c r="C290" s="82">
        <v>155900000</v>
      </c>
      <c r="D290" s="21" t="s">
        <v>98</v>
      </c>
      <c r="E290" s="82">
        <f t="shared" si="6"/>
        <v>495200000</v>
      </c>
      <c r="F290" s="21"/>
      <c r="G290" s="21"/>
      <c r="H290" s="143" t="s">
        <v>59</v>
      </c>
      <c r="I290" s="103">
        <v>0</v>
      </c>
      <c r="J290" s="103">
        <f>V261+W261+X261</f>
        <v>8321170</v>
      </c>
      <c r="K290" s="167">
        <f t="shared" si="5"/>
        <v>-8321170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</row>
    <row r="291" spans="1:22" ht="15.75" customHeight="1">
      <c r="A291" s="164" t="s">
        <v>336</v>
      </c>
      <c r="B291" s="153" t="s">
        <v>91</v>
      </c>
      <c r="C291" s="82">
        <v>67000000</v>
      </c>
      <c r="D291" s="21" t="s">
        <v>90</v>
      </c>
      <c r="E291" s="82">
        <f t="shared" si="6"/>
        <v>562200000</v>
      </c>
      <c r="F291" s="21"/>
      <c r="G291" s="21"/>
      <c r="H291" s="141" t="s">
        <v>41</v>
      </c>
      <c r="I291" s="110">
        <f>SUM(I270:I289)</f>
        <v>1369000000</v>
      </c>
      <c r="J291" s="165">
        <f>SUM(J270:J290)</f>
        <v>578435363</v>
      </c>
      <c r="K291" s="165">
        <f>SUM(K270:K290)</f>
        <v>790564637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</row>
    <row r="292" spans="1:22" ht="15.75" customHeight="1" thickBot="1">
      <c r="A292" s="164" t="s">
        <v>337</v>
      </c>
      <c r="B292" s="153" t="s">
        <v>92</v>
      </c>
      <c r="C292" s="82">
        <v>67000000</v>
      </c>
      <c r="D292" s="21" t="s">
        <v>93</v>
      </c>
      <c r="E292" s="82">
        <f t="shared" si="6"/>
        <v>629200000</v>
      </c>
      <c r="F292" s="101"/>
      <c r="G292" s="25"/>
      <c r="H292" s="141" t="s">
        <v>42</v>
      </c>
      <c r="I292" s="74">
        <f>4800000+4250000+8750000+8150000+3500000+3500000+4150000+5050000+11750000+4200000+10100000</f>
        <v>68200000</v>
      </c>
      <c r="J292" s="87">
        <v>0</v>
      </c>
      <c r="K292" s="87">
        <v>68200000</v>
      </c>
      <c r="L292" s="21"/>
      <c r="M292" s="21"/>
      <c r="N292" s="21"/>
      <c r="O292" s="21"/>
      <c r="P292" s="21"/>
    </row>
    <row r="293" spans="1:22" ht="15.75" customHeight="1">
      <c r="A293" s="164" t="s">
        <v>338</v>
      </c>
      <c r="B293" s="153" t="s">
        <v>80</v>
      </c>
      <c r="C293" s="82">
        <v>78600000</v>
      </c>
      <c r="D293" s="21" t="s">
        <v>94</v>
      </c>
      <c r="E293" s="82">
        <f t="shared" si="6"/>
        <v>707800000</v>
      </c>
      <c r="F293" s="21"/>
      <c r="H293" s="144" t="s">
        <v>43</v>
      </c>
      <c r="I293" s="80">
        <f>I291-I292</f>
        <v>1300800000</v>
      </c>
      <c r="J293" s="81">
        <f>J291-J292</f>
        <v>578435363</v>
      </c>
      <c r="K293" s="81">
        <f>K291-K292</f>
        <v>722364637</v>
      </c>
    </row>
    <row r="294" spans="1:22" ht="15.75" customHeight="1">
      <c r="A294" s="164" t="s">
        <v>339</v>
      </c>
      <c r="B294" s="153" t="s">
        <v>95</v>
      </c>
      <c r="C294" s="82">
        <v>96400000</v>
      </c>
      <c r="D294" s="21" t="s">
        <v>96</v>
      </c>
      <c r="E294" s="82">
        <f t="shared" si="6"/>
        <v>804200000</v>
      </c>
      <c r="F294" s="21"/>
      <c r="G294" s="21"/>
      <c r="H294" s="145"/>
      <c r="I294" s="74"/>
      <c r="J294" s="87"/>
      <c r="K294" s="67"/>
    </row>
    <row r="295" spans="1:22" ht="15.75" customHeight="1">
      <c r="A295" s="164" t="s">
        <v>340</v>
      </c>
      <c r="B295" s="1" t="s">
        <v>346</v>
      </c>
      <c r="C295" s="82">
        <v>224400000</v>
      </c>
      <c r="D295" s="1" t="s">
        <v>347</v>
      </c>
      <c r="E295" s="82">
        <f t="shared" si="6"/>
        <v>1028600000</v>
      </c>
      <c r="F295" s="21"/>
      <c r="K295" s="67"/>
    </row>
    <row r="296" spans="1:22" ht="15.75" customHeight="1">
      <c r="A296" s="164" t="s">
        <v>341</v>
      </c>
      <c r="B296" s="153" t="s">
        <v>99</v>
      </c>
      <c r="C296" s="82">
        <v>79500000</v>
      </c>
      <c r="D296" s="21" t="s">
        <v>100</v>
      </c>
      <c r="E296" s="82">
        <f t="shared" si="6"/>
        <v>1108100000</v>
      </c>
      <c r="F296" s="21"/>
      <c r="K296" s="67"/>
    </row>
    <row r="297" spans="1:22" ht="15.75" customHeight="1" thickBot="1">
      <c r="A297" s="164" t="s">
        <v>344</v>
      </c>
      <c r="B297" s="153" t="s">
        <v>102</v>
      </c>
      <c r="C297" s="82">
        <v>192700000</v>
      </c>
      <c r="D297" s="1" t="s">
        <v>101</v>
      </c>
      <c r="E297" s="82">
        <f t="shared" si="6"/>
        <v>1300800000</v>
      </c>
      <c r="F297" s="21"/>
      <c r="K297" s="67"/>
    </row>
    <row r="298" spans="1:22" ht="15.75" customHeight="1" thickTop="1">
      <c r="C298" s="112">
        <f>SUM(C287:C297)</f>
        <v>1300800000</v>
      </c>
      <c r="D298" s="159"/>
      <c r="K298" s="67"/>
    </row>
    <row r="312" spans="7:7" ht="15.75" customHeight="1">
      <c r="G312" s="21"/>
    </row>
    <row r="313" spans="7:7" ht="15.75" customHeight="1">
      <c r="G313" s="21"/>
    </row>
    <row r="367" spans="9:9" ht="15.75" customHeight="1">
      <c r="I367" s="67"/>
    </row>
    <row r="368" spans="9:9" ht="15.75" customHeight="1">
      <c r="I368" s="67"/>
    </row>
    <row r="369" spans="9:9" ht="15.75" customHeight="1">
      <c r="I369" s="67"/>
    </row>
    <row r="370" spans="9:9" ht="15.75" customHeight="1">
      <c r="I370" s="67"/>
    </row>
    <row r="371" spans="9:9" ht="15.75" customHeight="1">
      <c r="I371" s="67"/>
    </row>
    <row r="372" spans="9:9" ht="15.75" customHeight="1">
      <c r="I372" s="67"/>
    </row>
    <row r="373" spans="9:9" ht="15.75" customHeight="1">
      <c r="I373" s="67"/>
    </row>
    <row r="374" spans="9:9" ht="15.75" customHeight="1">
      <c r="I374" s="67"/>
    </row>
    <row r="375" spans="9:9" ht="15.75" customHeight="1">
      <c r="I375" s="67"/>
    </row>
    <row r="376" spans="9:9" ht="15.75" customHeight="1">
      <c r="I376" s="67"/>
    </row>
    <row r="377" spans="9:9" ht="15.75" customHeight="1">
      <c r="I377" s="67"/>
    </row>
    <row r="378" spans="9:9" ht="15.75" customHeight="1">
      <c r="I378" s="67"/>
    </row>
    <row r="379" spans="9:9" ht="15.75" customHeight="1">
      <c r="I379" s="67"/>
    </row>
    <row r="380" spans="9:9" ht="15.75" customHeight="1">
      <c r="I380" s="67"/>
    </row>
    <row r="381" spans="9:9" ht="15.75" customHeight="1">
      <c r="I381" s="67"/>
    </row>
    <row r="382" spans="9:9" ht="15.75" customHeight="1">
      <c r="I382" s="67"/>
    </row>
    <row r="383" spans="9:9" ht="15.75" customHeight="1">
      <c r="I383" s="67"/>
    </row>
    <row r="384" spans="9:9" ht="15.75" customHeight="1">
      <c r="I384" s="67"/>
    </row>
    <row r="484" spans="9:10" ht="15.75" customHeight="1">
      <c r="I484" s="67"/>
    </row>
    <row r="485" spans="9:10" ht="15.75" customHeight="1">
      <c r="I485" s="67">
        <v>7800000</v>
      </c>
      <c r="J485" s="67"/>
    </row>
    <row r="486" spans="9:10" ht="15.75" customHeight="1">
      <c r="I486" s="113">
        <f>11/100</f>
        <v>0.11</v>
      </c>
      <c r="J486" s="67"/>
    </row>
    <row r="487" spans="9:10" ht="15.75" customHeight="1">
      <c r="I487" s="67">
        <f>I485*I486</f>
        <v>858000</v>
      </c>
      <c r="J487" s="67"/>
    </row>
    <row r="488" spans="9:10" ht="15.75" customHeight="1">
      <c r="I488" s="67"/>
      <c r="J488" s="67"/>
    </row>
    <row r="489" spans="9:10" ht="15.75" customHeight="1">
      <c r="I489" s="67"/>
      <c r="J489" s="67"/>
    </row>
    <row r="490" spans="9:10" ht="15.75" customHeight="1">
      <c r="I490" s="67"/>
      <c r="J490" s="67"/>
    </row>
    <row r="491" spans="9:10" ht="15.75" customHeight="1">
      <c r="I491" s="67"/>
      <c r="J491" s="67"/>
    </row>
    <row r="492" spans="9:10" ht="15.75" customHeight="1">
      <c r="I492" s="67"/>
      <c r="J492" s="67"/>
    </row>
    <row r="493" spans="9:10" ht="15.75" customHeight="1">
      <c r="J493" s="67"/>
    </row>
  </sheetData>
  <mergeCells count="32">
    <mergeCell ref="Y2:Y5"/>
    <mergeCell ref="V3:V5"/>
    <mergeCell ref="W3:W5"/>
    <mergeCell ref="X3:X5"/>
    <mergeCell ref="A3:A5"/>
    <mergeCell ref="B3:B5"/>
    <mergeCell ref="C3:C5"/>
    <mergeCell ref="E3:E5"/>
    <mergeCell ref="F3:F5"/>
    <mergeCell ref="G3:G5"/>
    <mergeCell ref="H3:H5"/>
    <mergeCell ref="I3:I5"/>
    <mergeCell ref="J3:J5"/>
    <mergeCell ref="U3:U5"/>
    <mergeCell ref="K3:K5"/>
    <mergeCell ref="L3:L5"/>
    <mergeCell ref="Q3:Q5"/>
    <mergeCell ref="R3:R5"/>
    <mergeCell ref="S3:S5"/>
    <mergeCell ref="T3:T5"/>
    <mergeCell ref="A1:W1"/>
    <mergeCell ref="E2:F2"/>
    <mergeCell ref="G2:I2"/>
    <mergeCell ref="Q2:R2"/>
    <mergeCell ref="S2:U2"/>
    <mergeCell ref="V2:X2"/>
    <mergeCell ref="N3:N5"/>
    <mergeCell ref="O3:O5"/>
    <mergeCell ref="M3:M5"/>
    <mergeCell ref="J2:P2"/>
    <mergeCell ref="P3:P5"/>
    <mergeCell ref="D3:D5"/>
  </mergeCells>
  <phoneticPr fontId="16" type="noConversion"/>
  <pageMargins left="0.25" right="0.25" top="0.27" bottom="0.2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D2C0-351C-4A4E-9F18-5E3C00EB500A}">
  <dimension ref="A1:K68"/>
  <sheetViews>
    <sheetView workbookViewId="0">
      <pane ySplit="1875" topLeftCell="A76" activePane="bottomLeft"/>
      <selection activeCell="I3" sqref="I1:I1048576"/>
      <selection pane="bottomLeft" activeCell="H10" sqref="H10"/>
    </sheetView>
  </sheetViews>
  <sheetFormatPr defaultColWidth="9.140625" defaultRowHeight="15.75" customHeight="1"/>
  <cols>
    <col min="1" max="1" width="8.140625" style="1" customWidth="1"/>
    <col min="2" max="2" width="24.42578125" style="1" customWidth="1"/>
    <col min="3" max="3" width="15.7109375" style="1" customWidth="1"/>
    <col min="4" max="4" width="16.7109375" style="1" customWidth="1"/>
    <col min="5" max="5" width="14" style="1" customWidth="1"/>
    <col min="6" max="6" width="18.7109375" style="1" customWidth="1"/>
    <col min="7" max="7" width="21.85546875" style="1" customWidth="1"/>
    <col min="8" max="8" width="13.5703125" style="1" customWidth="1"/>
    <col min="9" max="9" width="15.42578125" style="1" customWidth="1"/>
    <col min="10" max="10" width="15" style="1" customWidth="1"/>
    <col min="11" max="11" width="14.42578125" style="1" customWidth="1"/>
    <col min="12" max="12" width="14.28515625" style="1" customWidth="1"/>
    <col min="13" max="16384" width="9.140625" style="1"/>
  </cols>
  <sheetData>
    <row r="1" spans="1:11" ht="15.75" customHeight="1">
      <c r="A1" s="176" t="s">
        <v>73</v>
      </c>
      <c r="B1" s="176"/>
      <c r="C1" s="176"/>
      <c r="D1" s="176"/>
      <c r="E1" s="176"/>
      <c r="F1" s="176"/>
      <c r="G1" s="176"/>
      <c r="H1" s="177"/>
    </row>
    <row r="2" spans="1:11" ht="15.75" customHeight="1">
      <c r="A2" s="2"/>
      <c r="B2" s="3"/>
      <c r="C2" s="4"/>
      <c r="D2" s="179" t="s">
        <v>0</v>
      </c>
      <c r="E2" s="180"/>
      <c r="F2" s="181" t="s">
        <v>23</v>
      </c>
      <c r="G2" s="182"/>
      <c r="H2" s="85"/>
      <c r="I2" s="86"/>
      <c r="J2" s="190" t="s">
        <v>15</v>
      </c>
    </row>
    <row r="3" spans="1:11" ht="15.75" customHeight="1">
      <c r="A3" s="201" t="s">
        <v>3</v>
      </c>
      <c r="B3" s="190" t="s">
        <v>4</v>
      </c>
      <c r="C3" s="188" t="s">
        <v>5</v>
      </c>
      <c r="D3" s="196" t="s">
        <v>30</v>
      </c>
      <c r="E3" s="190" t="s">
        <v>62</v>
      </c>
      <c r="F3" s="190" t="s">
        <v>63</v>
      </c>
      <c r="G3" s="190" t="s">
        <v>64</v>
      </c>
      <c r="H3" s="190" t="s">
        <v>14</v>
      </c>
      <c r="I3" s="192" t="s">
        <v>29</v>
      </c>
      <c r="J3" s="191"/>
    </row>
    <row r="4" spans="1:11" ht="15.75" customHeight="1">
      <c r="A4" s="202"/>
      <c r="B4" s="191"/>
      <c r="C4" s="189"/>
      <c r="D4" s="197"/>
      <c r="E4" s="191"/>
      <c r="F4" s="191"/>
      <c r="G4" s="191"/>
      <c r="H4" s="191"/>
      <c r="I4" s="193"/>
      <c r="J4" s="191"/>
      <c r="K4" s="10"/>
    </row>
    <row r="5" spans="1:11" ht="15.75" customHeight="1">
      <c r="A5" s="202"/>
      <c r="B5" s="191"/>
      <c r="C5" s="189"/>
      <c r="D5" s="197"/>
      <c r="E5" s="191"/>
      <c r="F5" s="191"/>
      <c r="G5" s="191"/>
      <c r="H5" s="191"/>
      <c r="I5" s="193"/>
      <c r="J5" s="191"/>
      <c r="K5" s="10"/>
    </row>
    <row r="6" spans="1:11" ht="15.75" customHeight="1">
      <c r="A6" s="97">
        <v>45772</v>
      </c>
      <c r="B6" s="98" t="s">
        <v>192</v>
      </c>
      <c r="C6" s="88"/>
      <c r="D6" s="89"/>
      <c r="E6" s="90"/>
      <c r="F6" s="91"/>
      <c r="G6" s="92"/>
      <c r="H6" s="94">
        <v>4000000</v>
      </c>
      <c r="I6" s="95"/>
      <c r="J6" s="96">
        <f>D6+E6+F6+G6+H6+I6</f>
        <v>4000000</v>
      </c>
      <c r="K6" s="10"/>
    </row>
    <row r="7" spans="1:11" ht="15.75" customHeight="1">
      <c r="A7" s="15"/>
      <c r="B7" s="14" t="s">
        <v>193</v>
      </c>
      <c r="C7" s="61"/>
      <c r="D7" s="62"/>
      <c r="E7" s="58"/>
      <c r="F7" s="6"/>
      <c r="G7" s="7"/>
      <c r="H7" s="11"/>
      <c r="I7" s="54">
        <v>2000000</v>
      </c>
      <c r="J7" s="13">
        <f t="shared" ref="J7:J14" si="0">D7+E7+F7+G7+H7+I7</f>
        <v>2000000</v>
      </c>
      <c r="K7" s="10"/>
    </row>
    <row r="8" spans="1:11" ht="15.75" customHeight="1">
      <c r="A8" s="15"/>
      <c r="B8" s="14" t="s">
        <v>195</v>
      </c>
      <c r="C8" s="61"/>
      <c r="D8" s="62"/>
      <c r="E8" s="58"/>
      <c r="F8" s="6"/>
      <c r="G8" s="7"/>
      <c r="H8" s="11">
        <v>8000000</v>
      </c>
      <c r="I8" s="54"/>
      <c r="J8" s="13">
        <f>D8+E8+F8+G8+H8+I8</f>
        <v>8000000</v>
      </c>
      <c r="K8" s="10"/>
    </row>
    <row r="9" spans="1:11" ht="15.75" customHeight="1">
      <c r="A9" s="15"/>
      <c r="B9" s="14" t="s">
        <v>199</v>
      </c>
      <c r="C9" s="61"/>
      <c r="D9" s="62"/>
      <c r="E9" s="58"/>
      <c r="F9" s="6"/>
      <c r="G9" s="7"/>
      <c r="H9" s="11">
        <v>7000000</v>
      </c>
      <c r="I9" s="54"/>
      <c r="J9" s="13">
        <f>D9+E9+F9+G9+H9+I9</f>
        <v>7000000</v>
      </c>
      <c r="K9" s="10"/>
    </row>
    <row r="10" spans="1:11" ht="15.75" customHeight="1">
      <c r="A10" s="15"/>
      <c r="B10" s="14"/>
      <c r="C10" s="61"/>
      <c r="D10" s="62"/>
      <c r="E10" s="58"/>
      <c r="F10" s="6"/>
      <c r="G10" s="7"/>
      <c r="H10" s="11"/>
      <c r="I10" s="54"/>
      <c r="J10" s="13">
        <f>D10+E10+F10+G10+H10+I10</f>
        <v>0</v>
      </c>
      <c r="K10" s="10"/>
    </row>
    <row r="11" spans="1:11" ht="15.75" customHeight="1">
      <c r="A11" s="15"/>
      <c r="B11" s="14"/>
      <c r="C11" s="61"/>
      <c r="D11" s="62"/>
      <c r="E11" s="58"/>
      <c r="F11" s="6"/>
      <c r="G11" s="7"/>
      <c r="H11" s="11"/>
      <c r="I11" s="54"/>
      <c r="J11" s="13">
        <f>D11+E11+F11+G11+H11+I11</f>
        <v>0</v>
      </c>
      <c r="K11" s="10"/>
    </row>
    <row r="12" spans="1:11" ht="15.75" customHeight="1">
      <c r="A12" s="15"/>
      <c r="B12" s="14"/>
      <c r="C12" s="61"/>
      <c r="D12" s="62"/>
      <c r="E12" s="58"/>
      <c r="F12" s="6"/>
      <c r="G12" s="7"/>
      <c r="H12" s="11"/>
      <c r="I12" s="54"/>
      <c r="J12" s="13">
        <f t="shared" si="0"/>
        <v>0</v>
      </c>
      <c r="K12" s="10"/>
    </row>
    <row r="13" spans="1:11" ht="15.75" customHeight="1">
      <c r="A13" s="15"/>
      <c r="B13" s="14"/>
      <c r="C13" s="61"/>
      <c r="D13" s="62"/>
      <c r="E13" s="58"/>
      <c r="F13" s="6"/>
      <c r="G13" s="7"/>
      <c r="H13" s="11"/>
      <c r="I13" s="54"/>
      <c r="J13" s="13">
        <f t="shared" si="0"/>
        <v>0</v>
      </c>
      <c r="K13" s="10"/>
    </row>
    <row r="14" spans="1:11" ht="15.75" customHeight="1">
      <c r="A14" s="78"/>
      <c r="B14" s="75"/>
      <c r="C14" s="16"/>
      <c r="D14" s="63"/>
      <c r="E14" s="59"/>
      <c r="F14" s="8"/>
      <c r="G14" s="9"/>
      <c r="H14" s="12"/>
      <c r="I14" s="55"/>
      <c r="J14" s="104">
        <f t="shared" si="0"/>
        <v>0</v>
      </c>
      <c r="K14" s="10"/>
    </row>
    <row r="15" spans="1:11" ht="15.75" customHeight="1" thickBot="1">
      <c r="A15" s="17"/>
      <c r="B15" s="76" t="s">
        <v>16</v>
      </c>
      <c r="C15" s="18">
        <f>SUM(C4:C14)</f>
        <v>0</v>
      </c>
      <c r="D15" s="64">
        <f t="shared" ref="D15:J15" si="1">SUM(D6:D14)</f>
        <v>0</v>
      </c>
      <c r="E15" s="60">
        <f t="shared" si="1"/>
        <v>0</v>
      </c>
      <c r="F15" s="53">
        <f t="shared" si="1"/>
        <v>0</v>
      </c>
      <c r="G15" s="19">
        <f t="shared" si="1"/>
        <v>0</v>
      </c>
      <c r="H15" s="57">
        <f t="shared" si="1"/>
        <v>19000000</v>
      </c>
      <c r="I15" s="56">
        <f t="shared" si="1"/>
        <v>2000000</v>
      </c>
      <c r="J15" s="70">
        <f t="shared" si="1"/>
        <v>21000000</v>
      </c>
    </row>
    <row r="16" spans="1:11" ht="15.75" customHeight="1" thickTop="1">
      <c r="C16" s="20"/>
      <c r="D16" s="21"/>
      <c r="J16" s="21" t="e">
        <f>D15+E15+F15+G15+#REF!+#REF!+#REF!+#REF!+#REF!+#REF!+#REF!+#REF!+H15+#REF!+#REF!+I15</f>
        <v>#REF!</v>
      </c>
    </row>
    <row r="18" spans="1:11" ht="15.75" customHeight="1">
      <c r="A18" s="22"/>
      <c r="B18" s="1" t="s">
        <v>17</v>
      </c>
      <c r="D18" s="23">
        <v>33632500</v>
      </c>
      <c r="E18" s="24"/>
      <c r="F18" s="50"/>
      <c r="H18" s="25"/>
    </row>
    <row r="19" spans="1:11" ht="15.75" customHeight="1">
      <c r="A19" s="26" t="s">
        <v>18</v>
      </c>
      <c r="B19" s="27"/>
      <c r="C19" s="28"/>
      <c r="D19" s="29" t="s">
        <v>20</v>
      </c>
      <c r="E19" s="30"/>
      <c r="F19" s="66" t="s">
        <v>36</v>
      </c>
      <c r="G19" s="66" t="e">
        <f>#REF!</f>
        <v>#REF!</v>
      </c>
    </row>
    <row r="20" spans="1:11" ht="15.75" customHeight="1">
      <c r="A20" s="35"/>
      <c r="B20" s="65"/>
      <c r="C20" s="32"/>
      <c r="D20" s="33"/>
      <c r="E20" s="34"/>
      <c r="F20" s="66" t="s">
        <v>37</v>
      </c>
      <c r="G20" s="68">
        <f>E26*100/D18</f>
        <v>43.507024455511782</v>
      </c>
    </row>
    <row r="21" spans="1:11" ht="15.75" customHeight="1">
      <c r="A21" s="35"/>
      <c r="B21" s="105" t="s">
        <v>65</v>
      </c>
      <c r="C21" s="32"/>
      <c r="D21" s="33"/>
      <c r="E21" s="34">
        <f>E15</f>
        <v>0</v>
      </c>
      <c r="F21" s="25"/>
      <c r="G21" s="49"/>
    </row>
    <row r="22" spans="1:11" ht="15.75" customHeight="1">
      <c r="A22" s="35"/>
      <c r="B22" s="105" t="s">
        <v>66</v>
      </c>
      <c r="C22" s="32"/>
      <c r="D22" s="33"/>
      <c r="E22" s="34">
        <f>F15</f>
        <v>0</v>
      </c>
      <c r="F22" s="71"/>
      <c r="I22" s="69" t="s">
        <v>38</v>
      </c>
      <c r="J22" s="69" t="s">
        <v>68</v>
      </c>
      <c r="K22" s="69" t="s">
        <v>40</v>
      </c>
    </row>
    <row r="23" spans="1:11" ht="15.75" customHeight="1">
      <c r="A23" s="35"/>
      <c r="B23" s="105" t="s">
        <v>67</v>
      </c>
      <c r="C23" s="32"/>
      <c r="D23" s="33"/>
      <c r="E23" s="34">
        <f>G15</f>
        <v>0</v>
      </c>
      <c r="F23" s="99"/>
      <c r="G23" s="105" t="s">
        <v>65</v>
      </c>
      <c r="I23" s="67">
        <v>3712500</v>
      </c>
      <c r="J23" s="67">
        <f>E15</f>
        <v>0</v>
      </c>
      <c r="K23" s="67">
        <f>I23-J23</f>
        <v>3712500</v>
      </c>
    </row>
    <row r="24" spans="1:11" ht="15.75" customHeight="1">
      <c r="A24" s="35"/>
      <c r="B24" s="65" t="s">
        <v>69</v>
      </c>
      <c r="C24" s="32"/>
      <c r="D24" s="33"/>
      <c r="E24" s="34">
        <f>H15</f>
        <v>19000000</v>
      </c>
      <c r="F24" s="73"/>
      <c r="G24" s="105" t="s">
        <v>66</v>
      </c>
      <c r="I24" s="67">
        <v>4420000</v>
      </c>
      <c r="J24" s="67">
        <f>F15</f>
        <v>0</v>
      </c>
      <c r="K24" s="67">
        <f>I24-J24</f>
        <v>4420000</v>
      </c>
    </row>
    <row r="25" spans="1:11" ht="15.75" customHeight="1">
      <c r="A25" s="35"/>
      <c r="B25" s="37"/>
      <c r="C25" s="38"/>
      <c r="D25" s="39" t="s">
        <v>21</v>
      </c>
      <c r="E25" s="40">
        <f>SUM(E20:E24)</f>
        <v>19000000</v>
      </c>
      <c r="F25" s="73"/>
      <c r="G25" s="105" t="s">
        <v>67</v>
      </c>
      <c r="I25" s="67">
        <v>25500000</v>
      </c>
      <c r="J25" s="67">
        <f>G15</f>
        <v>0</v>
      </c>
      <c r="K25" s="67">
        <f>I25-J25</f>
        <v>25500000</v>
      </c>
    </row>
    <row r="26" spans="1:11" ht="15.75" customHeight="1">
      <c r="A26" s="35"/>
      <c r="B26" s="41"/>
      <c r="C26" s="42"/>
      <c r="D26" s="43" t="s">
        <v>22</v>
      </c>
      <c r="E26" s="44">
        <f>D18-E25</f>
        <v>14632500</v>
      </c>
      <c r="F26" s="73"/>
      <c r="G26" s="73" t="s">
        <v>14</v>
      </c>
      <c r="I26" s="67"/>
      <c r="J26" s="67">
        <f>H15</f>
        <v>19000000</v>
      </c>
      <c r="K26" s="67">
        <f>I26-J26</f>
        <v>-19000000</v>
      </c>
    </row>
    <row r="27" spans="1:11" ht="15.75" customHeight="1">
      <c r="A27" s="36"/>
      <c r="D27" s="21"/>
      <c r="E27" s="21"/>
      <c r="F27" s="73"/>
      <c r="G27" s="73"/>
      <c r="H27" s="1" t="s">
        <v>70</v>
      </c>
      <c r="I27" s="106">
        <f>SUM(I23:I26)</f>
        <v>33632500</v>
      </c>
      <c r="J27" s="106">
        <f>SUM(J23:J26)</f>
        <v>19000000</v>
      </c>
      <c r="K27" s="106">
        <f>SUM(K23:K26)</f>
        <v>14632500</v>
      </c>
    </row>
    <row r="28" spans="1:11" ht="15.75" customHeight="1">
      <c r="D28" s="21"/>
      <c r="E28" s="21"/>
      <c r="F28" s="73"/>
      <c r="G28" s="73"/>
      <c r="I28" s="107"/>
      <c r="J28" s="107"/>
      <c r="K28" s="107"/>
    </row>
    <row r="29" spans="1:11" ht="15.75" customHeight="1">
      <c r="D29" s="21"/>
      <c r="E29" s="21"/>
      <c r="F29" s="73"/>
      <c r="G29" s="73"/>
    </row>
    <row r="30" spans="1:11" ht="15.75" customHeight="1">
      <c r="D30" s="21"/>
      <c r="E30" s="21"/>
      <c r="F30" s="100"/>
      <c r="G30" s="100"/>
    </row>
    <row r="31" spans="1:11" ht="15.75" customHeight="1">
      <c r="D31" s="21"/>
      <c r="E31" s="21"/>
      <c r="F31" s="73"/>
      <c r="G31" s="73"/>
    </row>
    <row r="32" spans="1:11" ht="15.75" customHeight="1">
      <c r="D32" s="21"/>
      <c r="E32" s="21"/>
      <c r="F32" s="73"/>
      <c r="G32" s="73"/>
    </row>
    <row r="33" spans="4:8" ht="15.75" customHeight="1">
      <c r="D33" s="21"/>
      <c r="E33" s="101"/>
      <c r="F33" s="73"/>
      <c r="G33" s="73"/>
    </row>
    <row r="34" spans="4:8" ht="15.75" customHeight="1">
      <c r="D34" s="21"/>
      <c r="E34" s="21"/>
      <c r="F34" s="73"/>
      <c r="G34" s="73"/>
    </row>
    <row r="35" spans="4:8" ht="15.75" customHeight="1">
      <c r="D35" s="21"/>
      <c r="E35" s="21"/>
      <c r="F35" s="100"/>
      <c r="G35" s="73" t="s">
        <v>42</v>
      </c>
    </row>
    <row r="36" spans="4:8" ht="15.75" customHeight="1">
      <c r="D36" s="21"/>
      <c r="E36" s="21"/>
      <c r="F36" s="100"/>
      <c r="G36" s="79" t="s">
        <v>43</v>
      </c>
      <c r="H36" s="21"/>
    </row>
    <row r="37" spans="4:8" ht="15.75" customHeight="1">
      <c r="E37" s="21"/>
      <c r="F37" s="100"/>
      <c r="H37" s="21"/>
    </row>
    <row r="38" spans="4:8" ht="15.75" customHeight="1">
      <c r="E38" s="21"/>
      <c r="F38" s="100"/>
      <c r="H38" s="21"/>
    </row>
    <row r="39" spans="4:8" ht="15.75" customHeight="1">
      <c r="F39" s="73"/>
      <c r="H39" s="21"/>
    </row>
    <row r="40" spans="4:8" ht="15.75" customHeight="1">
      <c r="F40" s="73"/>
      <c r="H40" s="21"/>
    </row>
    <row r="41" spans="4:8" ht="15.75" customHeight="1">
      <c r="F41" s="73"/>
      <c r="H41" s="21"/>
    </row>
    <row r="42" spans="4:8" ht="15.75" customHeight="1">
      <c r="H42" s="21"/>
    </row>
    <row r="43" spans="4:8" ht="15.75" customHeight="1">
      <c r="F43" s="21"/>
      <c r="H43" s="21"/>
    </row>
    <row r="44" spans="4:8" ht="15.75" customHeight="1">
      <c r="F44" s="21"/>
      <c r="H44" s="21"/>
    </row>
    <row r="45" spans="4:8" ht="15.75" customHeight="1">
      <c r="F45" s="21"/>
      <c r="H45" s="21"/>
    </row>
    <row r="46" spans="4:8" ht="15.75" customHeight="1">
      <c r="F46" s="21"/>
    </row>
    <row r="47" spans="4:8" ht="15.75" customHeight="1">
      <c r="F47" s="25"/>
    </row>
    <row r="49" spans="6:7" ht="15.75" customHeight="1">
      <c r="F49" s="21"/>
    </row>
    <row r="51" spans="6:7" ht="15.75" customHeight="1">
      <c r="G51" s="21"/>
    </row>
    <row r="52" spans="6:7" ht="15.75" customHeight="1">
      <c r="G52" s="21"/>
    </row>
    <row r="67" spans="6:6" ht="15.75" customHeight="1">
      <c r="F67" s="21"/>
    </row>
    <row r="68" spans="6:6" ht="15.75" customHeight="1">
      <c r="F68" s="21"/>
    </row>
  </sheetData>
  <mergeCells count="13">
    <mergeCell ref="A1:H1"/>
    <mergeCell ref="D2:E2"/>
    <mergeCell ref="F2:G2"/>
    <mergeCell ref="J2:J5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25" right="0.25" top="0.27" bottom="0.2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184D-A102-4850-B22E-61D2F12B0158}">
  <dimension ref="A1:L70"/>
  <sheetViews>
    <sheetView workbookViewId="0">
      <selection activeCell="E20" sqref="E20"/>
    </sheetView>
  </sheetViews>
  <sheetFormatPr defaultColWidth="9.140625" defaultRowHeight="15.75" customHeight="1"/>
  <cols>
    <col min="1" max="1" width="8.140625" style="1" customWidth="1"/>
    <col min="2" max="2" width="24.42578125" style="1" customWidth="1"/>
    <col min="3" max="3" width="15.7109375" style="1" customWidth="1"/>
    <col min="4" max="4" width="16.7109375" style="1" customWidth="1"/>
    <col min="5" max="5" width="14" style="1" customWidth="1"/>
    <col min="6" max="6" width="18.7109375" style="1" customWidth="1"/>
    <col min="7" max="7" width="25" style="1" customWidth="1"/>
    <col min="8" max="8" width="13.140625" style="1" customWidth="1"/>
    <col min="9" max="10" width="12.85546875" style="1" customWidth="1"/>
    <col min="11" max="11" width="15" style="1" customWidth="1"/>
    <col min="12" max="12" width="9.140625" style="1"/>
    <col min="13" max="13" width="14.28515625" style="1" customWidth="1"/>
    <col min="14" max="16384" width="9.140625" style="1"/>
  </cols>
  <sheetData>
    <row r="1" spans="1:12" ht="15.75" customHeight="1">
      <c r="A1" s="176" t="s">
        <v>73</v>
      </c>
      <c r="B1" s="176"/>
      <c r="C1" s="176"/>
      <c r="D1" s="176"/>
      <c r="E1" s="176"/>
      <c r="F1" s="176"/>
      <c r="G1" s="176"/>
      <c r="H1" s="176"/>
      <c r="I1" s="178"/>
    </row>
    <row r="2" spans="1:12" ht="15.75" customHeight="1">
      <c r="A2" s="2"/>
      <c r="B2" s="3"/>
      <c r="C2" s="4"/>
      <c r="D2" s="179" t="s">
        <v>0</v>
      </c>
      <c r="E2" s="180"/>
      <c r="F2" s="181" t="s">
        <v>23</v>
      </c>
      <c r="G2" s="182"/>
      <c r="H2" s="182"/>
      <c r="I2" s="186"/>
      <c r="J2" s="187"/>
      <c r="K2" s="190" t="s">
        <v>15</v>
      </c>
    </row>
    <row r="3" spans="1:12" ht="15.75" customHeight="1">
      <c r="A3" s="201" t="s">
        <v>3</v>
      </c>
      <c r="B3" s="190" t="s">
        <v>4</v>
      </c>
      <c r="C3" s="188" t="s">
        <v>5</v>
      </c>
      <c r="D3" s="196" t="s">
        <v>30</v>
      </c>
      <c r="E3" s="190" t="s">
        <v>7</v>
      </c>
      <c r="F3" s="190" t="s">
        <v>45</v>
      </c>
      <c r="G3" s="190" t="s">
        <v>71</v>
      </c>
      <c r="H3" s="190" t="s">
        <v>12</v>
      </c>
      <c r="I3" s="174" t="s">
        <v>28</v>
      </c>
      <c r="J3" s="192" t="s">
        <v>29</v>
      </c>
      <c r="K3" s="191"/>
    </row>
    <row r="4" spans="1:12" ht="15.75" customHeight="1">
      <c r="A4" s="202"/>
      <c r="B4" s="191"/>
      <c r="C4" s="189"/>
      <c r="D4" s="197"/>
      <c r="E4" s="191"/>
      <c r="F4" s="191"/>
      <c r="G4" s="191"/>
      <c r="H4" s="191"/>
      <c r="I4" s="191"/>
      <c r="J4" s="193"/>
      <c r="K4" s="191"/>
      <c r="L4" s="10"/>
    </row>
    <row r="5" spans="1:12" ht="15.75" customHeight="1">
      <c r="A5" s="202"/>
      <c r="B5" s="191"/>
      <c r="C5" s="189"/>
      <c r="D5" s="197"/>
      <c r="E5" s="191"/>
      <c r="F5" s="191"/>
      <c r="G5" s="191"/>
      <c r="H5" s="191"/>
      <c r="I5" s="191"/>
      <c r="J5" s="193"/>
      <c r="K5" s="191"/>
      <c r="L5" s="10"/>
    </row>
    <row r="6" spans="1:12" ht="15.75" customHeight="1">
      <c r="A6" s="97">
        <v>45736</v>
      </c>
      <c r="B6" s="98" t="s">
        <v>209</v>
      </c>
      <c r="C6" s="88"/>
      <c r="D6" s="89"/>
      <c r="E6" s="90"/>
      <c r="F6" s="91">
        <v>28800000</v>
      </c>
      <c r="G6" s="92"/>
      <c r="H6" s="93"/>
      <c r="I6" s="94"/>
      <c r="J6" s="95"/>
      <c r="K6" s="96">
        <f>D6+E6+F6+G6+H6+I6+J6</f>
        <v>28800000</v>
      </c>
      <c r="L6" s="10"/>
    </row>
    <row r="7" spans="1:12" ht="15.75" customHeight="1">
      <c r="A7" s="15">
        <v>45742</v>
      </c>
      <c r="B7" s="14" t="s">
        <v>208</v>
      </c>
      <c r="C7" s="61"/>
      <c r="D7" s="62"/>
      <c r="E7" s="58"/>
      <c r="F7" s="6">
        <v>16900000</v>
      </c>
      <c r="G7" s="7"/>
      <c r="H7" s="51"/>
      <c r="I7" s="11"/>
      <c r="J7" s="54"/>
      <c r="K7" s="13">
        <f>D7+E7+F7+G7+H7+I7+J7</f>
        <v>16900000</v>
      </c>
      <c r="L7" s="10"/>
    </row>
    <row r="8" spans="1:12" ht="15.75" customHeight="1">
      <c r="A8" s="15">
        <v>45755</v>
      </c>
      <c r="B8" s="14" t="s">
        <v>218</v>
      </c>
      <c r="C8" s="61"/>
      <c r="D8" s="62"/>
      <c r="E8" s="58"/>
      <c r="F8" s="6">
        <f>1*3*2200000</f>
        <v>6600000</v>
      </c>
      <c r="G8" s="7"/>
      <c r="H8" s="51"/>
      <c r="I8" s="11"/>
      <c r="J8" s="54"/>
      <c r="K8" s="13">
        <f>D8+E8+F8+G8+H8+I8+J8</f>
        <v>6600000</v>
      </c>
      <c r="L8" s="10"/>
    </row>
    <row r="9" spans="1:12" ht="15.75" customHeight="1">
      <c r="A9" s="15"/>
      <c r="B9" s="14" t="s">
        <v>219</v>
      </c>
      <c r="C9" s="61"/>
      <c r="D9" s="62"/>
      <c r="E9" s="58"/>
      <c r="F9" s="6"/>
      <c r="G9" s="7"/>
      <c r="H9" s="51">
        <v>500000</v>
      </c>
      <c r="I9" s="11"/>
      <c r="J9" s="54"/>
      <c r="K9" s="13">
        <f t="shared" ref="K9:K16" si="0">D9+E9+F9+G9+H9+I9+J9</f>
        <v>500000</v>
      </c>
      <c r="L9" s="10"/>
    </row>
    <row r="10" spans="1:12" ht="15.75" customHeight="1">
      <c r="A10" s="15"/>
      <c r="B10" s="14" t="s">
        <v>220</v>
      </c>
      <c r="C10" s="61"/>
      <c r="D10" s="62"/>
      <c r="E10" s="58"/>
      <c r="F10" s="6">
        <f>3*3*2200000</f>
        <v>19800000</v>
      </c>
      <c r="G10" s="7"/>
      <c r="H10" s="51"/>
      <c r="I10" s="11"/>
      <c r="J10" s="54"/>
      <c r="K10" s="13">
        <f t="shared" si="0"/>
        <v>19800000</v>
      </c>
      <c r="L10" s="10"/>
    </row>
    <row r="11" spans="1:12" ht="15.75" customHeight="1">
      <c r="A11" s="15"/>
      <c r="B11" s="14" t="s">
        <v>222</v>
      </c>
      <c r="C11" s="61"/>
      <c r="D11" s="62"/>
      <c r="E11" s="58"/>
      <c r="F11" s="6">
        <f>2*2*2200000</f>
        <v>8800000</v>
      </c>
      <c r="G11" s="7"/>
      <c r="H11" s="51"/>
      <c r="I11" s="11"/>
      <c r="J11" s="54"/>
      <c r="K11" s="13">
        <f t="shared" si="0"/>
        <v>8800000</v>
      </c>
      <c r="L11" s="10"/>
    </row>
    <row r="12" spans="1:12" ht="15.75" customHeight="1">
      <c r="A12" s="15"/>
      <c r="B12" s="14" t="s">
        <v>221</v>
      </c>
      <c r="C12" s="61"/>
      <c r="D12" s="62"/>
      <c r="E12" s="58"/>
      <c r="F12" s="6"/>
      <c r="G12" s="7"/>
      <c r="H12" s="51">
        <f>5*500000</f>
        <v>2500000</v>
      </c>
      <c r="I12" s="11"/>
      <c r="J12" s="54"/>
      <c r="K12" s="13">
        <f t="shared" si="0"/>
        <v>2500000</v>
      </c>
      <c r="L12" s="10"/>
    </row>
    <row r="13" spans="1:12" ht="15.75" customHeight="1">
      <c r="A13" s="15"/>
      <c r="B13" s="14" t="s">
        <v>355</v>
      </c>
      <c r="C13" s="61"/>
      <c r="D13" s="62"/>
      <c r="E13" s="58"/>
      <c r="F13" s="6"/>
      <c r="G13" s="7"/>
      <c r="H13" s="51"/>
      <c r="I13" s="11"/>
      <c r="J13" s="54"/>
      <c r="K13" s="13">
        <f t="shared" si="0"/>
        <v>0</v>
      </c>
      <c r="L13" s="10"/>
    </row>
    <row r="14" spans="1:12" ht="15.75" customHeight="1">
      <c r="A14" s="15">
        <v>45870</v>
      </c>
      <c r="B14" s="151" t="s">
        <v>358</v>
      </c>
      <c r="C14" s="61"/>
      <c r="D14" s="62"/>
      <c r="E14" s="58"/>
      <c r="F14" s="6">
        <v>2390000</v>
      </c>
      <c r="G14" s="7"/>
      <c r="H14" s="51"/>
      <c r="I14" s="11"/>
      <c r="J14" s="54"/>
      <c r="K14" s="13">
        <f t="shared" si="0"/>
        <v>2390000</v>
      </c>
      <c r="L14" s="10"/>
    </row>
    <row r="15" spans="1:12" ht="15.75" customHeight="1">
      <c r="A15" s="15"/>
      <c r="B15" s="14"/>
      <c r="C15" s="61"/>
      <c r="D15" s="62"/>
      <c r="E15" s="58"/>
      <c r="F15" s="6"/>
      <c r="G15" s="7"/>
      <c r="H15" s="51"/>
      <c r="I15" s="11"/>
      <c r="J15" s="54"/>
      <c r="K15" s="13">
        <f t="shared" si="0"/>
        <v>0</v>
      </c>
      <c r="L15" s="10"/>
    </row>
    <row r="16" spans="1:12" ht="15.75" customHeight="1">
      <c r="A16" s="77"/>
      <c r="B16" s="5"/>
      <c r="C16" s="84"/>
      <c r="D16" s="62"/>
      <c r="E16" s="58"/>
      <c r="F16" s="6"/>
      <c r="G16" s="7"/>
      <c r="H16" s="51"/>
      <c r="I16" s="11"/>
      <c r="J16" s="54"/>
      <c r="K16" s="13">
        <f t="shared" si="0"/>
        <v>0</v>
      </c>
      <c r="L16" s="10"/>
    </row>
    <row r="17" spans="1:11" ht="15.75" customHeight="1" thickBot="1">
      <c r="A17" s="17"/>
      <c r="B17" s="76" t="s">
        <v>16</v>
      </c>
      <c r="C17" s="18">
        <f>SUM(C4:C16)</f>
        <v>0</v>
      </c>
      <c r="D17" s="64">
        <f t="shared" ref="D17:K17" si="1">SUM(D6:D16)</f>
        <v>0</v>
      </c>
      <c r="E17" s="60">
        <f t="shared" si="1"/>
        <v>0</v>
      </c>
      <c r="F17" s="53">
        <f t="shared" si="1"/>
        <v>83290000</v>
      </c>
      <c r="G17" s="19">
        <f t="shared" si="1"/>
        <v>0</v>
      </c>
      <c r="H17" s="19">
        <f t="shared" si="1"/>
        <v>3000000</v>
      </c>
      <c r="I17" s="57">
        <f t="shared" si="1"/>
        <v>0</v>
      </c>
      <c r="J17" s="56">
        <f t="shared" si="1"/>
        <v>0</v>
      </c>
      <c r="K17" s="70">
        <f t="shared" si="1"/>
        <v>86290000</v>
      </c>
    </row>
    <row r="18" spans="1:11" ht="15.75" customHeight="1" thickTop="1">
      <c r="C18" s="20"/>
      <c r="D18" s="21"/>
      <c r="I18" s="21"/>
      <c r="K18" s="21"/>
    </row>
    <row r="20" spans="1:11" ht="15.75" customHeight="1">
      <c r="A20" s="22"/>
      <c r="B20" s="1" t="s">
        <v>17</v>
      </c>
      <c r="D20" s="23">
        <v>151500000</v>
      </c>
      <c r="E20" s="24"/>
      <c r="F20" s="50"/>
      <c r="I20" s="49"/>
    </row>
    <row r="21" spans="1:11" ht="15.75" customHeight="1">
      <c r="A21" s="26" t="s">
        <v>18</v>
      </c>
      <c r="B21" s="27" t="s">
        <v>19</v>
      </c>
      <c r="C21" s="28"/>
      <c r="D21" s="29" t="s">
        <v>20</v>
      </c>
      <c r="E21" s="30"/>
      <c r="F21" s="66" t="s">
        <v>36</v>
      </c>
      <c r="G21" s="66" t="e">
        <f>#REF!</f>
        <v>#REF!</v>
      </c>
    </row>
    <row r="22" spans="1:11" ht="15.75" customHeight="1">
      <c r="A22" s="31"/>
      <c r="B22" s="1" t="s">
        <v>61</v>
      </c>
      <c r="C22" s="32"/>
      <c r="D22" s="33"/>
      <c r="E22" s="34">
        <f>F17</f>
        <v>83290000</v>
      </c>
      <c r="F22" s="66" t="s">
        <v>37</v>
      </c>
      <c r="G22" s="68">
        <f>E26*100/D20</f>
        <v>56.957095709570957</v>
      </c>
    </row>
    <row r="23" spans="1:11" ht="15.75" customHeight="1">
      <c r="A23" s="35"/>
      <c r="B23" s="73" t="s">
        <v>60</v>
      </c>
      <c r="C23" s="32"/>
      <c r="D23" s="83"/>
      <c r="E23" s="34">
        <f>G17</f>
        <v>0</v>
      </c>
      <c r="F23" s="25"/>
      <c r="G23" s="49"/>
    </row>
    <row r="24" spans="1:11" ht="15.75" customHeight="1">
      <c r="A24" s="35"/>
      <c r="B24" s="1" t="s">
        <v>54</v>
      </c>
      <c r="C24" s="32"/>
      <c r="D24" s="83"/>
      <c r="E24" s="34">
        <f>H17</f>
        <v>3000000</v>
      </c>
      <c r="F24" s="71"/>
      <c r="H24" s="69" t="s">
        <v>38</v>
      </c>
      <c r="I24" s="1" t="s">
        <v>72</v>
      </c>
      <c r="J24" s="1" t="s">
        <v>40</v>
      </c>
    </row>
    <row r="25" spans="1:11" ht="15.75" customHeight="1">
      <c r="A25" s="35"/>
      <c r="B25" s="52"/>
      <c r="C25" s="32"/>
      <c r="D25" s="33"/>
      <c r="E25" s="34"/>
      <c r="F25" s="99"/>
      <c r="G25" s="107" t="s">
        <v>61</v>
      </c>
      <c r="H25" s="102"/>
      <c r="I25" s="21"/>
      <c r="J25" s="82"/>
    </row>
    <row r="26" spans="1:11" ht="15.75" customHeight="1">
      <c r="A26" s="35"/>
      <c r="B26" s="37"/>
      <c r="C26" s="38"/>
      <c r="D26" s="39" t="s">
        <v>21</v>
      </c>
      <c r="E26" s="40">
        <f>SUM(E22:E25)</f>
        <v>86290000</v>
      </c>
      <c r="F26" s="73"/>
      <c r="G26" s="73" t="s">
        <v>60</v>
      </c>
      <c r="H26" s="102"/>
      <c r="I26" s="21"/>
      <c r="J26" s="82"/>
    </row>
    <row r="27" spans="1:11" ht="15.75" customHeight="1" thickBot="1">
      <c r="A27" s="35"/>
      <c r="B27" s="41"/>
      <c r="C27" s="42"/>
      <c r="D27" s="43" t="s">
        <v>22</v>
      </c>
      <c r="E27" s="44">
        <f>D20-E26</f>
        <v>65210000</v>
      </c>
      <c r="F27" s="73"/>
      <c r="G27" s="107" t="s">
        <v>54</v>
      </c>
    </row>
    <row r="28" spans="1:11" ht="15.75" customHeight="1">
      <c r="A28" s="36"/>
      <c r="D28" s="21"/>
      <c r="E28" s="21"/>
      <c r="F28" s="73"/>
      <c r="G28" s="111" t="s">
        <v>70</v>
      </c>
      <c r="H28" s="80">
        <f>SUM(H25:H27)</f>
        <v>0</v>
      </c>
      <c r="I28" s="109">
        <f>SUM(I25:I27)</f>
        <v>0</v>
      </c>
      <c r="J28" s="110">
        <f>SUM(J25:J27)</f>
        <v>0</v>
      </c>
    </row>
    <row r="29" spans="1:11" ht="15.75" customHeight="1" thickBot="1">
      <c r="D29" s="21"/>
      <c r="E29" s="21"/>
      <c r="F29" s="73"/>
      <c r="G29" s="73" t="s">
        <v>42</v>
      </c>
      <c r="H29" s="74"/>
      <c r="I29" s="108">
        <v>0</v>
      </c>
      <c r="J29" s="74">
        <v>0</v>
      </c>
    </row>
    <row r="30" spans="1:11" ht="15.75" customHeight="1">
      <c r="D30" s="21"/>
      <c r="E30" s="21"/>
      <c r="F30" s="73"/>
      <c r="G30" s="79" t="s">
        <v>43</v>
      </c>
      <c r="H30" s="80">
        <f>H28-H29</f>
        <v>0</v>
      </c>
      <c r="I30" s="21">
        <f>SUM(I28:I29)</f>
        <v>0</v>
      </c>
      <c r="J30" s="110">
        <f>J28-J29</f>
        <v>0</v>
      </c>
    </row>
    <row r="31" spans="1:11" ht="15.75" customHeight="1">
      <c r="D31" s="21"/>
      <c r="E31" s="21"/>
      <c r="F31" s="73"/>
      <c r="G31" s="73"/>
      <c r="H31" s="74"/>
    </row>
    <row r="32" spans="1:11" ht="15.75" customHeight="1">
      <c r="D32" s="21"/>
      <c r="E32" s="21"/>
      <c r="F32" s="100"/>
      <c r="G32" s="25"/>
      <c r="H32" s="49"/>
    </row>
    <row r="33" spans="4:9" ht="15.75" customHeight="1">
      <c r="D33" s="21"/>
      <c r="E33" s="21"/>
      <c r="F33" s="100"/>
      <c r="G33" s="49"/>
      <c r="H33" s="67"/>
    </row>
    <row r="34" spans="4:9" ht="15.75" customHeight="1">
      <c r="D34" s="21"/>
      <c r="E34" s="101"/>
      <c r="F34" s="100"/>
    </row>
    <row r="35" spans="4:9" ht="15.75" customHeight="1">
      <c r="D35" s="21"/>
      <c r="E35" s="21"/>
      <c r="F35" s="100"/>
    </row>
    <row r="36" spans="4:9" ht="15.75" customHeight="1">
      <c r="D36" s="21"/>
      <c r="E36" s="21"/>
      <c r="F36" s="100"/>
    </row>
    <row r="37" spans="4:9" ht="15.75" customHeight="1">
      <c r="D37" s="21"/>
      <c r="E37" s="21"/>
      <c r="F37" s="100"/>
    </row>
    <row r="38" spans="4:9" ht="15.75" customHeight="1">
      <c r="E38" s="21"/>
      <c r="F38" s="100"/>
      <c r="I38" s="21"/>
    </row>
    <row r="39" spans="4:9" ht="15.75" customHeight="1">
      <c r="E39" s="21"/>
      <c r="F39" s="100"/>
      <c r="I39" s="21"/>
    </row>
    <row r="40" spans="4:9" ht="15.75" customHeight="1">
      <c r="F40" s="100"/>
      <c r="I40" s="21"/>
    </row>
    <row r="41" spans="4:9" ht="15.75" customHeight="1">
      <c r="F41" s="73"/>
      <c r="I41" s="21"/>
    </row>
    <row r="42" spans="4:9" ht="15.75" customHeight="1">
      <c r="F42" s="73"/>
      <c r="I42" s="21"/>
    </row>
    <row r="43" spans="4:9" ht="15.75" customHeight="1">
      <c r="F43" s="73"/>
      <c r="I43" s="21"/>
    </row>
    <row r="44" spans="4:9" ht="15.75" customHeight="1">
      <c r="I44" s="21"/>
    </row>
    <row r="45" spans="4:9" ht="15.75" customHeight="1">
      <c r="F45" s="21"/>
    </row>
    <row r="46" spans="4:9" ht="15.75" customHeight="1">
      <c r="F46" s="21"/>
    </row>
    <row r="47" spans="4:9" ht="15.75" customHeight="1">
      <c r="F47" s="21"/>
    </row>
    <row r="48" spans="4:9" ht="15.75" customHeight="1">
      <c r="F48" s="21"/>
    </row>
    <row r="49" spans="6:7" ht="15.75" customHeight="1">
      <c r="F49" s="25"/>
    </row>
    <row r="51" spans="6:7" ht="15.75" customHeight="1">
      <c r="F51" s="21"/>
    </row>
    <row r="53" spans="6:7" ht="15.75" customHeight="1">
      <c r="G53" s="21"/>
    </row>
    <row r="54" spans="6:7" ht="15.75" customHeight="1">
      <c r="G54" s="21"/>
    </row>
    <row r="69" spans="6:6" ht="15.75" customHeight="1">
      <c r="F69" s="21"/>
    </row>
    <row r="70" spans="6:6" ht="15.75" customHeight="1">
      <c r="F70" s="21"/>
    </row>
  </sheetData>
  <mergeCells count="15">
    <mergeCell ref="K2:K5"/>
    <mergeCell ref="A3:A5"/>
    <mergeCell ref="B3:B5"/>
    <mergeCell ref="C3:C5"/>
    <mergeCell ref="D3:D5"/>
    <mergeCell ref="E3:E5"/>
    <mergeCell ref="F3:F5"/>
    <mergeCell ref="G3:G5"/>
    <mergeCell ref="H3:H5"/>
    <mergeCell ref="A1:I1"/>
    <mergeCell ref="D2:E2"/>
    <mergeCell ref="F2:H2"/>
    <mergeCell ref="I2:J2"/>
    <mergeCell ref="I3:I5"/>
    <mergeCell ref="J3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AE1B-C205-4250-8582-53DA48BBBEE1}">
  <dimension ref="A1"/>
  <sheetViews>
    <sheetView topLeftCell="A13" workbookViewId="0">
      <selection activeCell="H36" sqref="H3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Rab Jasa  </vt:lpstr>
      <vt:lpstr>Rab Material</vt:lpstr>
      <vt:lpstr>Rab Compressor</vt:lpstr>
      <vt:lpstr>Nota</vt:lpstr>
    </vt:vector>
  </TitlesOfParts>
  <Company>KP Bulu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Samsudin</dc:creator>
  <cp:lastModifiedBy>pt.gemateknikperkasa@outlook.com</cp:lastModifiedBy>
  <cp:lastPrinted>2023-10-31T06:17:10Z</cp:lastPrinted>
  <dcterms:created xsi:type="dcterms:W3CDTF">2009-03-23T02:08:00Z</dcterms:created>
  <dcterms:modified xsi:type="dcterms:W3CDTF">2025-10-17T08:12:16Z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74DFC220252446E186403FCDDD436056</vt:lpwstr>
  </property>
  <property fmtid="{D5CDD505-2E9C-101B-9397-08002B2CF9AE}" pid="3" name="KSOProductBuildVer">
    <vt:lpwstr>1033-11.2.0.10463</vt:lpwstr>
  </property>
</Properties>
</file>