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projek_realisasi\public\excel\"/>
    </mc:Choice>
  </mc:AlternateContent>
  <xr:revisionPtr revIDLastSave="0" documentId="13_ncr:1_{A335FCF6-F201-4EEB-A856-332A479FE953}" xr6:coauthVersionLast="47" xr6:coauthVersionMax="47" xr10:uidLastSave="{00000000-0000-0000-0000-000000000000}"/>
  <bookViews>
    <workbookView xWindow="345" yWindow="2220" windowWidth="15375" windowHeight="7875" firstSheet="4" activeTab="4" xr2:uid="{00000000-000D-0000-FFFF-FFFF00000000}"/>
  </bookViews>
  <sheets>
    <sheet name="PAGU" sheetId="2" state="hidden" r:id="rId1"/>
    <sheet name="PAGU SATKER PERDIt CATU PINDAH" sheetId="3" state="hidden" r:id="rId2"/>
    <sheet name="PAGU SATKER PERDIREKTORAT" sheetId="4" state="hidden" r:id="rId3"/>
    <sheet name="Sheet3" sheetId="5" state="hidden" r:id="rId4"/>
    <sheet name="REALISASI" sheetId="6" r:id="rId5"/>
    <sheet name="Sheet1" sheetId="8" r:id="rId6"/>
    <sheet name="PEMBAGIAN KRO RO" sheetId="7" state="hidden" r:id="rId7"/>
  </sheets>
  <definedNames>
    <definedName name="_xlnm._FilterDatabase" localSheetId="0" hidden="1">PAGU!$B$4:$S$79</definedName>
    <definedName name="_xlnm._FilterDatabase" localSheetId="4" hidden="1">REALISASI!$A$6:$R$8</definedName>
    <definedName name="_xlnm._FilterDatabase" localSheetId="5" hidden="1">Sheet1!$A$1:$B$80</definedName>
    <definedName name="_xlnm.Print_Area" localSheetId="4">REALISASI!$A$3:$R$47</definedName>
  </definedNames>
  <calcPr calcId="181029"/>
</workbook>
</file>

<file path=xl/calcChain.xml><?xml version="1.0" encoding="utf-8"?>
<calcChain xmlns="http://schemas.openxmlformats.org/spreadsheetml/2006/main">
  <c r="R19" i="6" l="1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A45" i="6"/>
  <c r="A46" i="6" s="1"/>
  <c r="A19" i="6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O9" i="6"/>
  <c r="P9" i="6" s="1"/>
  <c r="Q9" i="6"/>
  <c r="O10" i="6"/>
  <c r="P10" i="6" s="1"/>
  <c r="Q10" i="6"/>
  <c r="O11" i="6"/>
  <c r="P11" i="6" s="1"/>
  <c r="Q11" i="6"/>
  <c r="O12" i="6"/>
  <c r="P12" i="6" s="1"/>
  <c r="Q12" i="6"/>
  <c r="O13" i="6"/>
  <c r="P13" i="6" s="1"/>
  <c r="Q13" i="6"/>
  <c r="O14" i="6"/>
  <c r="P14" i="6" s="1"/>
  <c r="Q14" i="6"/>
  <c r="Q15" i="6"/>
  <c r="O15" i="6"/>
  <c r="P15" i="6" s="1"/>
  <c r="O16" i="6"/>
  <c r="P16" i="6" s="1"/>
  <c r="Q16" i="6"/>
  <c r="O17" i="6"/>
  <c r="P17" i="6" s="1"/>
  <c r="Q17" i="6"/>
  <c r="O18" i="6"/>
  <c r="P18" i="6" s="1"/>
  <c r="Q18" i="6"/>
  <c r="R11" i="6" l="1"/>
  <c r="R14" i="6"/>
  <c r="R17" i="6"/>
  <c r="R13" i="6"/>
  <c r="R9" i="6"/>
  <c r="R16" i="6"/>
  <c r="P47" i="6"/>
  <c r="R15" i="6"/>
  <c r="R18" i="6"/>
  <c r="R10" i="6"/>
  <c r="R12" i="6"/>
  <c r="M47" i="6"/>
  <c r="D47" i="6" l="1"/>
  <c r="E47" i="6"/>
  <c r="F47" i="6"/>
  <c r="H47" i="6"/>
  <c r="N47" i="6"/>
  <c r="C47" i="6"/>
  <c r="G47" i="6" l="1"/>
  <c r="K47" i="6"/>
  <c r="I47" i="6"/>
  <c r="L47" i="6"/>
  <c r="U47" i="6" l="1"/>
  <c r="S47" i="6"/>
  <c r="J47" i="6"/>
  <c r="T18" i="6"/>
  <c r="T17" i="6"/>
  <c r="T16" i="6"/>
  <c r="T15" i="6"/>
  <c r="T14" i="6"/>
  <c r="T13" i="6"/>
  <c r="T12" i="6"/>
  <c r="T11" i="6"/>
  <c r="T10" i="6"/>
  <c r="T6" i="6"/>
  <c r="D83" i="4"/>
  <c r="H77" i="4"/>
  <c r="J77" i="4" s="1"/>
  <c r="K77" i="4" s="1"/>
  <c r="J76" i="4"/>
  <c r="K76" i="4" s="1"/>
  <c r="H75" i="4"/>
  <c r="F75" i="4"/>
  <c r="I74" i="4"/>
  <c r="H74" i="4"/>
  <c r="F74" i="4"/>
  <c r="H73" i="4"/>
  <c r="J73" i="4" s="1"/>
  <c r="K73" i="4" s="1"/>
  <c r="I72" i="4"/>
  <c r="H72" i="4"/>
  <c r="F72" i="4"/>
  <c r="H71" i="4"/>
  <c r="J71" i="4" s="1"/>
  <c r="K71" i="4" s="1"/>
  <c r="F70" i="4"/>
  <c r="J70" i="4" s="1"/>
  <c r="K70" i="4" s="1"/>
  <c r="I69" i="4"/>
  <c r="H69" i="4"/>
  <c r="F69" i="4"/>
  <c r="H68" i="4"/>
  <c r="J68" i="4" s="1"/>
  <c r="K68" i="4" s="1"/>
  <c r="H67" i="4"/>
  <c r="F67" i="4"/>
  <c r="J67" i="4" s="1"/>
  <c r="K67" i="4" s="1"/>
  <c r="I66" i="4"/>
  <c r="H66" i="4"/>
  <c r="F66" i="4"/>
  <c r="I65" i="4"/>
  <c r="H65" i="4"/>
  <c r="F65" i="4"/>
  <c r="H64" i="4"/>
  <c r="F64" i="4"/>
  <c r="H63" i="4"/>
  <c r="J63" i="4" s="1"/>
  <c r="K63" i="4" s="1"/>
  <c r="H62" i="4"/>
  <c r="F62" i="4"/>
  <c r="H61" i="4"/>
  <c r="F61" i="4"/>
  <c r="I60" i="4"/>
  <c r="J60" i="4" s="1"/>
  <c r="K60" i="4" s="1"/>
  <c r="I59" i="4"/>
  <c r="H59" i="4"/>
  <c r="F59" i="4"/>
  <c r="H58" i="4"/>
  <c r="F58" i="4"/>
  <c r="F57" i="4"/>
  <c r="J57" i="4" s="1"/>
  <c r="K57" i="4" s="1"/>
  <c r="I56" i="4"/>
  <c r="H56" i="4"/>
  <c r="F56" i="4"/>
  <c r="I55" i="4"/>
  <c r="H55" i="4"/>
  <c r="F55" i="4"/>
  <c r="H54" i="4"/>
  <c r="J54" i="4" s="1"/>
  <c r="K54" i="4" s="1"/>
  <c r="H53" i="4"/>
  <c r="F53" i="4"/>
  <c r="H52" i="4"/>
  <c r="F52" i="4"/>
  <c r="I51" i="4"/>
  <c r="H51" i="4"/>
  <c r="F51" i="4"/>
  <c r="H50" i="4"/>
  <c r="F50" i="4"/>
  <c r="J49" i="4"/>
  <c r="K49" i="4" s="1"/>
  <c r="I48" i="4"/>
  <c r="H48" i="4"/>
  <c r="F48" i="4"/>
  <c r="I47" i="4"/>
  <c r="H47" i="4"/>
  <c r="F47" i="4"/>
  <c r="H46" i="4"/>
  <c r="F46" i="4"/>
  <c r="H45" i="4"/>
  <c r="J45" i="4" s="1"/>
  <c r="K45" i="4" s="1"/>
  <c r="H44" i="4"/>
  <c r="J44" i="4" s="1"/>
  <c r="K44" i="4" s="1"/>
  <c r="H43" i="4"/>
  <c r="J43" i="4" s="1"/>
  <c r="K43" i="4" s="1"/>
  <c r="I42" i="4"/>
  <c r="H42" i="4"/>
  <c r="F42" i="4"/>
  <c r="H41" i="4"/>
  <c r="J41" i="4" s="1"/>
  <c r="K41" i="4" s="1"/>
  <c r="H40" i="4"/>
  <c r="F40" i="4"/>
  <c r="I39" i="4"/>
  <c r="H39" i="4"/>
  <c r="J39" i="4" s="1"/>
  <c r="K39" i="4" s="1"/>
  <c r="H38" i="4"/>
  <c r="F38" i="4"/>
  <c r="I37" i="4"/>
  <c r="H37" i="4"/>
  <c r="F37" i="4"/>
  <c r="H36" i="4"/>
  <c r="J36" i="4" s="1"/>
  <c r="K36" i="4" s="1"/>
  <c r="I35" i="4"/>
  <c r="F35" i="4"/>
  <c r="J35" i="4" s="1"/>
  <c r="K35" i="4" s="1"/>
  <c r="I34" i="4"/>
  <c r="H34" i="4"/>
  <c r="F34" i="4"/>
  <c r="I33" i="4"/>
  <c r="H33" i="4"/>
  <c r="J32" i="4"/>
  <c r="K32" i="4" s="1"/>
  <c r="J31" i="4"/>
  <c r="K31" i="4" s="1"/>
  <c r="J30" i="4"/>
  <c r="K30" i="4" s="1"/>
  <c r="J29" i="4"/>
  <c r="K29" i="4" s="1"/>
  <c r="J28" i="4"/>
  <c r="K28" i="4" s="1"/>
  <c r="I27" i="4"/>
  <c r="H27" i="4"/>
  <c r="J26" i="4"/>
  <c r="K26" i="4" s="1"/>
  <c r="I25" i="4"/>
  <c r="H25" i="4"/>
  <c r="H24" i="4"/>
  <c r="J24" i="4" s="1"/>
  <c r="K24" i="4" s="1"/>
  <c r="H23" i="4"/>
  <c r="F23" i="4"/>
  <c r="J22" i="4"/>
  <c r="K22" i="4" s="1"/>
  <c r="H22" i="4"/>
  <c r="J21" i="4"/>
  <c r="K21" i="4" s="1"/>
  <c r="I20" i="4"/>
  <c r="H20" i="4"/>
  <c r="I19" i="4"/>
  <c r="H19" i="4"/>
  <c r="F19" i="4"/>
  <c r="F18" i="4"/>
  <c r="J18" i="4" s="1"/>
  <c r="K18" i="4" s="1"/>
  <c r="I17" i="4"/>
  <c r="H17" i="4"/>
  <c r="F17" i="4"/>
  <c r="I16" i="4"/>
  <c r="H16" i="4"/>
  <c r="F16" i="4"/>
  <c r="H15" i="4"/>
  <c r="J15" i="4" s="1"/>
  <c r="K15" i="4" s="1"/>
  <c r="J14" i="4"/>
  <c r="K14" i="4" s="1"/>
  <c r="H13" i="4"/>
  <c r="J13" i="4" s="1"/>
  <c r="K13" i="4" s="1"/>
  <c r="I12" i="4"/>
  <c r="H12" i="4"/>
  <c r="G12" i="4"/>
  <c r="F12" i="4"/>
  <c r="H11" i="4"/>
  <c r="F11" i="4"/>
  <c r="H10" i="4"/>
  <c r="G10" i="4"/>
  <c r="F10" i="4"/>
  <c r="J9" i="4"/>
  <c r="K9" i="4" s="1"/>
  <c r="I8" i="4"/>
  <c r="H8" i="4"/>
  <c r="G8" i="4"/>
  <c r="F8" i="4"/>
  <c r="E8" i="4"/>
  <c r="E78" i="4" s="1"/>
  <c r="D8" i="4"/>
  <c r="D78" i="4" s="1"/>
  <c r="D83" i="3"/>
  <c r="H77" i="3"/>
  <c r="J77" i="3" s="1"/>
  <c r="K77" i="3" s="1"/>
  <c r="J76" i="3"/>
  <c r="K76" i="3" s="1"/>
  <c r="H75" i="3"/>
  <c r="F75" i="3"/>
  <c r="I74" i="3"/>
  <c r="H74" i="3"/>
  <c r="F74" i="3"/>
  <c r="H73" i="3"/>
  <c r="G73" i="3"/>
  <c r="I72" i="3"/>
  <c r="H72" i="3"/>
  <c r="F72" i="3"/>
  <c r="H71" i="3"/>
  <c r="G71" i="3"/>
  <c r="F70" i="3"/>
  <c r="J70" i="3" s="1"/>
  <c r="K70" i="3" s="1"/>
  <c r="I69" i="3"/>
  <c r="H69" i="3"/>
  <c r="G69" i="3"/>
  <c r="F69" i="3"/>
  <c r="H68" i="3"/>
  <c r="J68" i="3" s="1"/>
  <c r="K68" i="3" s="1"/>
  <c r="H67" i="3"/>
  <c r="F67" i="3"/>
  <c r="I66" i="3"/>
  <c r="H66" i="3"/>
  <c r="F66" i="3"/>
  <c r="I65" i="3"/>
  <c r="H65" i="3"/>
  <c r="F65" i="3"/>
  <c r="H64" i="3"/>
  <c r="F64" i="3"/>
  <c r="H63" i="3"/>
  <c r="G63" i="3"/>
  <c r="H62" i="3"/>
  <c r="F62" i="3"/>
  <c r="H61" i="3"/>
  <c r="F61" i="3"/>
  <c r="I60" i="3"/>
  <c r="J60" i="3" s="1"/>
  <c r="K60" i="3" s="1"/>
  <c r="I59" i="3"/>
  <c r="H59" i="3"/>
  <c r="G59" i="3"/>
  <c r="F59" i="3"/>
  <c r="H58" i="3"/>
  <c r="F58" i="3"/>
  <c r="F57" i="3"/>
  <c r="J57" i="3" s="1"/>
  <c r="K57" i="3" s="1"/>
  <c r="I56" i="3"/>
  <c r="H56" i="3"/>
  <c r="F56" i="3"/>
  <c r="I55" i="3"/>
  <c r="H55" i="3"/>
  <c r="G55" i="3"/>
  <c r="F55" i="3"/>
  <c r="H54" i="3"/>
  <c r="J54" i="3" s="1"/>
  <c r="K54" i="3" s="1"/>
  <c r="H53" i="3"/>
  <c r="F53" i="3"/>
  <c r="H52" i="3"/>
  <c r="F52" i="3"/>
  <c r="I51" i="3"/>
  <c r="H51" i="3"/>
  <c r="F51" i="3"/>
  <c r="H50" i="3"/>
  <c r="G50" i="3"/>
  <c r="F50" i="3"/>
  <c r="J49" i="3"/>
  <c r="K49" i="3" s="1"/>
  <c r="I48" i="3"/>
  <c r="H48" i="3"/>
  <c r="F48" i="3"/>
  <c r="I47" i="3"/>
  <c r="H47" i="3"/>
  <c r="F47" i="3"/>
  <c r="H46" i="3"/>
  <c r="F46" i="3"/>
  <c r="H45" i="3"/>
  <c r="G45" i="3"/>
  <c r="H44" i="3"/>
  <c r="J44" i="3" s="1"/>
  <c r="K44" i="3" s="1"/>
  <c r="H43" i="3"/>
  <c r="J43" i="3" s="1"/>
  <c r="K43" i="3" s="1"/>
  <c r="I42" i="3"/>
  <c r="H42" i="3"/>
  <c r="F42" i="3"/>
  <c r="H41" i="3"/>
  <c r="J41" i="3" s="1"/>
  <c r="K41" i="3" s="1"/>
  <c r="H40" i="3"/>
  <c r="F40" i="3"/>
  <c r="I39" i="3"/>
  <c r="H39" i="3"/>
  <c r="H38" i="3"/>
  <c r="G38" i="3"/>
  <c r="F38" i="3"/>
  <c r="I37" i="3"/>
  <c r="H37" i="3"/>
  <c r="F37" i="3"/>
  <c r="H36" i="3"/>
  <c r="G36" i="3"/>
  <c r="I35" i="3"/>
  <c r="F35" i="3"/>
  <c r="I34" i="3"/>
  <c r="H34" i="3"/>
  <c r="F34" i="3"/>
  <c r="I33" i="3"/>
  <c r="H33" i="3"/>
  <c r="J33" i="3" s="1"/>
  <c r="K33" i="3" s="1"/>
  <c r="J32" i="3"/>
  <c r="K32" i="3" s="1"/>
  <c r="J31" i="3"/>
  <c r="K31" i="3" s="1"/>
  <c r="J30" i="3"/>
  <c r="K30" i="3" s="1"/>
  <c r="J29" i="3"/>
  <c r="K29" i="3" s="1"/>
  <c r="J28" i="3"/>
  <c r="K28" i="3" s="1"/>
  <c r="I27" i="3"/>
  <c r="H27" i="3"/>
  <c r="J26" i="3"/>
  <c r="K26" i="3" s="1"/>
  <c r="I25" i="3"/>
  <c r="H25" i="3"/>
  <c r="H24" i="3"/>
  <c r="J24" i="3" s="1"/>
  <c r="K24" i="3" s="1"/>
  <c r="H23" i="3"/>
  <c r="F23" i="3"/>
  <c r="H22" i="3"/>
  <c r="J22" i="3" s="1"/>
  <c r="K22" i="3" s="1"/>
  <c r="J21" i="3"/>
  <c r="K21" i="3" s="1"/>
  <c r="I20" i="3"/>
  <c r="H20" i="3"/>
  <c r="I19" i="3"/>
  <c r="H19" i="3"/>
  <c r="F19" i="3"/>
  <c r="F18" i="3"/>
  <c r="J18" i="3" s="1"/>
  <c r="K18" i="3" s="1"/>
  <c r="I17" i="3"/>
  <c r="H17" i="3"/>
  <c r="F17" i="3"/>
  <c r="I16" i="3"/>
  <c r="H16" i="3"/>
  <c r="F16" i="3"/>
  <c r="H15" i="3"/>
  <c r="J15" i="3" s="1"/>
  <c r="K15" i="3" s="1"/>
  <c r="J14" i="3"/>
  <c r="K14" i="3" s="1"/>
  <c r="H13" i="3"/>
  <c r="J13" i="3" s="1"/>
  <c r="K13" i="3" s="1"/>
  <c r="I12" i="3"/>
  <c r="H12" i="3"/>
  <c r="G12" i="3"/>
  <c r="F12" i="3"/>
  <c r="H11" i="3"/>
  <c r="F11" i="3"/>
  <c r="H10" i="3"/>
  <c r="G10" i="3"/>
  <c r="F10" i="3"/>
  <c r="J9" i="3"/>
  <c r="K9" i="3" s="1"/>
  <c r="I8" i="3"/>
  <c r="H8" i="3"/>
  <c r="G8" i="3"/>
  <c r="F8" i="3"/>
  <c r="E8" i="3"/>
  <c r="E78" i="3" s="1"/>
  <c r="D8" i="3"/>
  <c r="J106" i="2"/>
  <c r="H106" i="2"/>
  <c r="F106" i="2"/>
  <c r="D106" i="2"/>
  <c r="J104" i="2"/>
  <c r="H104" i="2"/>
  <c r="F104" i="2"/>
  <c r="AB85" i="2"/>
  <c r="AB84" i="2"/>
  <c r="AB83" i="2"/>
  <c r="AB82" i="2"/>
  <c r="W79" i="2"/>
  <c r="S79" i="2"/>
  <c r="AB79" i="2" s="1"/>
  <c r="F79" i="2"/>
  <c r="AB78" i="2"/>
  <c r="X78" i="2"/>
  <c r="W78" i="2"/>
  <c r="V78" i="2"/>
  <c r="Q78" i="2"/>
  <c r="N78" i="2"/>
  <c r="H78" i="2"/>
  <c r="AB77" i="2"/>
  <c r="X77" i="2"/>
  <c r="W77" i="2"/>
  <c r="V77" i="2"/>
  <c r="Q77" i="2"/>
  <c r="N77" i="2"/>
  <c r="L77" i="2"/>
  <c r="AB76" i="2"/>
  <c r="X76" i="2"/>
  <c r="W76" i="2"/>
  <c r="V76" i="2"/>
  <c r="Q76" i="2"/>
  <c r="L76" i="2"/>
  <c r="P76" i="2" s="1"/>
  <c r="AB75" i="2"/>
  <c r="X75" i="2"/>
  <c r="W75" i="2"/>
  <c r="V75" i="2"/>
  <c r="Q75" i="2"/>
  <c r="L75" i="2"/>
  <c r="J75" i="2"/>
  <c r="H75" i="2"/>
  <c r="AB74" i="2"/>
  <c r="X74" i="2"/>
  <c r="W74" i="2"/>
  <c r="V74" i="2"/>
  <c r="M74" i="2"/>
  <c r="Q74" i="2" s="1"/>
  <c r="L74" i="2"/>
  <c r="J74" i="2"/>
  <c r="H74" i="2"/>
  <c r="AB73" i="2"/>
  <c r="X73" i="2"/>
  <c r="W73" i="2"/>
  <c r="V73" i="2"/>
  <c r="M73" i="2"/>
  <c r="Q73" i="2" s="1"/>
  <c r="L73" i="2"/>
  <c r="J73" i="2"/>
  <c r="AB72" i="2"/>
  <c r="X72" i="2"/>
  <c r="W72" i="2"/>
  <c r="V72" i="2"/>
  <c r="N72" i="2"/>
  <c r="L72" i="2"/>
  <c r="J72" i="2"/>
  <c r="I72" i="2"/>
  <c r="H72" i="2"/>
  <c r="E72" i="2"/>
  <c r="AB71" i="2"/>
  <c r="X71" i="2"/>
  <c r="W71" i="2"/>
  <c r="V71" i="2"/>
  <c r="Q71" i="2"/>
  <c r="L71" i="2"/>
  <c r="J71" i="2"/>
  <c r="AB70" i="2"/>
  <c r="X70" i="2"/>
  <c r="W70" i="2"/>
  <c r="V70" i="2"/>
  <c r="Q70" i="2"/>
  <c r="L70" i="2"/>
  <c r="H70" i="2"/>
  <c r="AB69" i="2"/>
  <c r="X69" i="2"/>
  <c r="W69" i="2"/>
  <c r="V69" i="2"/>
  <c r="M69" i="2"/>
  <c r="L69" i="2"/>
  <c r="K69" i="2"/>
  <c r="J69" i="2"/>
  <c r="AB68" i="2"/>
  <c r="X68" i="2"/>
  <c r="W68" i="2"/>
  <c r="V68" i="2"/>
  <c r="Q68" i="2"/>
  <c r="L68" i="2"/>
  <c r="P68" i="2" s="1"/>
  <c r="AB67" i="2"/>
  <c r="X67" i="2"/>
  <c r="W67" i="2"/>
  <c r="V67" i="2"/>
  <c r="M67" i="2"/>
  <c r="Q67" i="2" s="1"/>
  <c r="L67" i="2"/>
  <c r="P67" i="2" s="1"/>
  <c r="AB66" i="2"/>
  <c r="X66" i="2"/>
  <c r="W66" i="2"/>
  <c r="V66" i="2"/>
  <c r="O66" i="2"/>
  <c r="N66" i="2"/>
  <c r="M66" i="2"/>
  <c r="L66" i="2"/>
  <c r="K66" i="2"/>
  <c r="J66" i="2"/>
  <c r="I66" i="2"/>
  <c r="H66" i="2"/>
  <c r="E66" i="2"/>
  <c r="AB65" i="2"/>
  <c r="X65" i="2"/>
  <c r="W65" i="2"/>
  <c r="V65" i="2"/>
  <c r="M65" i="2"/>
  <c r="L65" i="2"/>
  <c r="K65" i="2"/>
  <c r="J65" i="2"/>
  <c r="I65" i="2"/>
  <c r="H65" i="2"/>
  <c r="AB64" i="2"/>
  <c r="X64" i="2"/>
  <c r="W64" i="2"/>
  <c r="V64" i="2"/>
  <c r="M64" i="2"/>
  <c r="L64" i="2"/>
  <c r="P64" i="2" s="1"/>
  <c r="I64" i="2"/>
  <c r="AB63" i="2"/>
  <c r="X63" i="2"/>
  <c r="W63" i="2"/>
  <c r="V63" i="2"/>
  <c r="M63" i="2"/>
  <c r="Q63" i="2" s="1"/>
  <c r="L63" i="2"/>
  <c r="J63" i="2"/>
  <c r="H63" i="2"/>
  <c r="AB62" i="2"/>
  <c r="X62" i="2"/>
  <c r="W62" i="2"/>
  <c r="V62" i="2"/>
  <c r="M62" i="2"/>
  <c r="Q62" i="2" s="1"/>
  <c r="L62" i="2"/>
  <c r="H62" i="2"/>
  <c r="AB61" i="2"/>
  <c r="X61" i="2"/>
  <c r="W61" i="2"/>
  <c r="V61" i="2"/>
  <c r="M61" i="2"/>
  <c r="L61" i="2"/>
  <c r="K61" i="2"/>
  <c r="J61" i="2"/>
  <c r="AB60" i="2"/>
  <c r="X60" i="2"/>
  <c r="W60" i="2"/>
  <c r="V60" i="2"/>
  <c r="O60" i="2"/>
  <c r="Q60" i="2" s="1"/>
  <c r="N60" i="2"/>
  <c r="P60" i="2" s="1"/>
  <c r="AB59" i="2"/>
  <c r="Z59" i="2"/>
  <c r="X59" i="2"/>
  <c r="W59" i="2"/>
  <c r="V59" i="2"/>
  <c r="M59" i="2"/>
  <c r="L59" i="2"/>
  <c r="K59" i="2"/>
  <c r="J59" i="2"/>
  <c r="I59" i="2"/>
  <c r="E59" i="2"/>
  <c r="AB58" i="2"/>
  <c r="X58" i="2"/>
  <c r="W58" i="2"/>
  <c r="V58" i="2"/>
  <c r="M58" i="2"/>
  <c r="L58" i="2"/>
  <c r="K58" i="2"/>
  <c r="J58" i="2"/>
  <c r="H58" i="2"/>
  <c r="AB57" i="2"/>
  <c r="X57" i="2"/>
  <c r="W57" i="2"/>
  <c r="V57" i="2"/>
  <c r="M57" i="2"/>
  <c r="L57" i="2"/>
  <c r="P57" i="2" s="1"/>
  <c r="I57" i="2"/>
  <c r="AB56" i="2"/>
  <c r="X56" i="2"/>
  <c r="W56" i="2"/>
  <c r="V56" i="2"/>
  <c r="M56" i="2"/>
  <c r="Q56" i="2" s="1"/>
  <c r="L56" i="2"/>
  <c r="J56" i="2"/>
  <c r="H56" i="2"/>
  <c r="AB55" i="2"/>
  <c r="X55" i="2"/>
  <c r="W55" i="2"/>
  <c r="V55" i="2"/>
  <c r="Q55" i="2"/>
  <c r="L55" i="2"/>
  <c r="J55" i="2"/>
  <c r="H55" i="2"/>
  <c r="AB54" i="2"/>
  <c r="X54" i="2"/>
  <c r="W54" i="2"/>
  <c r="V54" i="2"/>
  <c r="Q54" i="2"/>
  <c r="L54" i="2"/>
  <c r="J54" i="2"/>
  <c r="H54" i="2"/>
  <c r="AB53" i="2"/>
  <c r="X53" i="2"/>
  <c r="W53" i="2"/>
  <c r="V53" i="2"/>
  <c r="Q53" i="2"/>
  <c r="N53" i="2"/>
  <c r="L53" i="2"/>
  <c r="AB52" i="2"/>
  <c r="X52" i="2"/>
  <c r="W52" i="2"/>
  <c r="V52" i="2"/>
  <c r="M52" i="2"/>
  <c r="L52" i="2"/>
  <c r="J52" i="2"/>
  <c r="I52" i="2"/>
  <c r="H52" i="2"/>
  <c r="AB51" i="2"/>
  <c r="X51" i="2"/>
  <c r="W51" i="2"/>
  <c r="V51" i="2"/>
  <c r="M51" i="2"/>
  <c r="L51" i="2"/>
  <c r="K51" i="2"/>
  <c r="J51" i="2"/>
  <c r="I51" i="2"/>
  <c r="AB50" i="2"/>
  <c r="X50" i="2"/>
  <c r="W50" i="2"/>
  <c r="V50" i="2"/>
  <c r="M50" i="2"/>
  <c r="L50" i="2"/>
  <c r="K50" i="2"/>
  <c r="J50" i="2"/>
  <c r="AB49" i="2"/>
  <c r="X49" i="2"/>
  <c r="W49" i="2"/>
  <c r="V49" i="2"/>
  <c r="Q49" i="2"/>
  <c r="P49" i="2"/>
  <c r="AB48" i="2"/>
  <c r="X48" i="2"/>
  <c r="W48" i="2"/>
  <c r="V48" i="2"/>
  <c r="M48" i="2"/>
  <c r="L48" i="2"/>
  <c r="K48" i="2"/>
  <c r="J48" i="2"/>
  <c r="H48" i="2"/>
  <c r="AB47" i="2"/>
  <c r="X47" i="2"/>
  <c r="W47" i="2"/>
  <c r="V47" i="2"/>
  <c r="Q47" i="2"/>
  <c r="N47" i="2"/>
  <c r="H47" i="2"/>
  <c r="AB46" i="2"/>
  <c r="X46" i="2"/>
  <c r="W46" i="2"/>
  <c r="V46" i="2"/>
  <c r="Q46" i="2"/>
  <c r="N46" i="2"/>
  <c r="L46" i="2"/>
  <c r="J46" i="2"/>
  <c r="H46" i="2"/>
  <c r="AB45" i="2"/>
  <c r="X45" i="2"/>
  <c r="W45" i="2"/>
  <c r="V45" i="2"/>
  <c r="M45" i="2"/>
  <c r="L45" i="2"/>
  <c r="K45" i="2"/>
  <c r="J45" i="2"/>
  <c r="I45" i="2"/>
  <c r="H45" i="2"/>
  <c r="E45" i="2"/>
  <c r="AB44" i="2"/>
  <c r="X44" i="2"/>
  <c r="W44" i="2"/>
  <c r="V44" i="2"/>
  <c r="Q44" i="2"/>
  <c r="P44" i="2"/>
  <c r="AB43" i="2"/>
  <c r="X43" i="2"/>
  <c r="W43" i="2"/>
  <c r="V43" i="2"/>
  <c r="N43" i="2"/>
  <c r="M43" i="2"/>
  <c r="Q43" i="2" s="1"/>
  <c r="L43" i="2"/>
  <c r="AB42" i="2"/>
  <c r="X42" i="2"/>
  <c r="W42" i="2"/>
  <c r="V42" i="2"/>
  <c r="N42" i="2"/>
  <c r="M42" i="2"/>
  <c r="Q42" i="2" s="1"/>
  <c r="L42" i="2"/>
  <c r="J42" i="2"/>
  <c r="H42" i="2"/>
  <c r="AB41" i="2"/>
  <c r="X41" i="2"/>
  <c r="W41" i="2"/>
  <c r="V41" i="2"/>
  <c r="M41" i="2"/>
  <c r="Q41" i="2" s="1"/>
  <c r="L41" i="2"/>
  <c r="J41" i="2"/>
  <c r="AB40" i="2"/>
  <c r="X40" i="2"/>
  <c r="W40" i="2"/>
  <c r="V40" i="2"/>
  <c r="Q40" i="2"/>
  <c r="L40" i="2"/>
  <c r="J40" i="2"/>
  <c r="AB39" i="2"/>
  <c r="X39" i="2"/>
  <c r="W39" i="2"/>
  <c r="V39" i="2"/>
  <c r="Q39" i="2"/>
  <c r="N39" i="2"/>
  <c r="H39" i="2"/>
  <c r="AB38" i="2"/>
  <c r="X38" i="2"/>
  <c r="W38" i="2"/>
  <c r="V38" i="2"/>
  <c r="Q38" i="2"/>
  <c r="L38" i="2"/>
  <c r="J38" i="2"/>
  <c r="AB37" i="2"/>
  <c r="X37" i="2"/>
  <c r="W37" i="2"/>
  <c r="V37" i="2"/>
  <c r="Q37" i="2"/>
  <c r="N37" i="2"/>
  <c r="L37" i="2"/>
  <c r="H37" i="2"/>
  <c r="AB36" i="2"/>
  <c r="X36" i="2"/>
  <c r="W36" i="2"/>
  <c r="V36" i="2"/>
  <c r="M36" i="2"/>
  <c r="Q36" i="2" s="1"/>
  <c r="L36" i="2"/>
  <c r="H36" i="2"/>
  <c r="AB35" i="2"/>
  <c r="X35" i="2"/>
  <c r="W35" i="2"/>
  <c r="V35" i="2"/>
  <c r="N35" i="2"/>
  <c r="I35" i="2"/>
  <c r="Q35" i="2" s="1"/>
  <c r="H35" i="2"/>
  <c r="AB34" i="2"/>
  <c r="X34" i="2"/>
  <c r="W34" i="2"/>
  <c r="V34" i="2"/>
  <c r="Q34" i="2"/>
  <c r="N34" i="2"/>
  <c r="L34" i="2"/>
  <c r="H34" i="2"/>
  <c r="AB33" i="2"/>
  <c r="X33" i="2"/>
  <c r="W33" i="2"/>
  <c r="V33" i="2"/>
  <c r="O33" i="2"/>
  <c r="N33" i="2"/>
  <c r="M33" i="2"/>
  <c r="L33" i="2"/>
  <c r="AB32" i="2"/>
  <c r="X32" i="2"/>
  <c r="W32" i="2"/>
  <c r="V32" i="2"/>
  <c r="Q32" i="2"/>
  <c r="P32" i="2"/>
  <c r="AB31" i="2"/>
  <c r="X31" i="2"/>
  <c r="W31" i="2"/>
  <c r="V31" i="2"/>
  <c r="Q31" i="2"/>
  <c r="P31" i="2"/>
  <c r="AB30" i="2"/>
  <c r="X30" i="2"/>
  <c r="W30" i="2"/>
  <c r="V30" i="2"/>
  <c r="Q30" i="2"/>
  <c r="P30" i="2"/>
  <c r="AB29" i="2"/>
  <c r="X29" i="2"/>
  <c r="W29" i="2"/>
  <c r="V29" i="2"/>
  <c r="Q29" i="2"/>
  <c r="P29" i="2"/>
  <c r="AB28" i="2"/>
  <c r="X28" i="2"/>
  <c r="W28" i="2"/>
  <c r="V28" i="2"/>
  <c r="Q28" i="2"/>
  <c r="J28" i="2"/>
  <c r="P28" i="2" s="1"/>
  <c r="AB27" i="2"/>
  <c r="Z27" i="2"/>
  <c r="Z9" i="2" s="1"/>
  <c r="X27" i="2"/>
  <c r="W27" i="2"/>
  <c r="V27" i="2"/>
  <c r="P27" i="2"/>
  <c r="E27" i="2"/>
  <c r="Q27" i="2" s="1"/>
  <c r="AB26" i="2"/>
  <c r="X26" i="2"/>
  <c r="W26" i="2"/>
  <c r="V26" i="2"/>
  <c r="Q26" i="2"/>
  <c r="N26" i="2"/>
  <c r="L26" i="2"/>
  <c r="AB25" i="2"/>
  <c r="X25" i="2"/>
  <c r="W25" i="2"/>
  <c r="V25" i="2"/>
  <c r="Q25" i="2"/>
  <c r="N25" i="2"/>
  <c r="L25" i="2"/>
  <c r="AB24" i="2"/>
  <c r="X24" i="2"/>
  <c r="W24" i="2"/>
  <c r="V24" i="2"/>
  <c r="Q24" i="2"/>
  <c r="L24" i="2"/>
  <c r="P24" i="2" s="1"/>
  <c r="AB23" i="2"/>
  <c r="X23" i="2"/>
  <c r="W23" i="2"/>
  <c r="V23" i="2"/>
  <c r="M23" i="2"/>
  <c r="Q23" i="2" s="1"/>
  <c r="L23" i="2"/>
  <c r="P23" i="2" s="1"/>
  <c r="AB22" i="2"/>
  <c r="X22" i="2"/>
  <c r="W22" i="2"/>
  <c r="V22" i="2"/>
  <c r="Q22" i="2"/>
  <c r="N22" i="2"/>
  <c r="J22" i="2"/>
  <c r="AB21" i="2"/>
  <c r="X21" i="2"/>
  <c r="W21" i="2"/>
  <c r="V21" i="2"/>
  <c r="Q21" i="2"/>
  <c r="L21" i="2"/>
  <c r="P21" i="2" s="1"/>
  <c r="AB20" i="2"/>
  <c r="X20" i="2"/>
  <c r="W20" i="2"/>
  <c r="V20" i="2"/>
  <c r="Q20" i="2"/>
  <c r="L20" i="2"/>
  <c r="P20" i="2" s="1"/>
  <c r="AB19" i="2"/>
  <c r="X19" i="2"/>
  <c r="W19" i="2"/>
  <c r="V19" i="2"/>
  <c r="N19" i="2"/>
  <c r="M19" i="2"/>
  <c r="Q19" i="2" s="1"/>
  <c r="L19" i="2"/>
  <c r="AB18" i="2"/>
  <c r="X18" i="2"/>
  <c r="W18" i="2"/>
  <c r="V18" i="2"/>
  <c r="Q18" i="2"/>
  <c r="J18" i="2"/>
  <c r="H18" i="2"/>
  <c r="AB17" i="2"/>
  <c r="X17" i="2"/>
  <c r="W17" i="2"/>
  <c r="V17" i="2"/>
  <c r="M17" i="2"/>
  <c r="L17" i="2"/>
  <c r="K17" i="2"/>
  <c r="J17" i="2"/>
  <c r="H17" i="2"/>
  <c r="AB16" i="2"/>
  <c r="X16" i="2"/>
  <c r="W16" i="2"/>
  <c r="V16" i="2"/>
  <c r="M16" i="2"/>
  <c r="Q16" i="2" s="1"/>
  <c r="L16" i="2"/>
  <c r="P16" i="2" s="1"/>
  <c r="AB15" i="2"/>
  <c r="X15" i="2"/>
  <c r="W15" i="2"/>
  <c r="V15" i="2"/>
  <c r="O15" i="2"/>
  <c r="Q15" i="2" s="1"/>
  <c r="N15" i="2"/>
  <c r="P15" i="2" s="1"/>
  <c r="AB14" i="2"/>
  <c r="X14" i="2"/>
  <c r="W14" i="2"/>
  <c r="V14" i="2"/>
  <c r="V10" i="2" s="1"/>
  <c r="V8" i="2" s="1"/>
  <c r="N14" i="2"/>
  <c r="M14" i="2"/>
  <c r="Q14" i="2" s="1"/>
  <c r="L14" i="2"/>
  <c r="AB13" i="2"/>
  <c r="X13" i="2"/>
  <c r="X9" i="2" s="1"/>
  <c r="W13" i="2"/>
  <c r="W9" i="2" s="1"/>
  <c r="M13" i="2"/>
  <c r="Q13" i="2" s="1"/>
  <c r="L13" i="2"/>
  <c r="P13" i="2" s="1"/>
  <c r="M12" i="2"/>
  <c r="L12" i="2"/>
  <c r="P12" i="2" s="1"/>
  <c r="K12" i="2"/>
  <c r="I12" i="2"/>
  <c r="M11" i="2"/>
  <c r="L11" i="2"/>
  <c r="P11" i="2" s="1"/>
  <c r="I11" i="2"/>
  <c r="AD10" i="2"/>
  <c r="AA10" i="2"/>
  <c r="AB10" i="2" s="1"/>
  <c r="X10" i="2"/>
  <c r="X8" i="2" s="1"/>
  <c r="U10" i="2"/>
  <c r="U8" i="2" s="1"/>
  <c r="T10" i="2"/>
  <c r="T8" i="2" s="1"/>
  <c r="Q10" i="2"/>
  <c r="Q91" i="2" s="1"/>
  <c r="L10" i="2"/>
  <c r="AC9" i="2"/>
  <c r="AA9" i="2"/>
  <c r="Y9" i="2"/>
  <c r="U9" i="2"/>
  <c r="T9" i="2"/>
  <c r="Q9" i="2"/>
  <c r="P9" i="2"/>
  <c r="Y8" i="2"/>
  <c r="Q8" i="2"/>
  <c r="P8" i="2"/>
  <c r="AB7" i="2"/>
  <c r="X7" i="2"/>
  <c r="W7" i="2"/>
  <c r="V7" i="2"/>
  <c r="O7" i="2"/>
  <c r="M7" i="2"/>
  <c r="K7" i="2"/>
  <c r="G7" i="2"/>
  <c r="G79" i="2" s="1"/>
  <c r="E7" i="2"/>
  <c r="D7" i="2"/>
  <c r="D79" i="2" s="1"/>
  <c r="AB6" i="2"/>
  <c r="X6" i="2"/>
  <c r="W6" i="2"/>
  <c r="V6" i="2"/>
  <c r="P18" i="2" l="1"/>
  <c r="J11" i="4"/>
  <c r="K11" i="4" s="1"/>
  <c r="J23" i="4"/>
  <c r="K23" i="4" s="1"/>
  <c r="Q12" i="2"/>
  <c r="Q72" i="2"/>
  <c r="J17" i="4"/>
  <c r="K17" i="4" s="1"/>
  <c r="Q59" i="2"/>
  <c r="R59" i="2" s="1"/>
  <c r="Q45" i="2"/>
  <c r="R45" i="2" s="1"/>
  <c r="P50" i="2"/>
  <c r="Q58" i="2"/>
  <c r="V9" i="2"/>
  <c r="J75" i="4"/>
  <c r="K75" i="4" s="1"/>
  <c r="P40" i="2"/>
  <c r="R40" i="2" s="1"/>
  <c r="R32" i="2"/>
  <c r="Q48" i="2"/>
  <c r="R49" i="2"/>
  <c r="P51" i="2"/>
  <c r="P52" i="2"/>
  <c r="P59" i="2"/>
  <c r="P62" i="2"/>
  <c r="R62" i="2" s="1"/>
  <c r="R67" i="2"/>
  <c r="J40" i="3"/>
  <c r="K40" i="3" s="1"/>
  <c r="J61" i="3"/>
  <c r="K61" i="3" s="1"/>
  <c r="K79" i="2"/>
  <c r="R31" i="2"/>
  <c r="P41" i="2"/>
  <c r="R41" i="2" s="1"/>
  <c r="R44" i="2"/>
  <c r="J59" i="4"/>
  <c r="K59" i="4" s="1"/>
  <c r="J69" i="4"/>
  <c r="K69" i="4" s="1"/>
  <c r="M79" i="2"/>
  <c r="AB8" i="2"/>
  <c r="R27" i="2"/>
  <c r="P26" i="2"/>
  <c r="R26" i="2" s="1"/>
  <c r="J25" i="4"/>
  <c r="K25" i="4" s="1"/>
  <c r="P33" i="2"/>
  <c r="P34" i="2"/>
  <c r="R34" i="2" s="1"/>
  <c r="P35" i="2"/>
  <c r="R35" i="2" s="1"/>
  <c r="P74" i="2"/>
  <c r="R74" i="2" s="1"/>
  <c r="J36" i="3"/>
  <c r="K36" i="3" s="1"/>
  <c r="J46" i="3"/>
  <c r="K46" i="3" s="1"/>
  <c r="J74" i="3"/>
  <c r="K74" i="3" s="1"/>
  <c r="G78" i="4"/>
  <c r="J62" i="4"/>
  <c r="K62" i="4" s="1"/>
  <c r="P45" i="2"/>
  <c r="J34" i="4"/>
  <c r="K34" i="4" s="1"/>
  <c r="P38" i="2"/>
  <c r="R38" i="2" s="1"/>
  <c r="P48" i="2"/>
  <c r="R48" i="2" s="1"/>
  <c r="P66" i="2"/>
  <c r="P78" i="2"/>
  <c r="R78" i="2" s="1"/>
  <c r="J12" i="3"/>
  <c r="K12" i="3" s="1"/>
  <c r="J16" i="3"/>
  <c r="K16" i="3" s="1"/>
  <c r="J27" i="3"/>
  <c r="K27" i="3" s="1"/>
  <c r="J35" i="3"/>
  <c r="K35" i="3" s="1"/>
  <c r="J45" i="3"/>
  <c r="K45" i="3" s="1"/>
  <c r="J59" i="3"/>
  <c r="K59" i="3" s="1"/>
  <c r="J62" i="3"/>
  <c r="K62" i="3" s="1"/>
  <c r="J64" i="3"/>
  <c r="K64" i="3" s="1"/>
  <c r="J65" i="3"/>
  <c r="K65" i="3" s="1"/>
  <c r="I78" i="4"/>
  <c r="J19" i="4"/>
  <c r="K19" i="4" s="1"/>
  <c r="J38" i="4"/>
  <c r="K38" i="4" s="1"/>
  <c r="P25" i="2"/>
  <c r="R25" i="2" s="1"/>
  <c r="E79" i="2"/>
  <c r="W8" i="2"/>
  <c r="L79" i="2"/>
  <c r="P14" i="2"/>
  <c r="R14" i="2" s="1"/>
  <c r="P36" i="2"/>
  <c r="P37" i="2"/>
  <c r="R37" i="2" s="1"/>
  <c r="Q57" i="2"/>
  <c r="R57" i="2" s="1"/>
  <c r="P58" i="2"/>
  <c r="R58" i="2" s="1"/>
  <c r="P65" i="2"/>
  <c r="Q66" i="2"/>
  <c r="R66" i="2" s="1"/>
  <c r="R68" i="2"/>
  <c r="P71" i="2"/>
  <c r="R71" i="2" s="1"/>
  <c r="J25" i="3"/>
  <c r="K25" i="3" s="1"/>
  <c r="J34" i="3"/>
  <c r="K34" i="3" s="1"/>
  <c r="J38" i="3"/>
  <c r="K38" i="3" s="1"/>
  <c r="J42" i="3"/>
  <c r="K42" i="3" s="1"/>
  <c r="J48" i="3"/>
  <c r="K48" i="3" s="1"/>
  <c r="J50" i="3"/>
  <c r="K50" i="3" s="1"/>
  <c r="J73" i="3"/>
  <c r="K73" i="3" s="1"/>
  <c r="J33" i="4"/>
  <c r="K33" i="4" s="1"/>
  <c r="J37" i="4"/>
  <c r="K37" i="4" s="1"/>
  <c r="J40" i="4"/>
  <c r="K40" i="4" s="1"/>
  <c r="J47" i="4"/>
  <c r="K47" i="4" s="1"/>
  <c r="J52" i="4"/>
  <c r="K52" i="4" s="1"/>
  <c r="J56" i="4"/>
  <c r="K56" i="4" s="1"/>
  <c r="R28" i="2"/>
  <c r="P47" i="2"/>
  <c r="R76" i="2"/>
  <c r="J11" i="3"/>
  <c r="K11" i="3" s="1"/>
  <c r="J23" i="3"/>
  <c r="K23" i="3" s="1"/>
  <c r="J39" i="3"/>
  <c r="K39" i="3" s="1"/>
  <c r="J58" i="3"/>
  <c r="K58" i="3" s="1"/>
  <c r="J63" i="3"/>
  <c r="K63" i="3" s="1"/>
  <c r="J75" i="3"/>
  <c r="K75" i="3" s="1"/>
  <c r="J20" i="4"/>
  <c r="K20" i="4" s="1"/>
  <c r="J66" i="4"/>
  <c r="K66" i="4" s="1"/>
  <c r="Q47" i="6"/>
  <c r="R15" i="2"/>
  <c r="P17" i="2"/>
  <c r="P22" i="2"/>
  <c r="R22" i="2" s="1"/>
  <c r="R24" i="2"/>
  <c r="R29" i="2"/>
  <c r="Q51" i="2"/>
  <c r="P54" i="2"/>
  <c r="R54" i="2" s="1"/>
  <c r="F78" i="3"/>
  <c r="G98" i="3" s="1"/>
  <c r="J17" i="3"/>
  <c r="K17" i="3" s="1"/>
  <c r="J19" i="3"/>
  <c r="K19" i="3" s="1"/>
  <c r="F78" i="4"/>
  <c r="J50" i="4"/>
  <c r="K50" i="4" s="1"/>
  <c r="J64" i="4"/>
  <c r="K64" i="4" s="1"/>
  <c r="J72" i="4"/>
  <c r="K72" i="4" s="1"/>
  <c r="J74" i="4"/>
  <c r="K74" i="4" s="1"/>
  <c r="R8" i="2"/>
  <c r="R9" i="2"/>
  <c r="G78" i="3"/>
  <c r="G99" i="3" s="1"/>
  <c r="J10" i="3"/>
  <c r="K10" i="3" s="1"/>
  <c r="I78" i="3"/>
  <c r="G101" i="3" s="1"/>
  <c r="J51" i="3"/>
  <c r="K51" i="3" s="1"/>
  <c r="J52" i="3"/>
  <c r="K52" i="3" s="1"/>
  <c r="J66" i="3"/>
  <c r="K66" i="3" s="1"/>
  <c r="J67" i="3"/>
  <c r="K67" i="3" s="1"/>
  <c r="J69" i="3"/>
  <c r="K69" i="3" s="1"/>
  <c r="J71" i="3"/>
  <c r="K71" i="3" s="1"/>
  <c r="J12" i="4"/>
  <c r="K12" i="4" s="1"/>
  <c r="J27" i="4"/>
  <c r="K27" i="4" s="1"/>
  <c r="J42" i="4"/>
  <c r="K42" i="4" s="1"/>
  <c r="J51" i="4"/>
  <c r="K51" i="4" s="1"/>
  <c r="J55" i="4"/>
  <c r="K55" i="4" s="1"/>
  <c r="J65" i="4"/>
  <c r="K65" i="4" s="1"/>
  <c r="Q11" i="2"/>
  <c r="R11" i="2" s="1"/>
  <c r="Q17" i="2"/>
  <c r="R17" i="2" s="1"/>
  <c r="P19" i="2"/>
  <c r="R19" i="2" s="1"/>
  <c r="Q33" i="2"/>
  <c r="R33" i="2" s="1"/>
  <c r="P43" i="2"/>
  <c r="R43" i="2" s="1"/>
  <c r="P46" i="2"/>
  <c r="P63" i="2"/>
  <c r="R63" i="2" s="1"/>
  <c r="Q69" i="2"/>
  <c r="P72" i="2"/>
  <c r="P75" i="2"/>
  <c r="R75" i="2" s="1"/>
  <c r="P7" i="2"/>
  <c r="Z8" i="2"/>
  <c r="AB9" i="2"/>
  <c r="R30" i="2"/>
  <c r="P39" i="2"/>
  <c r="R39" i="2" s="1"/>
  <c r="P42" i="2"/>
  <c r="R42" i="2" s="1"/>
  <c r="R47" i="2"/>
  <c r="Q52" i="2"/>
  <c r="R60" i="2"/>
  <c r="P77" i="2"/>
  <c r="R77" i="2" s="1"/>
  <c r="J8" i="3"/>
  <c r="K8" i="3" s="1"/>
  <c r="H78" i="3"/>
  <c r="J20" i="3"/>
  <c r="K20" i="3" s="1"/>
  <c r="J37" i="3"/>
  <c r="K37" i="3" s="1"/>
  <c r="J47" i="3"/>
  <c r="K47" i="3" s="1"/>
  <c r="J53" i="3"/>
  <c r="K53" i="3" s="1"/>
  <c r="J55" i="3"/>
  <c r="K55" i="3" s="1"/>
  <c r="J56" i="3"/>
  <c r="K56" i="3" s="1"/>
  <c r="J72" i="3"/>
  <c r="K72" i="3" s="1"/>
  <c r="J10" i="4"/>
  <c r="K10" i="4" s="1"/>
  <c r="J16" i="4"/>
  <c r="K16" i="4" s="1"/>
  <c r="J46" i="4"/>
  <c r="K46" i="4" s="1"/>
  <c r="J48" i="4"/>
  <c r="K48" i="4" s="1"/>
  <c r="J53" i="4"/>
  <c r="K53" i="4" s="1"/>
  <c r="J58" i="4"/>
  <c r="K58" i="4" s="1"/>
  <c r="J61" i="4"/>
  <c r="K61" i="4" s="1"/>
  <c r="V11" i="6"/>
  <c r="V10" i="6"/>
  <c r="V13" i="6"/>
  <c r="V12" i="6"/>
  <c r="V15" i="6"/>
  <c r="V17" i="6"/>
  <c r="R16" i="2"/>
  <c r="R20" i="2"/>
  <c r="R36" i="2"/>
  <c r="R12" i="2"/>
  <c r="R23" i="2"/>
  <c r="R18" i="2"/>
  <c r="R46" i="2"/>
  <c r="R13" i="2"/>
  <c r="R21" i="2"/>
  <c r="Q64" i="2"/>
  <c r="R64" i="2" s="1"/>
  <c r="O79" i="2"/>
  <c r="Q50" i="2"/>
  <c r="R50" i="2" s="1"/>
  <c r="P53" i="2"/>
  <c r="R53" i="2" s="1"/>
  <c r="Q65" i="2"/>
  <c r="V18" i="6"/>
  <c r="Q7" i="2"/>
  <c r="AA8" i="2"/>
  <c r="P10" i="2"/>
  <c r="R10" i="2" s="1"/>
  <c r="P55" i="2"/>
  <c r="P70" i="2"/>
  <c r="R70" i="2" s="1"/>
  <c r="D80" i="4"/>
  <c r="D89" i="4"/>
  <c r="F89" i="4" s="1"/>
  <c r="N79" i="2"/>
  <c r="P56" i="2"/>
  <c r="R56" i="2" s="1"/>
  <c r="P69" i="2"/>
  <c r="G97" i="3"/>
  <c r="I79" i="2"/>
  <c r="H79" i="2"/>
  <c r="Q61" i="2"/>
  <c r="J79" i="2"/>
  <c r="P61" i="2"/>
  <c r="P73" i="2"/>
  <c r="R73" i="2" s="1"/>
  <c r="V79" i="2"/>
  <c r="H78" i="4"/>
  <c r="D78" i="3"/>
  <c r="X79" i="2"/>
  <c r="T9" i="6"/>
  <c r="J8" i="4"/>
  <c r="R72" i="2" l="1"/>
  <c r="R52" i="2"/>
  <c r="R51" i="2"/>
  <c r="R65" i="2"/>
  <c r="K78" i="3"/>
  <c r="R69" i="2"/>
  <c r="P79" i="2"/>
  <c r="G100" i="3"/>
  <c r="J78" i="3"/>
  <c r="I90" i="3" s="1"/>
  <c r="D90" i="4"/>
  <c r="F90" i="4" s="1"/>
  <c r="O47" i="6"/>
  <c r="R47" i="6" s="1"/>
  <c r="V9" i="6"/>
  <c r="V16" i="6"/>
  <c r="V14" i="6"/>
  <c r="K8" i="4"/>
  <c r="K78" i="4" s="1"/>
  <c r="J78" i="4"/>
  <c r="I90" i="4" s="1"/>
  <c r="R55" i="2"/>
  <c r="R61" i="2"/>
  <c r="Q79" i="2"/>
  <c r="R7" i="2"/>
  <c r="D89" i="3"/>
  <c r="F89" i="3" s="1"/>
  <c r="G96" i="3"/>
  <c r="D80" i="3"/>
  <c r="R79" i="2" l="1"/>
  <c r="I86" i="3"/>
  <c r="I82" i="3"/>
  <c r="G102" i="3"/>
  <c r="D90" i="3"/>
  <c r="F90" i="3" s="1"/>
  <c r="I91" i="3"/>
  <c r="I87" i="3"/>
  <c r="I89" i="3"/>
  <c r="I88" i="3"/>
  <c r="V47" i="6"/>
  <c r="I91" i="4"/>
  <c r="I88" i="4"/>
  <c r="I86" i="4"/>
  <c r="I87" i="4"/>
  <c r="I82" i="4"/>
  <c r="I8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7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ID#AAAAm_BeTsE
bagkeu    (2023-01-11 07:28:01)
RAI - Pagu 3,679,751,000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nlJe7ujguJUCt36aymNOmpCT7q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novih</author>
  </authors>
  <commentList>
    <comment ref="C7" authorId="0" shapeId="0" xr:uid="{AC4CEC27-8D01-4FE7-ABB5-52B705D21CA2}">
      <text>
        <r>
          <rPr>
            <b/>
            <sz val="9"/>
            <color indexed="81"/>
            <rFont val="Tahoma"/>
            <family val="2"/>
          </rPr>
          <t>novih: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<sst xmlns="http://schemas.openxmlformats.org/spreadsheetml/2006/main" count="578" uniqueCount="390">
  <si>
    <t>NO</t>
  </si>
  <si>
    <t>SATKER</t>
  </si>
  <si>
    <t>DIREKTORAT</t>
  </si>
  <si>
    <t>TOTAL</t>
  </si>
  <si>
    <t>SEKRETARIAT</t>
  </si>
  <si>
    <t>PERENCANAAN</t>
  </si>
  <si>
    <t>PEMBANGUNAN</t>
  </si>
  <si>
    <t>PENATAAN DAN PESEBARAN</t>
  </si>
  <si>
    <t>PENGEMBANGAN SP DAN SKP</t>
  </si>
  <si>
    <t>PUSAT</t>
  </si>
  <si>
    <t>PROV. DKI JAKARTA</t>
  </si>
  <si>
    <t>PROV. ACEH</t>
  </si>
  <si>
    <t>KAB. ACEH SINGKIL</t>
  </si>
  <si>
    <t>KAB. SIMEULUE</t>
  </si>
  <si>
    <t>KAB. SUBULUSSALAM</t>
  </si>
  <si>
    <t>PROV. SUMATERA UTARA</t>
  </si>
  <si>
    <t>PROV. SUMATERA BARAT</t>
  </si>
  <si>
    <t>KAB. SIJUNJUNG</t>
  </si>
  <si>
    <t>PROV. SUMATERA SELATAN</t>
  </si>
  <si>
    <t>KAB. PANUKAL ABAB LEMATANG</t>
  </si>
  <si>
    <t>KAB. BANYUASIN</t>
  </si>
  <si>
    <t>PROV. JAMBI</t>
  </si>
  <si>
    <t>PROV. RIAU</t>
  </si>
  <si>
    <t>PROV. LAMPUNG</t>
  </si>
  <si>
    <t>PROV. BENGKULU</t>
  </si>
  <si>
    <t>KAB. BENGKULU SELATAN</t>
  </si>
  <si>
    <t>KAB. BENGKULU UTARA</t>
  </si>
  <si>
    <t>PROV. BALI</t>
  </si>
  <si>
    <t>PROV. BANGKA BELITUNG</t>
  </si>
  <si>
    <t>PROV. BANTEN</t>
  </si>
  <si>
    <t>PROV. JAWA BARAT</t>
  </si>
  <si>
    <t>PROV. JAWA TENGAH</t>
  </si>
  <si>
    <t>PROV. JAWA TIMUR</t>
  </si>
  <si>
    <t>PROV. YOGYAKARTA</t>
  </si>
  <si>
    <t>PROV. KALIMANTAN BARAT</t>
  </si>
  <si>
    <t>PROV. KALIMANTAN SELATAN</t>
  </si>
  <si>
    <t>KAB. BARITO KUALA</t>
  </si>
  <si>
    <t>PROV. KALIMANTAN TENGAH</t>
  </si>
  <si>
    <t>KAB. KAPUAS</t>
  </si>
  <si>
    <t>PROV. KALIMANTAN TIMUR</t>
  </si>
  <si>
    <t>KAB. KUTAI TIMUR</t>
  </si>
  <si>
    <t>KAB. PASER</t>
  </si>
  <si>
    <t>PROV. KALIMANTAN UTARA</t>
  </si>
  <si>
    <t>KAB. BULUNGAN</t>
  </si>
  <si>
    <t>PROV. NTB</t>
  </si>
  <si>
    <t>KAB. BIMA</t>
  </si>
  <si>
    <t>PROV. NTT</t>
  </si>
  <si>
    <t>KAB. MALAKA</t>
  </si>
  <si>
    <t>KAB. ROTE NDAO</t>
  </si>
  <si>
    <t>KAB. SUMBA TIMUR</t>
  </si>
  <si>
    <t>KAB. TTU</t>
  </si>
  <si>
    <t>PROV. SULAWESI BARAT</t>
  </si>
  <si>
    <t>KAB. MAMASA</t>
  </si>
  <si>
    <t>KAB. MAMUJU TENGAH</t>
  </si>
  <si>
    <t>KAB. MAMAJU UTARA/PASANG KAYU</t>
  </si>
  <si>
    <t>KAB. POLEWALI MANDAR</t>
  </si>
  <si>
    <t>PROV. SULAWESI SELATAN</t>
  </si>
  <si>
    <t>KAB. LUWU TIMUR</t>
  </si>
  <si>
    <t>KAB. SIDRAP</t>
  </si>
  <si>
    <t>KAB. WAJO</t>
  </si>
  <si>
    <t>PROV. SULAWESI TENGAH</t>
  </si>
  <si>
    <t>KAB. BUOL</t>
  </si>
  <si>
    <t>KAB. SIGI</t>
  </si>
  <si>
    <t>KAB. TOJO UNA-UNA</t>
  </si>
  <si>
    <t>PROV. SULAWESI TENGGARA</t>
  </si>
  <si>
    <t>KAB. KOLAKA TIMUR</t>
  </si>
  <si>
    <t>KAB KONAWE</t>
  </si>
  <si>
    <t>KAB. MUNA</t>
  </si>
  <si>
    <t>KAB. MUNA BARAT</t>
  </si>
  <si>
    <t>PROV. SULAWESI UTARA</t>
  </si>
  <si>
    <t>PROV. GORONTALO</t>
  </si>
  <si>
    <t>KAB. GORONTALO UTARA</t>
  </si>
  <si>
    <t>PROV. PAPUA</t>
  </si>
  <si>
    <t>KAB. MERAUKE</t>
  </si>
  <si>
    <t>PROV. PAPUA BARAT</t>
  </si>
  <si>
    <t>KAB. FAK-FAK</t>
  </si>
  <si>
    <t>KAB. TELUK WONDAMA</t>
  </si>
  <si>
    <t>PROV. MALUKU</t>
  </si>
  <si>
    <t>PROV. MALUKU UTARA</t>
  </si>
  <si>
    <t>SELISIH</t>
  </si>
  <si>
    <t xml:space="preserve"> </t>
  </si>
  <si>
    <t>SEKRETARIAT
(DUKMAN)</t>
  </si>
  <si>
    <t>REALISASI DUKMAN</t>
  </si>
  <si>
    <t>PERENCANAAN
(P2KT)  (01, 02)</t>
  </si>
  <si>
    <t>REALISASI 01,02</t>
  </si>
  <si>
    <t>PEMBANGUNAN (03)</t>
  </si>
  <si>
    <t>REALISASI 03</t>
  </si>
  <si>
    <t>PENATAAN DAN PESEBARAN
(FP3KT) (04)</t>
  </si>
  <si>
    <t>REALISASI 04</t>
  </si>
  <si>
    <t>PENGEMBANGAN SP DAN SKP (05)</t>
  </si>
  <si>
    <t>REALISASI 05</t>
  </si>
  <si>
    <t>PENGEMBANGAN
(PKT) (06)</t>
  </si>
  <si>
    <t>REALISASI 06</t>
  </si>
  <si>
    <t>TOTAL PAGU</t>
  </si>
  <si>
    <t>TOTAL REALISASI</t>
  </si>
  <si>
    <t>TOTAL PRESENTASE</t>
  </si>
  <si>
    <t>TOTAL BLOKIR</t>
  </si>
  <si>
    <t>Pagu</t>
  </si>
  <si>
    <t>Pusat</t>
  </si>
  <si>
    <t>Kab. Morowali Utara</t>
  </si>
  <si>
    <t>KAB. Aceh UTARA</t>
  </si>
  <si>
    <t>KAB. Aceh Tengah</t>
  </si>
  <si>
    <t>Kab. Gorontalo</t>
  </si>
  <si>
    <t>KAB. SAMBAS</t>
  </si>
  <si>
    <t>KAB. Konawe Selatan</t>
  </si>
  <si>
    <t>KAB. Luwu Utara</t>
  </si>
  <si>
    <t>KAB. Majene</t>
  </si>
  <si>
    <t>KAB. MAMUJU</t>
  </si>
  <si>
    <t>KAB. Toli-Toli</t>
  </si>
  <si>
    <t>KAB. Haltim</t>
  </si>
  <si>
    <t>KAB. Boalemo</t>
  </si>
  <si>
    <t>Kab. Mesuji</t>
  </si>
  <si>
    <t>FBA</t>
  </si>
  <si>
    <t>AFA.009</t>
  </si>
  <si>
    <t>AEA</t>
  </si>
  <si>
    <t>AFA.005</t>
  </si>
  <si>
    <t>ABT</t>
  </si>
  <si>
    <t>PBP</t>
  </si>
  <si>
    <t>AFA.003</t>
  </si>
  <si>
    <t>BDB.002</t>
  </si>
  <si>
    <t>BDB.001</t>
  </si>
  <si>
    <t>UBA</t>
  </si>
  <si>
    <t>RAI.002</t>
  </si>
  <si>
    <t>BDE</t>
  </si>
  <si>
    <t>BDC.001</t>
  </si>
  <si>
    <t>BDC.002</t>
  </si>
  <si>
    <t>QEB</t>
  </si>
  <si>
    <t>CAI.008</t>
  </si>
  <si>
    <t>CAI.002</t>
  </si>
  <si>
    <t>AEC</t>
  </si>
  <si>
    <t>CAI.009</t>
  </si>
  <si>
    <t>CBC.002</t>
  </si>
  <si>
    <t>CAI.011</t>
  </si>
  <si>
    <t>CBF.002</t>
  </si>
  <si>
    <t>CAI.012</t>
  </si>
  <si>
    <t>FAE</t>
  </si>
  <si>
    <t>CBC.003</t>
  </si>
  <si>
    <t>RAI.001</t>
  </si>
  <si>
    <t>CBF.003</t>
  </si>
  <si>
    <t>RAI.003</t>
  </si>
  <si>
    <t>QDC</t>
  </si>
  <si>
    <t>RAI.005</t>
  </si>
  <si>
    <t>QEG.005</t>
  </si>
  <si>
    <t>RBC.001</t>
  </si>
  <si>
    <t>RAI.019</t>
  </si>
  <si>
    <t>RBC.008</t>
  </si>
  <si>
    <t>RAI.021</t>
  </si>
  <si>
    <t>RBF.002</t>
  </si>
  <si>
    <t>RAI.028</t>
  </si>
  <si>
    <t>RBS.004</t>
  </si>
  <si>
    <t>RBC.006</t>
  </si>
  <si>
    <t>RBF.006</t>
  </si>
  <si>
    <t>RBS.005</t>
  </si>
  <si>
    <t>BCC.001</t>
  </si>
  <si>
    <r>
      <rPr>
        <b/>
        <sz val="22"/>
        <color theme="1"/>
        <rFont val="Times New Roman"/>
        <family val="1"/>
      </rPr>
      <t xml:space="preserve">REKAP ANGGARAN DITJEN PKTRANS TAHUN 2021
</t>
    </r>
    <r>
      <rPr>
        <b/>
        <sz val="20"/>
        <color theme="1"/>
        <rFont val="Times New Roman"/>
        <family val="1"/>
      </rPr>
      <t>(SATKER PER DIREKTORAT)</t>
    </r>
  </si>
  <si>
    <t>Sakti 23 Februari 2021</t>
  </si>
  <si>
    <t>TOTAL
PAGU</t>
  </si>
  <si>
    <t>TEKNIS</t>
  </si>
  <si>
    <t>PERENCANAAN
(P2KT)</t>
  </si>
  <si>
    <t>PENATAAN DAN PESEBARAN
(FP3KT)</t>
  </si>
  <si>
    <t>PENGEMBANGAN
KAWASAN
(PKT)</t>
  </si>
  <si>
    <t>SESDITJEN</t>
  </si>
  <si>
    <t>P2KT</t>
  </si>
  <si>
    <t>daerah</t>
  </si>
  <si>
    <t>FP3KT</t>
  </si>
  <si>
    <t>pusat</t>
  </si>
  <si>
    <t>SP SKP</t>
  </si>
  <si>
    <t>PKT</t>
  </si>
  <si>
    <t>PAGU</t>
  </si>
  <si>
    <r>
      <rPr>
        <b/>
        <sz val="22"/>
        <color theme="1"/>
        <rFont val="Times New Roman"/>
        <family val="1"/>
      </rPr>
      <t xml:space="preserve">REKAP ANGGARAN DITJEN PKTRANS TAHUN 2021
</t>
    </r>
    <r>
      <rPr>
        <b/>
        <sz val="20"/>
        <color theme="1"/>
        <rFont val="Times New Roman"/>
        <family val="1"/>
      </rPr>
      <t>(SATKER PER DIREKTORAT)</t>
    </r>
  </si>
  <si>
    <t>PENGEMBANGAN
KAWASAN</t>
  </si>
  <si>
    <t xml:space="preserve">Penanggung Jawab </t>
  </si>
  <si>
    <t>Paraf</t>
  </si>
  <si>
    <t>Tanggal</t>
  </si>
  <si>
    <t>Materi
(Sekretaris/Inspektur/Kepala Pusat/ 
Kepala Biro)</t>
  </si>
  <si>
    <t>Pengendali Administrasi
(Kepala Bagian)</t>
  </si>
  <si>
    <t>Pembuat Konsep
(Kasubbag TU/Kasubbag Rumah Tangga dan Perlengkapan)</t>
  </si>
  <si>
    <t>PEMBANGUNAN (03, 10)</t>
  </si>
  <si>
    <t>PENGEMBANGAN SP DAN SKP (05, 12)</t>
  </si>
  <si>
    <t>REALISASI</t>
  </si>
  <si>
    <t>REALISASI BARU</t>
  </si>
  <si>
    <t>PAGU LAMA</t>
  </si>
  <si>
    <t>DINAS TENAGA KERJA DAN MOBILITAS PENDUDUK PROVINSI ACEH</t>
  </si>
  <si>
    <t>DINAS KETENAGAKERJAAN DAN TRANSMIGRASI KABUPATEN PENUKAL ABAB LEMATANG ILIR</t>
  </si>
  <si>
    <t>Dinas Tenaga Kerja dan Transmigrasi Kabupaten Lamandau</t>
  </si>
  <si>
    <t>DINAS TRANSMIGRASI DAN TENAGA KERJA PROVINSI SULAWESI TENGGARA</t>
  </si>
  <si>
    <t>Dinas Ketenagakerjaan dan Transmigrasi Kabupaten Malaka</t>
  </si>
  <si>
    <t>Dinas Tenaga Kerja, Perindustrian, dan Transmigrasi Mamuju Utara</t>
  </si>
  <si>
    <t>Dinas Transmigrasi Kabupaten Mamuju Tengah</t>
  </si>
  <si>
    <t>DINAS TENAGA KERJA DAN TRANSMIGRASI PROVINSI JAWA BARAT</t>
  </si>
  <si>
    <t>DINAS TENAGA KERJA DAN TRANSMIGRASI PROVINSI JAWA TENGAH</t>
  </si>
  <si>
    <t>DINAS TENAGA KERJA DAN TRANSMIGRASI PROVINSI YOGYAKARTA</t>
  </si>
  <si>
    <t>DINAS TENAGA KERJA, TRANSMIGRASI DAN KEPENDUDUKAN PROVINSI JAWA TIMUR</t>
  </si>
  <si>
    <t>DINAS PENANAMAN MODAL, TRANSMIGRASI DAN TENAGA KERJA KABUPATEN ACEH UTARA</t>
  </si>
  <si>
    <t>DINAS SOSIAL TENAGA KERJA DAN TRANSMIGRASI KOTA SUBULUSSALAM</t>
  </si>
  <si>
    <t>DINAS TENAGA KERJA DAN TRANSMIGRASI PROVINSI SUMATERA BARAT</t>
  </si>
  <si>
    <t>DINAS KETENAGAKERJAAN DAN TRANSMIGRASI KABUPATEN SIJUNJUNG</t>
  </si>
  <si>
    <t>DINAS SOSIAL, TENAGA KERJA DAN TRANSMIGRASI PROVINSI JAMBI</t>
  </si>
  <si>
    <t xml:space="preserve"> DINAS TENAGA KERJA DAN TRANSMIGRASI KAB. LAHAT</t>
  </si>
  <si>
    <t>DINAS NAKER TRANS KABUPATEN BANYUASIN</t>
  </si>
  <si>
    <t>DINAS TENAGA KERJA DAN TRANSMIGRASI PROVINSI SUMATERA SELATAN</t>
  </si>
  <si>
    <t>DINAS PEMBERDAYAAN MASYARAKAT, DESA DAN TRANSMIGRASI PROVINSI LAMPUNG</t>
  </si>
  <si>
    <t xml:space="preserve"> DINAS TENAGA KERJA DAN TRANSMIGRASI PROVINSI KALIMANTAN BARAT</t>
  </si>
  <si>
    <t>DINAS TENAGA KERJA DAN TRANSMIGRASI KABUPATEN SAMBAS</t>
  </si>
  <si>
    <t>DINAS TRANSMIGRASI KAB. KAPUAS</t>
  </si>
  <si>
    <t>DINAS TENAGA KERJA DAN TRANSMIGRASI PROVINSI KALIMANTAN TENGAH</t>
  </si>
  <si>
    <t>DINAS TENAGA KERJA DAN TRANSMIGRASI PROVINSI KALIMANTAN SELATAN</t>
  </si>
  <si>
    <t>DINAS TENAGA KERJA DAN TRANSMIGRASI KAB. BARITO KUALA</t>
  </si>
  <si>
    <t>DINAS TENAGA KERJA DAN TRANSMIGRASI PROVINSI KALIMANTAN TIMUR</t>
  </si>
  <si>
    <t>DINAS TENAGA KERJA DAN TRANSMIGRASI PROPINSI SULAWESI UTARA</t>
  </si>
  <si>
    <t>DINAS TENAGA KERJA DAN TRANSMIGRASI PROVINSI SULAWESI TENGAH</t>
  </si>
  <si>
    <t>DINAS TENAGA KERJA DAN TRANSMIGRASI KAB. POSO</t>
  </si>
  <si>
    <t>DINAS TENAGA KERJA DAN TRANSMIGRASI PROPINSI SULAWESI SELATAN</t>
  </si>
  <si>
    <t>DINAS SOSIAL, TENAGA KERJA DAN TRANSMIGRASI KABUPATEN WAJO</t>
  </si>
  <si>
    <t>DINAS SOSIAL, TENAGA KERJA DAN TRANSMIGRASI KAB. LUWU UTARA</t>
  </si>
  <si>
    <t>DINAS TRANSMIGRASI DAN TENAGA KERJA KABUPATEN LUWU TIMUR</t>
  </si>
  <si>
    <t>DINAS TENAGA KERJA DAN TRANSMIGRASI KABUPATEN KONAWE</t>
  </si>
  <si>
    <t>DINAS TENAGA KERJA DAN TRANSMIGRASI PROV. NUSA TENGGARA BARAT</t>
  </si>
  <si>
    <t>DINAS TENAGA KERJA DAN TRANSMIGRASI PROV. NUSA TENGGARA TIMUR</t>
  </si>
  <si>
    <t>DINAS TRANSMIGRASI DAN TENAGA KERJA KABUPATEN SUMBA TIMUR</t>
  </si>
  <si>
    <t xml:space="preserve"> DINAS TENAGA KERJA DAN TRANSMIGRASI KAB. MERAUKE</t>
  </si>
  <si>
    <t>DINAS TENAGA KERJA DAN TRANSMIGRASI KAB. KEEROM</t>
  </si>
  <si>
    <t xml:space="preserve"> DINAS TENAGA KERJA DAN TRANSMIGRASI PROVINSI BENGKULU</t>
  </si>
  <si>
    <t xml:space="preserve"> DINAS TENAGA KERJA DAN TRASMIGRASI PROPINSI MALUKU UTARA</t>
  </si>
  <si>
    <t>DINAS NAKERTRANS KAB. HALMAHERA TENGAH</t>
  </si>
  <si>
    <t>DINAS TENAGA KERJA DAN TRANSMIGRASI KAB. HALMAHERA TIMUR</t>
  </si>
  <si>
    <t>DINAS SOSIAL, TENAGA KERJA DAN TRANSMIGRASI KOTA TIDORE KEPULAUAN</t>
  </si>
  <si>
    <t>DINAS TENAGA KERJA DAN TRANSMIGRASI PROVINSI BANTEN</t>
  </si>
  <si>
    <t>DINAS TENAGA KERJA DAN TRANSMIGRASI PROVINSI BANGKA BELITUNG</t>
  </si>
  <si>
    <t>DINAS TENAGA KERJA DAN TRANSMIGRASI PROV. GORONTALO</t>
  </si>
  <si>
    <t>DINAS TENAGA KERJA DAN TRANSMIGRASI KABUPATEN GORONTALO</t>
  </si>
  <si>
    <t>DINAS TRANSMIGRASI DAN TENAGA KERJA PROVINSI PAPUA BARAT</t>
  </si>
  <si>
    <t>DINAS TENAGA KERJA DAN TRANSMIGRASI KABUPATEN FAK-FAK</t>
  </si>
  <si>
    <t>DINAS TENAGA KERJA DAN TRANSMIGRASI KAB. TELUK WONDAMA</t>
  </si>
  <si>
    <t>DINAS TENAGA KERJA DAN TRANSMIGRASI PROVINSI SULAWESI BARAT</t>
  </si>
  <si>
    <t>DINAS KELUARGA SEJAHTERA, MOBDUK DAN TRANSMIGRASI KABUPATEN SIMEULEU</t>
  </si>
  <si>
    <t>DIREKTORAT JENDERAL PEMBANGUNAN DAN PENGEMBANGAN KAWASAN TRANSMIGRASI</t>
  </si>
  <si>
    <t>DINAS TENAGA KERJA DAN TRANSMIGRASI KABUPATEN MOROWALI UTARA</t>
  </si>
  <si>
    <t>DINAS TENAGA KERJA DAN TRANSMIGRASI PROVINSI KALIMANTAN UTARA</t>
  </si>
  <si>
    <t>DINAS NAKERTRANS KAB. BULUNGAN</t>
  </si>
  <si>
    <t xml:space="preserve"> DINAS TRANSMIGRASI KAB. TOLITOLI</t>
  </si>
  <si>
    <t>Dinas Tenaga Kerja dan Transmigrasi Kab. Sidrap</t>
  </si>
  <si>
    <t>DINAS PERINDUSTRIAN, PERDAGANGAN, KOPERASI, UKM DAN TENAGA KERJA PROVINSI PAPUA</t>
  </si>
  <si>
    <t>DINAS TRANSMIGRASI DAN TENAGA KERJA KAB. GORONTALO UTARA</t>
  </si>
  <si>
    <t>DINAS KETENAGAKERJAAN DAN TRANSMIGRASI KABUPATEN BENGKULU SELATAN</t>
  </si>
  <si>
    <t>DINAS SOSIAL TENAGA KERJA DAN TRANSMIGRASI KAB. SINTANG</t>
  </si>
  <si>
    <t>DINAS SOSIAL TENAGA KERJA DAN TRANSMIGRASI KAB. TANAH BUMBU</t>
  </si>
  <si>
    <t>DINAS TENAGA KERJA DAN TRANSMIGRASI KAB. MUNA BARAT</t>
  </si>
  <si>
    <t>DINAS TRANSMIGRASI DAN TENAGA KERJA KABUPATEN KOLAKA TIMUR</t>
  </si>
  <si>
    <t>DINAS TRANSMIGRASI , TENAGA KERJA DAN ENERGI SUMBER DAYA MINERAL KAB. POLEWALI MANDAR</t>
  </si>
  <si>
    <t>DINAS SOSIAL TENAGA KERJA DAN TRANSMIGRASI KAB. MAMASA</t>
  </si>
  <si>
    <t>DINAS TRANSMIGRASI DAN TENAGA KERJA KABUPATEN KEPULAUAN SULA</t>
  </si>
  <si>
    <t>DINAS TRANSMIGRASI DAN TENAGA KERJA KAB. MUNA</t>
  </si>
  <si>
    <t>DINAS TENAGA KERJA PROVINSI SUMATERA UTARA</t>
  </si>
  <si>
    <t>DINAS TENAGA KERJA DAN TRANSMIGRASI PROVINSI MALUKU</t>
  </si>
  <si>
    <t>DINAS TENAGA KERJA DAN TRANSMIGRASI KAB. KUTAI TIMUR</t>
  </si>
  <si>
    <t>DINAS TENAGA KERJA DAN TRANSMIGRASI KAB. BUOL</t>
  </si>
  <si>
    <t>DINAS KETENAGAKERJAAN DAN TRANSMIGRASI KABUPATEN BENGKULU UTARA</t>
  </si>
  <si>
    <t>PEMBAGIAN KRO DAN RO PERDIREKTORAT</t>
  </si>
  <si>
    <t>01.AFA</t>
  </si>
  <si>
    <t>01.AFA.006</t>
  </si>
  <si>
    <t>03.AFA</t>
  </si>
  <si>
    <t>03.AFA.007</t>
  </si>
  <si>
    <t>P3KT</t>
  </si>
  <si>
    <t>04.AEC</t>
  </si>
  <si>
    <t>04.AEC.001</t>
  </si>
  <si>
    <t>05.AFA</t>
  </si>
  <si>
    <t>05.AFA.001</t>
  </si>
  <si>
    <t>06.AFA</t>
  </si>
  <si>
    <t>06.AFA.002</t>
  </si>
  <si>
    <t>01.AFA.008</t>
  </si>
  <si>
    <t>03.RAI</t>
  </si>
  <si>
    <t>03.RAI.002</t>
  </si>
  <si>
    <t>04.AFA</t>
  </si>
  <si>
    <t>04.AFA.003</t>
  </si>
  <si>
    <t>05.AFA.005</t>
  </si>
  <si>
    <t>06.AFA.004</t>
  </si>
  <si>
    <t>01.BMA</t>
  </si>
  <si>
    <t>01.BMA.001</t>
  </si>
  <si>
    <t>03.RAI.004</t>
  </si>
  <si>
    <t>04.BDE</t>
  </si>
  <si>
    <t>04.BDE.001</t>
  </si>
  <si>
    <t>05.BCC</t>
  </si>
  <si>
    <t>05.BCC.001</t>
  </si>
  <si>
    <t>06.FAE</t>
  </si>
  <si>
    <t>06.FAE.001</t>
  </si>
  <si>
    <t>01.PBP</t>
  </si>
  <si>
    <t>01.PBP.001</t>
  </si>
  <si>
    <t>03.RAI.006</t>
  </si>
  <si>
    <t>04.BDE.002</t>
  </si>
  <si>
    <t>05.BDB</t>
  </si>
  <si>
    <t>05.BDB.001</t>
  </si>
  <si>
    <t>06.FAE.002</t>
  </si>
  <si>
    <t>02.FBA</t>
  </si>
  <si>
    <t>02.FBA.001</t>
  </si>
  <si>
    <t>03.RAI.007</t>
  </si>
  <si>
    <t>05.QEB</t>
  </si>
  <si>
    <t>05.QEB.001</t>
  </si>
  <si>
    <t>05.BDC</t>
  </si>
  <si>
    <t>05.BDC.001</t>
  </si>
  <si>
    <t>06.RAI</t>
  </si>
  <si>
    <t>06.RAI.001</t>
  </si>
  <si>
    <t>02.UBA</t>
  </si>
  <si>
    <t>02.UBA.001</t>
  </si>
  <si>
    <t>03.RAI.010</t>
  </si>
  <si>
    <t>05.QDC</t>
  </si>
  <si>
    <t>05.QDC.001</t>
  </si>
  <si>
    <t>06.RAI.003</t>
  </si>
  <si>
    <t>02.UBA.002</t>
  </si>
  <si>
    <t>03.RAI.012</t>
  </si>
  <si>
    <t>05.QEG</t>
  </si>
  <si>
    <t>05.QEG.001</t>
  </si>
  <si>
    <t>06.RAI.005</t>
  </si>
  <si>
    <t>03.RAI.013</t>
  </si>
  <si>
    <t>05.QEG.002</t>
  </si>
  <si>
    <t>06.RAI.008</t>
  </si>
  <si>
    <t>03.RAI.014</t>
  </si>
  <si>
    <t>05.QEG.003</t>
  </si>
  <si>
    <t>06.RAI.009</t>
  </si>
  <si>
    <t>03.RBC</t>
  </si>
  <si>
    <t>03.RBC.002</t>
  </si>
  <si>
    <t>05.QEG.004</t>
  </si>
  <si>
    <t>06.RAI.011</t>
  </si>
  <si>
    <t>03.RBC.003</t>
  </si>
  <si>
    <t>06.RBC</t>
  </si>
  <si>
    <t>06.RBC.001</t>
  </si>
  <si>
    <t>03.RBF</t>
  </si>
  <si>
    <t>03.RBF.001</t>
  </si>
  <si>
    <t>06.RBC.004</t>
  </si>
  <si>
    <t>03.RBF.003</t>
  </si>
  <si>
    <t>06.RBF</t>
  </si>
  <si>
    <t>06.RBF.002</t>
  </si>
  <si>
    <t>03.RBO</t>
  </si>
  <si>
    <t>03.RBO.001</t>
  </si>
  <si>
    <t>06.RBF.004</t>
  </si>
  <si>
    <t>03.RBO.002</t>
  </si>
  <si>
    <t>06.RBG</t>
  </si>
  <si>
    <t>06.RBG.001</t>
  </si>
  <si>
    <t>03.RBS</t>
  </si>
  <si>
    <t>03.RBS.001</t>
  </si>
  <si>
    <t>06.RBG.002</t>
  </si>
  <si>
    <t>03.RBS.002</t>
  </si>
  <si>
    <t>LAPORAN REALISASI KEUANGAN</t>
  </si>
  <si>
    <t>DINAS TENAGA KERJA DAN TRANSMIGRASI KAB. PESISIR SELATAN</t>
  </si>
  <si>
    <t>DINAS TENAGA KERJA DAN TRANSMIGRASI KAB. SUKAMARA</t>
  </si>
  <si>
    <t>DINAS KETENAGAKERJAAN DAN TRANSMIGRASI KABUPATEN BELU</t>
  </si>
  <si>
    <t>SEKRETARIAT (DUKMAN)</t>
  </si>
  <si>
    <t>PERENCANAAN (P2KT)  (01, 02, 07, 09)</t>
  </si>
  <si>
    <t>PENATAAN DAN PESEBARAN (FP3KT) (04, 11)</t>
  </si>
  <si>
    <t>PENGEMBANGAN (PKT) (06, 13, 14)</t>
  </si>
  <si>
    <t>DAERAH DAN PROVINSI INDONESIA</t>
  </si>
  <si>
    <t>PER TANGGAL 20 JULI 2023</t>
  </si>
  <si>
    <t>PROVINSI ACEH</t>
  </si>
  <si>
    <t>PROVINSI SUMATERA UTARA</t>
  </si>
  <si>
    <t>PROVINSI SUMATERA BARAT</t>
  </si>
  <si>
    <t>PROVINSI RIAU</t>
  </si>
  <si>
    <t>PROVINSI JAMBI</t>
  </si>
  <si>
    <t>PROVINSI SUMATERA SELATAN</t>
  </si>
  <si>
    <t>PROVINSI BENGKULU</t>
  </si>
  <si>
    <t>PROVINSI LAMPUNG</t>
  </si>
  <si>
    <t>PROVINSI KEP. BANGKA BELITUNG</t>
  </si>
  <si>
    <t>PROVINSI KEP. RIAU</t>
  </si>
  <si>
    <t>PROVINSI DKI JAKARTA</t>
  </si>
  <si>
    <t>PROVINSI JAWA BARAT</t>
  </si>
  <si>
    <t>PROVINSI JAWA TENGAH</t>
  </si>
  <si>
    <t>PROVINSI DI YOGYAKARTA</t>
  </si>
  <si>
    <t>PROVINSI JAWA TIMUR</t>
  </si>
  <si>
    <t>PROVINSI BANTEN</t>
  </si>
  <si>
    <t>PROVINSI BALI</t>
  </si>
  <si>
    <t>PROVINSI NUSA TENGGARA BARAT</t>
  </si>
  <si>
    <t>PROVINSI NUSA TENGGARA TIMUR</t>
  </si>
  <si>
    <t>PROVINSI KALIMANTAN BARAT</t>
  </si>
  <si>
    <t>PROVINSI KALIMANTAN TENGAH</t>
  </si>
  <si>
    <t>PROVINSI KALIMANTAN SELATAN</t>
  </si>
  <si>
    <t>PROVINSI KALIMANTAN TIMUR</t>
  </si>
  <si>
    <t>PROVINSI KALIMANTAN UTARA</t>
  </si>
  <si>
    <t>PROVINSI SULAWESI UTARA</t>
  </si>
  <si>
    <t>PROVINSI SULAWESI TENGAH</t>
  </si>
  <si>
    <t>PROVINSI SULAWESI SELATAN</t>
  </si>
  <si>
    <t>PROVINSI SULAWESI TENGGARA</t>
  </si>
  <si>
    <t>PROVINSI GORONTALO</t>
  </si>
  <si>
    <t>PROVINSI SULAWESI BARAT</t>
  </si>
  <si>
    <t>PROVINSI MALUKU</t>
  </si>
  <si>
    <t>PROVINSI MALUKU UTARA</t>
  </si>
  <si>
    <t>PROVINSI PAPUA BARAT</t>
  </si>
  <si>
    <t>PROVINSI PAPUA TENGAH</t>
  </si>
  <si>
    <t>PROVINSI PAPUA PEGUNUNGAN</t>
  </si>
  <si>
    <t>PROVINSI PAPUA SELATAN</t>
  </si>
  <si>
    <t>PROVINSI PAPUA BARAT DAYA</t>
  </si>
  <si>
    <t>PROVINSI PAPUA.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</si>
</sst>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&quot;Rp&quot;* #,##0_-;\-&quot;Rp&quot;* #,##0_-;_-&quot;Rp&quot;* &quot;-&quot;_-;_-@"/>
    <numFmt numFmtId="166" formatCode="_-* #,##0_-;\-* #,##0_-;_-* &quot;-&quot;_-;_-@"/>
  </numFmts>
  <fonts count="29" x14ac:knownFonts="1">
    <font>
      <sz val="11"/>
      <color theme="1"/>
      <name val="Calibri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name val="Calibri"/>
      <family val="2"/>
    </font>
    <font>
      <sz val="11"/>
      <color theme="1"/>
      <name val="Calibri"/>
      <family val="2"/>
    </font>
    <font>
      <b/>
      <sz val="22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rgb="FF3E4B5B"/>
      <name val="Quattrocento Sans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1"/>
      <color rgb="FFFFE598"/>
      <name val="Calibri"/>
      <family val="2"/>
    </font>
    <font>
      <b/>
      <sz val="12"/>
      <color theme="1"/>
      <name val="Calibri"/>
      <family val="2"/>
    </font>
    <font>
      <sz val="9"/>
      <color theme="1"/>
      <name val="Calibri"/>
      <family val="2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Quattrocento Sans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000000"/>
      <name val="Calibri"/>
      <family val="2"/>
    </font>
    <font>
      <sz val="16"/>
      <color theme="1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99CC"/>
        <bgColor rgb="FFFF99CC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  <fill>
      <patternFill patternType="solid">
        <fgColor rgb="FF7030A0"/>
        <bgColor rgb="FF7030A0"/>
      </patternFill>
    </fill>
    <fill>
      <patternFill patternType="solid">
        <fgColor theme="5"/>
        <bgColor theme="5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rgb="FFF7CAAC"/>
        <bgColor rgb="FFF7CAAC"/>
      </patternFill>
    </fill>
    <fill>
      <patternFill patternType="solid">
        <fgColor rgb="FFFFFF99"/>
        <bgColor rgb="FFFFFF99"/>
      </patternFill>
    </fill>
    <fill>
      <patternFill patternType="solid">
        <fgColor rgb="FFFF99FF"/>
        <bgColor rgb="FFFF99FF"/>
      </patternFill>
    </fill>
    <fill>
      <patternFill patternType="solid">
        <fgColor rgb="FF66FF66"/>
        <bgColor rgb="FF66FF66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theme="0"/>
      </patternFill>
    </fill>
    <fill>
      <patternFill patternType="solid">
        <fgColor rgb="FF7030A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theme="5"/>
        <bgColor theme="0"/>
      </patternFill>
    </fill>
    <fill>
      <patternFill patternType="solid">
        <fgColor rgb="FF00B0F0"/>
        <bgColor theme="0"/>
      </patternFill>
    </fill>
    <fill>
      <patternFill patternType="solid">
        <fgColor rgb="FF92D050"/>
        <bgColor theme="0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DDE2EC"/>
      </left>
      <right style="medium">
        <color rgb="FFDDE2EC"/>
      </right>
      <top style="medium">
        <color rgb="FFDDE2EC"/>
      </top>
      <bottom style="medium">
        <color rgb="FFDDE2EC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24" fillId="0" borderId="0" applyFont="0" applyFill="0" applyBorder="0" applyAlignment="0" applyProtection="0"/>
    <xf numFmtId="41" fontId="23" fillId="0" borderId="25" applyFont="0" applyFill="0" applyBorder="0" applyAlignment="0" applyProtection="0"/>
    <xf numFmtId="0" fontId="18" fillId="0" borderId="25"/>
  </cellStyleXfs>
  <cellXfs count="2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164" fontId="2" fillId="0" borderId="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/>
    </xf>
    <xf numFmtId="165" fontId="1" fillId="0" borderId="0" xfId="0" applyNumberFormat="1" applyFont="1"/>
    <xf numFmtId="165" fontId="4" fillId="0" borderId="0" xfId="0" applyNumberFormat="1" applyFont="1"/>
    <xf numFmtId="0" fontId="7" fillId="0" borderId="0" xfId="0" applyFont="1"/>
    <xf numFmtId="0" fontId="8" fillId="6" borderId="6" xfId="0" applyFont="1" applyFill="1" applyBorder="1" applyAlignment="1">
      <alignment horizontal="center" vertical="center"/>
    </xf>
    <xf numFmtId="165" fontId="8" fillId="6" borderId="6" xfId="0" applyNumberFormat="1" applyFont="1" applyFill="1" applyBorder="1" applyAlignment="1">
      <alignment horizontal="center" vertical="center"/>
    </xf>
    <xf numFmtId="165" fontId="8" fillId="6" borderId="6" xfId="0" applyNumberFormat="1" applyFont="1" applyFill="1" applyBorder="1" applyAlignment="1">
      <alignment vertical="center" wrapText="1"/>
    </xf>
    <xf numFmtId="165" fontId="8" fillId="7" borderId="9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vertical="center" wrapText="1"/>
    </xf>
    <xf numFmtId="165" fontId="8" fillId="8" borderId="9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2" borderId="6" xfId="0" applyNumberFormat="1" applyFont="1" applyFill="1" applyBorder="1" applyAlignment="1">
      <alignment horizontal="center" vertical="center" wrapText="1"/>
    </xf>
    <xf numFmtId="165" fontId="8" fillId="9" borderId="10" xfId="0" applyNumberFormat="1" applyFont="1" applyFill="1" applyBorder="1" applyAlignment="1">
      <alignment horizontal="center" vertical="center" wrapText="1"/>
    </xf>
    <xf numFmtId="165" fontId="8" fillId="4" borderId="6" xfId="0" applyNumberFormat="1" applyFont="1" applyFill="1" applyBorder="1" applyAlignment="1">
      <alignment horizontal="center" vertical="center" wrapText="1"/>
    </xf>
    <xf numFmtId="165" fontId="8" fillId="0" borderId="3" xfId="0" applyNumberFormat="1" applyFont="1" applyBorder="1" applyAlignment="1">
      <alignment horizontal="center" vertical="center" wrapText="1"/>
    </xf>
    <xf numFmtId="165" fontId="8" fillId="3" borderId="9" xfId="0" applyNumberFormat="1" applyFont="1" applyFill="1" applyBorder="1" applyAlignment="1">
      <alignment horizontal="center" vertical="center" wrapText="1"/>
    </xf>
    <xf numFmtId="165" fontId="8" fillId="2" borderId="9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8" fillId="0" borderId="6" xfId="0" applyFont="1" applyBorder="1" applyAlignment="1">
      <alignment vertical="center"/>
    </xf>
    <xf numFmtId="165" fontId="8" fillId="0" borderId="1" xfId="0" applyNumberFormat="1" applyFont="1" applyBorder="1" applyAlignment="1">
      <alignment horizontal="center" vertical="center" wrapText="1"/>
    </xf>
    <xf numFmtId="165" fontId="4" fillId="5" borderId="7" xfId="0" applyNumberFormat="1" applyFont="1" applyFill="1" applyBorder="1" applyAlignment="1">
      <alignment horizontal="center" vertical="center"/>
    </xf>
    <xf numFmtId="165" fontId="4" fillId="6" borderId="7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right" vertical="top" wrapText="1"/>
    </xf>
    <xf numFmtId="165" fontId="4" fillId="0" borderId="0" xfId="0" applyNumberFormat="1" applyFont="1" applyAlignment="1">
      <alignment horizontal="center" vertical="center"/>
    </xf>
    <xf numFmtId="165" fontId="4" fillId="0" borderId="11" xfId="0" applyNumberFormat="1" applyFont="1" applyBorder="1" applyAlignment="1">
      <alignment horizontal="right" vertical="top" wrapText="1"/>
    </xf>
    <xf numFmtId="164" fontId="4" fillId="0" borderId="0" xfId="0" applyNumberFormat="1" applyFont="1"/>
    <xf numFmtId="3" fontId="4" fillId="0" borderId="0" xfId="0" applyNumberFormat="1" applyFont="1"/>
    <xf numFmtId="0" fontId="4" fillId="5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3" fontId="1" fillId="5" borderId="7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vertical="center"/>
    </xf>
    <xf numFmtId="0" fontId="4" fillId="6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10" fontId="4" fillId="0" borderId="6" xfId="0" applyNumberFormat="1" applyFont="1" applyBorder="1" applyAlignment="1">
      <alignment vertical="center"/>
    </xf>
    <xf numFmtId="165" fontId="8" fillId="4" borderId="6" xfId="0" applyNumberFormat="1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3" fontId="1" fillId="10" borderId="7" xfId="0" applyNumberFormat="1" applyFont="1" applyFill="1" applyBorder="1" applyAlignment="1">
      <alignment horizontal="center" vertical="center"/>
    </xf>
    <xf numFmtId="164" fontId="1" fillId="10" borderId="7" xfId="0" applyNumberFormat="1" applyFont="1" applyFill="1" applyBorder="1" applyAlignment="1">
      <alignment horizontal="center" vertical="center"/>
    </xf>
    <xf numFmtId="165" fontId="4" fillId="0" borderId="6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vertical="center"/>
    </xf>
    <xf numFmtId="165" fontId="4" fillId="0" borderId="1" xfId="0" applyNumberFormat="1" applyFont="1" applyBorder="1"/>
    <xf numFmtId="165" fontId="8" fillId="4" borderId="7" xfId="0" applyNumberFormat="1" applyFont="1" applyFill="1" applyBorder="1" applyAlignment="1">
      <alignment horizontal="center" vertical="center"/>
    </xf>
    <xf numFmtId="3" fontId="10" fillId="0" borderId="0" xfId="0" applyNumberFormat="1" applyFont="1"/>
    <xf numFmtId="0" fontId="4" fillId="11" borderId="6" xfId="0" applyFont="1" applyFill="1" applyBorder="1" applyAlignment="1">
      <alignment horizontal="left" vertical="center"/>
    </xf>
    <xf numFmtId="165" fontId="4" fillId="11" borderId="6" xfId="0" applyNumberFormat="1" applyFont="1" applyFill="1" applyBorder="1"/>
    <xf numFmtId="165" fontId="4" fillId="11" borderId="6" xfId="0" applyNumberFormat="1" applyFont="1" applyFill="1" applyBorder="1" applyAlignment="1">
      <alignment horizontal="center" vertical="center"/>
    </xf>
    <xf numFmtId="165" fontId="4" fillId="10" borderId="7" xfId="0" applyNumberFormat="1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right" vertical="center"/>
    </xf>
    <xf numFmtId="165" fontId="4" fillId="11" borderId="7" xfId="0" applyNumberFormat="1" applyFont="1" applyFill="1" applyBorder="1" applyAlignment="1">
      <alignment horizontal="center" vertical="center"/>
    </xf>
    <xf numFmtId="165" fontId="4" fillId="11" borderId="7" xfId="0" applyNumberFormat="1" applyFont="1" applyFill="1" applyBorder="1" applyAlignment="1">
      <alignment horizontal="right" vertical="top" wrapText="1"/>
    </xf>
    <xf numFmtId="165" fontId="4" fillId="11" borderId="7" xfId="0" applyNumberFormat="1" applyFont="1" applyFill="1" applyBorder="1"/>
    <xf numFmtId="165" fontId="4" fillId="11" borderId="11" xfId="0" applyNumberFormat="1" applyFont="1" applyFill="1" applyBorder="1" applyAlignment="1">
      <alignment horizontal="right" vertical="top" wrapText="1"/>
    </xf>
    <xf numFmtId="164" fontId="4" fillId="11" borderId="7" xfId="0" applyNumberFormat="1" applyFont="1" applyFill="1" applyBorder="1"/>
    <xf numFmtId="0" fontId="4" fillId="11" borderId="7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165" fontId="4" fillId="0" borderId="6" xfId="0" applyNumberFormat="1" applyFont="1" applyBorder="1" applyAlignment="1">
      <alignment wrapText="1"/>
    </xf>
    <xf numFmtId="164" fontId="4" fillId="5" borderId="7" xfId="0" applyNumberFormat="1" applyFont="1" applyFill="1" applyBorder="1" applyAlignment="1">
      <alignment horizontal="center" vertical="center"/>
    </xf>
    <xf numFmtId="164" fontId="1" fillId="5" borderId="7" xfId="0" applyNumberFormat="1" applyFont="1" applyFill="1" applyBorder="1" applyAlignment="1">
      <alignment horizontal="center" vertical="center"/>
    </xf>
    <xf numFmtId="165" fontId="4" fillId="12" borderId="7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wrapText="1"/>
    </xf>
    <xf numFmtId="165" fontId="4" fillId="13" borderId="7" xfId="0" applyNumberFormat="1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164" fontId="4" fillId="6" borderId="7" xfId="0" applyNumberFormat="1" applyFont="1" applyFill="1" applyBorder="1" applyAlignment="1">
      <alignment horizontal="center" vertical="center"/>
    </xf>
    <xf numFmtId="164" fontId="1" fillId="6" borderId="7" xfId="0" applyNumberFormat="1" applyFont="1" applyFill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right" vertical="top" wrapText="1"/>
    </xf>
    <xf numFmtId="165" fontId="4" fillId="2" borderId="7" xfId="0" applyNumberFormat="1" applyFont="1" applyFill="1" applyBorder="1"/>
    <xf numFmtId="165" fontId="4" fillId="2" borderId="11" xfId="0" applyNumberFormat="1" applyFont="1" applyFill="1" applyBorder="1" applyAlignment="1">
      <alignment horizontal="right" vertical="top" wrapText="1"/>
    </xf>
    <xf numFmtId="166" fontId="4" fillId="5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4" fillId="6" borderId="7" xfId="0" applyNumberFormat="1" applyFont="1" applyFill="1" applyBorder="1" applyAlignment="1">
      <alignment horizontal="center" vertical="center"/>
    </xf>
    <xf numFmtId="166" fontId="1" fillId="6" borderId="7" xfId="0" applyNumberFormat="1" applyFont="1" applyFill="1" applyBorder="1" applyAlignment="1">
      <alignment horizontal="center" vertical="center"/>
    </xf>
    <xf numFmtId="166" fontId="4" fillId="10" borderId="7" xfId="0" applyNumberFormat="1" applyFont="1" applyFill="1" applyBorder="1" applyAlignment="1">
      <alignment horizontal="center" vertical="center"/>
    </xf>
    <xf numFmtId="165" fontId="4" fillId="14" borderId="7" xfId="0" applyNumberFormat="1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3" fontId="1" fillId="6" borderId="7" xfId="0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center"/>
    </xf>
    <xf numFmtId="9" fontId="8" fillId="4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8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165" fontId="11" fillId="0" borderId="0" xfId="0" applyNumberFormat="1" applyFont="1" applyAlignment="1">
      <alignment horizontal="center" vertical="center"/>
    </xf>
    <xf numFmtId="0" fontId="8" fillId="0" borderId="0" xfId="0" applyFont="1"/>
    <xf numFmtId="165" fontId="4" fillId="0" borderId="0" xfId="0" applyNumberFormat="1" applyFont="1" applyAlignment="1">
      <alignment vertical="center"/>
    </xf>
    <xf numFmtId="165" fontId="12" fillId="0" borderId="0" xfId="0" applyNumberFormat="1" applyFont="1"/>
    <xf numFmtId="165" fontId="12" fillId="2" borderId="7" xfId="0" applyNumberFormat="1" applyFont="1" applyFill="1" applyBorder="1"/>
    <xf numFmtId="165" fontId="4" fillId="0" borderId="4" xfId="0" applyNumberFormat="1" applyFont="1" applyBorder="1"/>
    <xf numFmtId="166" fontId="4" fillId="0" borderId="0" xfId="0" applyNumberFormat="1" applyFont="1"/>
    <xf numFmtId="165" fontId="1" fillId="2" borderId="7" xfId="0" applyNumberFormat="1" applyFont="1" applyFill="1" applyBorder="1" applyAlignment="1">
      <alignment horizontal="center" vertical="center"/>
    </xf>
    <xf numFmtId="165" fontId="4" fillId="2" borderId="7" xfId="0" applyNumberFormat="1" applyFont="1" applyFill="1" applyBorder="1" applyAlignment="1">
      <alignment vertical="center"/>
    </xf>
    <xf numFmtId="0" fontId="13" fillId="0" borderId="0" xfId="0" applyFont="1" applyAlignment="1">
      <alignment horizontal="left"/>
    </xf>
    <xf numFmtId="164" fontId="2" fillId="4" borderId="6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left" vertical="center"/>
    </xf>
    <xf numFmtId="164" fontId="1" fillId="5" borderId="6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164" fontId="2" fillId="4" borderId="6" xfId="0" applyNumberFormat="1" applyFont="1" applyFill="1" applyBorder="1" applyAlignment="1">
      <alignment horizontal="center" vertical="center"/>
    </xf>
    <xf numFmtId="10" fontId="1" fillId="0" borderId="0" xfId="0" applyNumberFormat="1" applyFont="1"/>
    <xf numFmtId="43" fontId="1" fillId="0" borderId="0" xfId="0" applyNumberFormat="1" applyFont="1"/>
    <xf numFmtId="164" fontId="1" fillId="0" borderId="6" xfId="0" applyNumberFormat="1" applyFont="1" applyBorder="1"/>
    <xf numFmtId="0" fontId="4" fillId="0" borderId="0" xfId="0" applyFont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wrapText="1"/>
    </xf>
    <xf numFmtId="0" fontId="6" fillId="0" borderId="6" xfId="0" applyFont="1" applyBorder="1"/>
    <xf numFmtId="0" fontId="6" fillId="0" borderId="16" xfId="0" applyFont="1" applyBorder="1"/>
    <xf numFmtId="0" fontId="6" fillId="0" borderId="17" xfId="0" applyFont="1" applyBorder="1" applyAlignment="1">
      <alignment wrapText="1"/>
    </xf>
    <xf numFmtId="0" fontId="6" fillId="0" borderId="18" xfId="0" applyFont="1" applyBorder="1"/>
    <xf numFmtId="0" fontId="6" fillId="0" borderId="19" xfId="0" applyFont="1" applyBorder="1"/>
    <xf numFmtId="0" fontId="4" fillId="0" borderId="0" xfId="0" applyFont="1"/>
    <xf numFmtId="0" fontId="14" fillId="17" borderId="26" xfId="0" applyFont="1" applyFill="1" applyBorder="1"/>
    <xf numFmtId="0" fontId="15" fillId="0" borderId="27" xfId="0" applyFont="1" applyBorder="1"/>
    <xf numFmtId="0" fontId="15" fillId="18" borderId="28" xfId="0" applyFont="1" applyFill="1" applyBorder="1"/>
    <xf numFmtId="0" fontId="14" fillId="17" borderId="28" xfId="0" applyFont="1" applyFill="1" applyBorder="1"/>
    <xf numFmtId="0" fontId="15" fillId="0" borderId="29" xfId="0" applyFont="1" applyBorder="1"/>
    <xf numFmtId="0" fontId="15" fillId="0" borderId="30" xfId="0" applyFont="1" applyBorder="1"/>
    <xf numFmtId="0" fontId="15" fillId="0" borderId="0" xfId="0" applyFont="1"/>
    <xf numFmtId="0" fontId="15" fillId="18" borderId="7" xfId="0" applyFont="1" applyFill="1" applyBorder="1"/>
    <xf numFmtId="0" fontId="15" fillId="0" borderId="31" xfId="0" applyFont="1" applyBorder="1"/>
    <xf numFmtId="0" fontId="15" fillId="0" borderId="32" xfId="0" applyFont="1" applyBorder="1"/>
    <xf numFmtId="0" fontId="15" fillId="0" borderId="33" xfId="0" applyFont="1" applyBorder="1"/>
    <xf numFmtId="0" fontId="15" fillId="18" borderId="34" xfId="0" applyFont="1" applyFill="1" applyBorder="1"/>
    <xf numFmtId="0" fontId="15" fillId="0" borderId="35" xfId="0" applyFont="1" applyBorder="1"/>
    <xf numFmtId="0" fontId="17" fillId="0" borderId="6" xfId="0" applyFont="1" applyBorder="1" applyAlignment="1">
      <alignment horizontal="left" vertical="center" wrapText="1"/>
    </xf>
    <xf numFmtId="166" fontId="17" fillId="0" borderId="6" xfId="0" applyNumberFormat="1" applyFont="1" applyBorder="1" applyAlignment="1">
      <alignment horizontal="center" vertical="center"/>
    </xf>
    <xf numFmtId="10" fontId="17" fillId="11" borderId="6" xfId="0" applyNumberFormat="1" applyFont="1" applyFill="1" applyBorder="1" applyAlignment="1">
      <alignment horizontal="center" vertical="center"/>
    </xf>
    <xf numFmtId="166" fontId="17" fillId="0" borderId="21" xfId="0" applyNumberFormat="1" applyFont="1" applyBorder="1" applyAlignment="1">
      <alignment horizontal="center" vertical="center"/>
    </xf>
    <xf numFmtId="10" fontId="17" fillId="11" borderId="21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left" vertical="center" wrapText="1"/>
    </xf>
    <xf numFmtId="166" fontId="17" fillId="0" borderId="36" xfId="0" applyNumberFormat="1" applyFont="1" applyBorder="1" applyAlignment="1">
      <alignment horizontal="center" vertical="center"/>
    </xf>
    <xf numFmtId="10" fontId="17" fillId="11" borderId="36" xfId="0" applyNumberFormat="1" applyFont="1" applyFill="1" applyBorder="1" applyAlignment="1">
      <alignment horizontal="center" vertical="center"/>
    </xf>
    <xf numFmtId="166" fontId="17" fillId="20" borderId="6" xfId="0" applyNumberFormat="1" applyFont="1" applyFill="1" applyBorder="1" applyAlignment="1">
      <alignment horizontal="center" vertical="center"/>
    </xf>
    <xf numFmtId="0" fontId="17" fillId="0" borderId="25" xfId="0" applyFont="1" applyBorder="1"/>
    <xf numFmtId="0" fontId="18" fillId="0" borderId="25" xfId="0" applyFont="1" applyBorder="1"/>
    <xf numFmtId="0" fontId="18" fillId="0" borderId="0" xfId="0" applyFont="1"/>
    <xf numFmtId="165" fontId="11" fillId="6" borderId="5" xfId="0" applyNumberFormat="1" applyFont="1" applyFill="1" applyBorder="1" applyAlignment="1">
      <alignment vertical="center" wrapText="1"/>
    </xf>
    <xf numFmtId="165" fontId="11" fillId="6" borderId="25" xfId="0" applyNumberFormat="1" applyFont="1" applyFill="1" applyBorder="1" applyAlignment="1">
      <alignment vertical="center" wrapText="1"/>
    </xf>
    <xf numFmtId="165" fontId="11" fillId="2" borderId="6" xfId="0" applyNumberFormat="1" applyFont="1" applyFill="1" applyBorder="1" applyAlignment="1">
      <alignment horizontal="center" vertical="center" wrapText="1"/>
    </xf>
    <xf numFmtId="165" fontId="11" fillId="2" borderId="7" xfId="0" applyNumberFormat="1" applyFont="1" applyFill="1" applyBorder="1" applyAlignment="1">
      <alignment horizontal="center" vertical="center" wrapText="1"/>
    </xf>
    <xf numFmtId="0" fontId="17" fillId="0" borderId="0" xfId="0" applyFont="1"/>
    <xf numFmtId="165" fontId="17" fillId="0" borderId="0" xfId="0" applyNumberFormat="1" applyFont="1"/>
    <xf numFmtId="166" fontId="11" fillId="21" borderId="20" xfId="0" applyNumberFormat="1" applyFont="1" applyFill="1" applyBorder="1" applyAlignment="1">
      <alignment horizontal="center" vertical="center" wrapText="1"/>
    </xf>
    <xf numFmtId="166" fontId="11" fillId="21" borderId="23" xfId="0" applyNumberFormat="1" applyFont="1" applyFill="1" applyBorder="1" applyAlignment="1">
      <alignment horizontal="center" vertical="center" wrapText="1"/>
    </xf>
    <xf numFmtId="166" fontId="11" fillId="22" borderId="20" xfId="0" applyNumberFormat="1" applyFont="1" applyFill="1" applyBorder="1" applyAlignment="1">
      <alignment horizontal="center" vertical="center" wrapText="1"/>
    </xf>
    <xf numFmtId="166" fontId="11" fillId="23" borderId="20" xfId="0" applyNumberFormat="1" applyFont="1" applyFill="1" applyBorder="1" applyAlignment="1">
      <alignment horizontal="center" vertical="center" wrapText="1"/>
    </xf>
    <xf numFmtId="166" fontId="11" fillId="24" borderId="20" xfId="0" applyNumberFormat="1" applyFont="1" applyFill="1" applyBorder="1" applyAlignment="1">
      <alignment horizontal="center" vertical="center" wrapText="1"/>
    </xf>
    <xf numFmtId="166" fontId="11" fillId="25" borderId="20" xfId="0" applyNumberFormat="1" applyFont="1" applyFill="1" applyBorder="1" applyAlignment="1">
      <alignment horizontal="center" vertical="center" wrapText="1"/>
    </xf>
    <xf numFmtId="166" fontId="11" fillId="26" borderId="20" xfId="0" applyNumberFormat="1" applyFont="1" applyFill="1" applyBorder="1" applyAlignment="1">
      <alignment horizontal="center" vertical="center" wrapText="1"/>
    </xf>
    <xf numFmtId="165" fontId="11" fillId="11" borderId="6" xfId="0" applyNumberFormat="1" applyFont="1" applyFill="1" applyBorder="1" applyAlignment="1">
      <alignment horizontal="center" vertical="center" wrapText="1"/>
    </xf>
    <xf numFmtId="165" fontId="11" fillId="11" borderId="7" xfId="0" applyNumberFormat="1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/>
    </xf>
    <xf numFmtId="165" fontId="17" fillId="11" borderId="21" xfId="0" applyNumberFormat="1" applyFont="1" applyFill="1" applyBorder="1"/>
    <xf numFmtId="165" fontId="17" fillId="11" borderId="7" xfId="0" applyNumberFormat="1" applyFont="1" applyFill="1" applyBorder="1"/>
    <xf numFmtId="3" fontId="20" fillId="0" borderId="11" xfId="0" applyNumberFormat="1" applyFont="1" applyBorder="1" applyAlignment="1">
      <alignment horizontal="right" vertical="top" wrapText="1"/>
    </xf>
    <xf numFmtId="165" fontId="17" fillId="11" borderId="6" xfId="0" applyNumberFormat="1" applyFont="1" applyFill="1" applyBorder="1"/>
    <xf numFmtId="165" fontId="17" fillId="11" borderId="20" xfId="0" applyNumberFormat="1" applyFont="1" applyFill="1" applyBorder="1"/>
    <xf numFmtId="165" fontId="17" fillId="11" borderId="20" xfId="0" applyNumberFormat="1" applyFont="1" applyFill="1" applyBorder="1" applyAlignment="1">
      <alignment wrapText="1"/>
    </xf>
    <xf numFmtId="165" fontId="17" fillId="2" borderId="6" xfId="0" applyNumberFormat="1" applyFont="1" applyFill="1" applyBorder="1"/>
    <xf numFmtId="0" fontId="17" fillId="11" borderId="9" xfId="0" applyFont="1" applyFill="1" applyBorder="1"/>
    <xf numFmtId="0" fontId="17" fillId="11" borderId="7" xfId="0" applyFont="1" applyFill="1" applyBorder="1" applyAlignment="1">
      <alignment horizontal="center" vertical="center"/>
    </xf>
    <xf numFmtId="0" fontId="17" fillId="11" borderId="7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166" fontId="17" fillId="0" borderId="0" xfId="0" applyNumberFormat="1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21" fillId="0" borderId="0" xfId="0" applyFont="1"/>
    <xf numFmtId="0" fontId="22" fillId="0" borderId="25" xfId="0" applyFont="1" applyBorder="1"/>
    <xf numFmtId="0" fontId="21" fillId="0" borderId="25" xfId="0" applyFont="1" applyBorder="1"/>
    <xf numFmtId="41" fontId="4" fillId="0" borderId="36" xfId="1" applyFont="1" applyBorder="1" applyAlignment="1">
      <alignment horizontal="center" vertical="center"/>
    </xf>
    <xf numFmtId="166" fontId="4" fillId="0" borderId="36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wrapText="1"/>
    </xf>
    <xf numFmtId="166" fontId="17" fillId="0" borderId="37" xfId="0" applyNumberFormat="1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3" fontId="18" fillId="0" borderId="0" xfId="0" applyNumberFormat="1" applyFont="1"/>
    <xf numFmtId="0" fontId="17" fillId="20" borderId="6" xfId="0" applyFont="1" applyFill="1" applyBorder="1" applyAlignment="1">
      <alignment horizontal="left" vertical="center" wrapText="1"/>
    </xf>
    <xf numFmtId="3" fontId="27" fillId="0" borderId="6" xfId="0" applyNumberFormat="1" applyFont="1" applyBorder="1" applyAlignment="1">
      <alignment horizontal="right" vertical="top" shrinkToFit="1"/>
    </xf>
    <xf numFmtId="165" fontId="17" fillId="11" borderId="25" xfId="0" applyNumberFormat="1" applyFont="1" applyFill="1" applyBorder="1"/>
    <xf numFmtId="0" fontId="17" fillId="11" borderId="9" xfId="0" applyFont="1" applyFill="1" applyBorder="1" applyAlignment="1">
      <alignment horizontal="center" vertical="center"/>
    </xf>
    <xf numFmtId="3" fontId="20" fillId="0" borderId="25" xfId="0" applyNumberFormat="1" applyFont="1" applyBorder="1" applyAlignment="1">
      <alignment horizontal="right" vertical="top" wrapText="1"/>
    </xf>
    <xf numFmtId="41" fontId="4" fillId="0" borderId="37" xfId="1" applyFont="1" applyBorder="1" applyAlignment="1">
      <alignment horizontal="center" vertical="center"/>
    </xf>
    <xf numFmtId="166" fontId="4" fillId="0" borderId="37" xfId="0" applyNumberFormat="1" applyFont="1" applyBorder="1" applyAlignment="1">
      <alignment horizontal="center" vertical="center"/>
    </xf>
    <xf numFmtId="3" fontId="27" fillId="0" borderId="21" xfId="0" applyNumberFormat="1" applyFont="1" applyBorder="1" applyAlignment="1">
      <alignment horizontal="right" vertical="top" shrinkToFit="1"/>
    </xf>
    <xf numFmtId="10" fontId="17" fillId="11" borderId="37" xfId="0" applyNumberFormat="1" applyFont="1" applyFill="1" applyBorder="1" applyAlignment="1">
      <alignment horizontal="center" vertical="center"/>
    </xf>
    <xf numFmtId="166" fontId="11" fillId="2" borderId="46" xfId="0" applyNumberFormat="1" applyFont="1" applyFill="1" applyBorder="1" applyAlignment="1">
      <alignment horizontal="center" vertical="center"/>
    </xf>
    <xf numFmtId="166" fontId="11" fillId="19" borderId="5" xfId="0" applyNumberFormat="1" applyFont="1" applyFill="1" applyBorder="1" applyAlignment="1">
      <alignment horizontal="center" vertical="center"/>
    </xf>
    <xf numFmtId="10" fontId="11" fillId="2" borderId="5" xfId="0" applyNumberFormat="1" applyFont="1" applyFill="1" applyBorder="1" applyAlignment="1">
      <alignment horizontal="center" vertical="center"/>
    </xf>
    <xf numFmtId="0" fontId="17" fillId="11" borderId="36" xfId="0" applyFont="1" applyFill="1" applyBorder="1" applyAlignment="1">
      <alignment horizontal="center" vertical="center"/>
    </xf>
    <xf numFmtId="0" fontId="17" fillId="11" borderId="44" xfId="0" applyFont="1" applyFill="1" applyBorder="1" applyAlignment="1">
      <alignment horizontal="center" vertical="center"/>
    </xf>
    <xf numFmtId="0" fontId="17" fillId="11" borderId="47" xfId="0" applyFont="1" applyFill="1" applyBorder="1" applyAlignment="1">
      <alignment horizontal="center" vertical="center"/>
    </xf>
    <xf numFmtId="0" fontId="28" fillId="0" borderId="36" xfId="0" applyFont="1" applyBorder="1"/>
    <xf numFmtId="0" fontId="5" fillId="0" borderId="0" xfId="0" applyFont="1" applyAlignment="1">
      <alignment horizontal="center" vertical="center" wrapText="1"/>
    </xf>
    <xf numFmtId="0" fontId="0" fillId="0" borderId="0" xfId="0"/>
    <xf numFmtId="15" fontId="6" fillId="0" borderId="8" xfId="0" applyNumberFormat="1" applyFont="1" applyBorder="1" applyAlignment="1">
      <alignment horizontal="center" vertical="center"/>
    </xf>
    <xf numFmtId="0" fontId="3" fillId="0" borderId="8" xfId="0" applyFont="1" applyBorder="1"/>
    <xf numFmtId="165" fontId="8" fillId="6" borderId="2" xfId="0" applyNumberFormat="1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164" fontId="1" fillId="0" borderId="2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0" borderId="5" xfId="0" applyFont="1" applyBorder="1"/>
    <xf numFmtId="164" fontId="2" fillId="4" borderId="2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 wrapText="1"/>
    </xf>
    <xf numFmtId="0" fontId="11" fillId="11" borderId="45" xfId="0" applyFont="1" applyFill="1" applyBorder="1" applyAlignment="1">
      <alignment horizontal="center" vertical="center"/>
    </xf>
    <xf numFmtId="0" fontId="11" fillId="11" borderId="46" xfId="0" applyFont="1" applyFill="1" applyBorder="1" applyAlignment="1">
      <alignment horizontal="center" vertical="center"/>
    </xf>
    <xf numFmtId="165" fontId="11" fillId="6" borderId="40" xfId="0" applyNumberFormat="1" applyFont="1" applyFill="1" applyBorder="1" applyAlignment="1">
      <alignment horizontal="center" vertical="center"/>
    </xf>
    <xf numFmtId="165" fontId="11" fillId="6" borderId="41" xfId="0" applyNumberFormat="1" applyFont="1" applyFill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166" fontId="11" fillId="3" borderId="9" xfId="0" applyNumberFormat="1" applyFont="1" applyFill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/>
    </xf>
    <xf numFmtId="166" fontId="11" fillId="7" borderId="9" xfId="0" applyNumberFormat="1" applyFont="1" applyFill="1" applyBorder="1" applyAlignment="1">
      <alignment horizontal="center" vertical="center" wrapText="1"/>
    </xf>
    <xf numFmtId="166" fontId="11" fillId="7" borderId="20" xfId="0" applyNumberFormat="1" applyFont="1" applyFill="1" applyBorder="1" applyAlignment="1">
      <alignment horizontal="center" vertical="center" wrapText="1"/>
    </xf>
    <xf numFmtId="166" fontId="11" fillId="8" borderId="9" xfId="0" applyNumberFormat="1" applyFont="1" applyFill="1" applyBorder="1" applyAlignment="1">
      <alignment horizontal="center" vertical="center" wrapText="1"/>
    </xf>
    <xf numFmtId="166" fontId="11" fillId="8" borderId="20" xfId="0" applyNumberFormat="1" applyFont="1" applyFill="1" applyBorder="1" applyAlignment="1">
      <alignment horizontal="center" vertical="center" wrapText="1"/>
    </xf>
    <xf numFmtId="166" fontId="11" fillId="2" borderId="9" xfId="0" applyNumberFormat="1" applyFont="1" applyFill="1" applyBorder="1" applyAlignment="1">
      <alignment horizontal="center" vertical="center" wrapText="1"/>
    </xf>
    <xf numFmtId="166" fontId="11" fillId="2" borderId="20" xfId="0" applyNumberFormat="1" applyFont="1" applyFill="1" applyBorder="1" applyAlignment="1">
      <alignment horizontal="center" vertical="center" wrapText="1"/>
    </xf>
    <xf numFmtId="166" fontId="11" fillId="9" borderId="9" xfId="0" applyNumberFormat="1" applyFont="1" applyFill="1" applyBorder="1" applyAlignment="1">
      <alignment horizontal="center" vertical="center" wrapText="1"/>
    </xf>
    <xf numFmtId="166" fontId="11" fillId="9" borderId="20" xfId="0" applyNumberFormat="1" applyFont="1" applyFill="1" applyBorder="1" applyAlignment="1">
      <alignment horizontal="center" vertical="center" wrapText="1"/>
    </xf>
    <xf numFmtId="166" fontId="11" fillId="4" borderId="9" xfId="0" applyNumberFormat="1" applyFont="1" applyFill="1" applyBorder="1" applyAlignment="1">
      <alignment horizontal="center" vertical="center" wrapText="1"/>
    </xf>
    <xf numFmtId="166" fontId="11" fillId="4" borderId="20" xfId="0" applyNumberFormat="1" applyFont="1" applyFill="1" applyBorder="1" applyAlignment="1">
      <alignment horizontal="center" vertical="center" wrapText="1"/>
    </xf>
    <xf numFmtId="165" fontId="11" fillId="6" borderId="42" xfId="0" applyNumberFormat="1" applyFont="1" applyFill="1" applyBorder="1" applyAlignment="1">
      <alignment horizontal="center" vertical="center"/>
    </xf>
    <xf numFmtId="165" fontId="11" fillId="2" borderId="21" xfId="0" applyNumberFormat="1" applyFont="1" applyFill="1" applyBorder="1" applyAlignment="1">
      <alignment horizontal="center" vertical="center" wrapText="1"/>
    </xf>
    <xf numFmtId="165" fontId="11" fillId="2" borderId="5" xfId="0" applyNumberFormat="1" applyFont="1" applyFill="1" applyBorder="1" applyAlignment="1">
      <alignment horizontal="center" vertical="center" wrapText="1"/>
    </xf>
    <xf numFmtId="0" fontId="11" fillId="6" borderId="39" xfId="0" applyFont="1" applyFill="1" applyBorder="1" applyAlignment="1">
      <alignment horizontal="center" vertical="center" wrapText="1"/>
    </xf>
    <xf numFmtId="0" fontId="11" fillId="6" borderId="38" xfId="0" applyFont="1" applyFill="1" applyBorder="1" applyAlignment="1">
      <alignment horizontal="center" vertical="center" wrapText="1"/>
    </xf>
    <xf numFmtId="0" fontId="11" fillId="6" borderId="39" xfId="0" applyFont="1" applyFill="1" applyBorder="1" applyAlignment="1">
      <alignment horizontal="center" vertical="center"/>
    </xf>
    <xf numFmtId="0" fontId="11" fillId="6" borderId="38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166" fontId="22" fillId="0" borderId="25" xfId="0" applyNumberFormat="1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8" fillId="16" borderId="22" xfId="0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</cellXfs>
  <cellStyles count="4">
    <cellStyle name="Comma [0]" xfId="1" builtinId="6"/>
    <cellStyle name="Comma [0] 2" xfId="2" xr:uid="{00000000-0005-0000-0000-000001000000}"/>
    <cellStyle name="Normal" xfId="0" builtinId="0"/>
    <cellStyle name="Normal 2" xfId="3" xr:uid="{D02A005D-8BC3-4572-B36A-47A7E0502D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E876-450C-8BA1-A98DC192538D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E876-450C-8BA1-A98DC192538D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E876-450C-8BA1-A98DC192538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E876-450C-8BA1-A98DC192538D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E876-450C-8BA1-A98DC192538D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E876-450C-8BA1-A98DC192538D}"/>
              </c:ext>
            </c:extLst>
          </c:dPt>
          <c:cat>
            <c:strRef>
              <c:f>'PAGU SATKER PERDIt CATU PINDAH'!$H$86:$H$91</c:f>
              <c:strCache>
                <c:ptCount val="6"/>
                <c:pt idx="0">
                  <c:v> SESDITJEN </c:v>
                </c:pt>
                <c:pt idx="1">
                  <c:v> P2KT </c:v>
                </c:pt>
                <c:pt idx="2">
                  <c:v> PEMBANGUNAN </c:v>
                </c:pt>
                <c:pt idx="3">
                  <c:v> FP3KT </c:v>
                </c:pt>
                <c:pt idx="4">
                  <c:v> SP SKP </c:v>
                </c:pt>
                <c:pt idx="5">
                  <c:v> PKT </c:v>
                </c:pt>
              </c:strCache>
            </c:strRef>
          </c:cat>
          <c:val>
            <c:numRef>
              <c:f>'PAGU SATKER PERDIt CATU PINDAH'!$I$86:$I$91</c:f>
              <c:numCache>
                <c:formatCode>0.00%</c:formatCode>
                <c:ptCount val="6"/>
                <c:pt idx="0">
                  <c:v>0.18068345544615388</c:v>
                </c:pt>
                <c:pt idx="1">
                  <c:v>3.3221169527359082E-2</c:v>
                </c:pt>
                <c:pt idx="2">
                  <c:v>0.33215069026443222</c:v>
                </c:pt>
                <c:pt idx="3">
                  <c:v>7.271234577983926E-2</c:v>
                </c:pt>
                <c:pt idx="4">
                  <c:v>0.15529202473727807</c:v>
                </c:pt>
                <c:pt idx="5">
                  <c:v>0.22594031424493746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76-450C-8BA1-A98DC192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1D75-443F-9C99-6417554E15C3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1D75-443F-9C99-6417554E15C3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1D75-443F-9C99-6417554E15C3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1D75-443F-9C99-6417554E15C3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1D75-443F-9C99-6417554E15C3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1D75-443F-9C99-6417554E15C3}"/>
              </c:ext>
            </c:extLst>
          </c:dPt>
          <c:cat>
            <c:strRef>
              <c:f>'PAGU SATKER PERDIREKTORAT'!$H$86:$H$91</c:f>
              <c:strCache>
                <c:ptCount val="6"/>
                <c:pt idx="0">
                  <c:v> SESDITJEN </c:v>
                </c:pt>
                <c:pt idx="1">
                  <c:v> P2KT </c:v>
                </c:pt>
                <c:pt idx="2">
                  <c:v> PEMBANGUNAN </c:v>
                </c:pt>
                <c:pt idx="3">
                  <c:v> FP3KT </c:v>
                </c:pt>
                <c:pt idx="4">
                  <c:v> SP SKP </c:v>
                </c:pt>
                <c:pt idx="5">
                  <c:v> PKT </c:v>
                </c:pt>
              </c:strCache>
            </c:strRef>
          </c:cat>
          <c:val>
            <c:numRef>
              <c:f>'PAGU SATKER PERDIREKTORAT'!$I$86:$I$91</c:f>
              <c:numCache>
                <c:formatCode>0.00%</c:formatCode>
                <c:ptCount val="6"/>
                <c:pt idx="0">
                  <c:v>0.18068345544615388</c:v>
                </c:pt>
                <c:pt idx="1">
                  <c:v>3.3221169527359082E-2</c:v>
                </c:pt>
                <c:pt idx="2">
                  <c:v>0.33215069026443222</c:v>
                </c:pt>
                <c:pt idx="3">
                  <c:v>5.4155588180191942E-2</c:v>
                </c:pt>
                <c:pt idx="4">
                  <c:v>0.17384878233692541</c:v>
                </c:pt>
                <c:pt idx="5">
                  <c:v>0.22594031424493746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75-443F-9C99-6417554E1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552450</xdr:colOff>
      <xdr:row>79</xdr:row>
      <xdr:rowOff>104775</xdr:rowOff>
    </xdr:from>
    <xdr:ext cx="4562475" cy="2495550"/>
    <xdr:graphicFrame macro="">
      <xdr:nvGraphicFramePr>
        <xdr:cNvPr id="1643421735" name="Chart 1">
          <a:extLst>
            <a:ext uri="{FF2B5EF4-FFF2-40B4-BE49-F238E27FC236}">
              <a16:creationId xmlns:a16="http://schemas.microsoft.com/office/drawing/2014/main" id="{00000000-0008-0000-0200-000027A0F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552450</xdr:colOff>
      <xdr:row>79</xdr:row>
      <xdr:rowOff>104775</xdr:rowOff>
    </xdr:from>
    <xdr:ext cx="4562475" cy="2495550"/>
    <xdr:graphicFrame macro="">
      <xdr:nvGraphicFramePr>
        <xdr:cNvPr id="146637680" name="Chart 2">
          <a:extLst>
            <a:ext uri="{FF2B5EF4-FFF2-40B4-BE49-F238E27FC236}">
              <a16:creationId xmlns:a16="http://schemas.microsoft.com/office/drawing/2014/main" id="{00000000-0008-0000-0300-00007083B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0"/>
  <sheetViews>
    <sheetView workbookViewId="0"/>
  </sheetViews>
  <sheetFormatPr defaultColWidth="14.42578125" defaultRowHeight="15" customHeight="1" x14ac:dyDescent="0.25"/>
  <cols>
    <col min="1" max="1" width="9.28515625" customWidth="1"/>
    <col min="2" max="2" width="5.28515625" customWidth="1"/>
    <col min="3" max="3" width="30.5703125" customWidth="1"/>
    <col min="4" max="4" width="24.7109375" customWidth="1"/>
    <col min="5" max="5" width="25" customWidth="1"/>
    <col min="6" max="6" width="22.7109375" customWidth="1"/>
    <col min="7" max="7" width="23" customWidth="1"/>
    <col min="8" max="8" width="24.5703125" customWidth="1"/>
    <col min="9" max="9" width="22.7109375" customWidth="1"/>
    <col min="10" max="10" width="24.28515625" customWidth="1"/>
    <col min="11" max="11" width="22.7109375" customWidth="1"/>
    <col min="12" max="12" width="25.28515625" customWidth="1"/>
    <col min="13" max="13" width="22.7109375" customWidth="1"/>
    <col min="14" max="14" width="26" customWidth="1"/>
    <col min="15" max="15" width="23" customWidth="1"/>
    <col min="16" max="16" width="26" customWidth="1"/>
    <col min="17" max="18" width="24.7109375" customWidth="1"/>
    <col min="19" max="19" width="26.28515625" customWidth="1"/>
    <col min="20" max="21" width="22.7109375" hidden="1" customWidth="1"/>
    <col min="22" max="22" width="7.7109375" hidden="1" customWidth="1"/>
    <col min="23" max="23" width="22.7109375" hidden="1" customWidth="1"/>
    <col min="24" max="24" width="15.7109375" hidden="1" customWidth="1"/>
    <col min="25" max="25" width="16.28515625" hidden="1" customWidth="1"/>
    <col min="26" max="26" width="16.5703125" hidden="1" customWidth="1"/>
    <col min="27" max="27" width="16.7109375" hidden="1" customWidth="1"/>
    <col min="28" max="29" width="17.7109375" hidden="1" customWidth="1"/>
    <col min="30" max="30" width="23.28515625" customWidth="1"/>
    <col min="31" max="31" width="17.7109375" customWidth="1"/>
    <col min="32" max="32" width="15.28515625" customWidth="1"/>
    <col min="33" max="33" width="16.5703125" customWidth="1"/>
    <col min="34" max="34" width="8.7109375" customWidth="1"/>
    <col min="35" max="35" width="12.28515625" customWidth="1"/>
  </cols>
  <sheetData>
    <row r="1" spans="1:35" ht="14.25" customHeight="1" x14ac:dyDescent="0.25">
      <c r="A1" s="13"/>
      <c r="B1" s="2"/>
      <c r="C1" s="3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  <c r="U1" s="15"/>
      <c r="V1" s="15"/>
      <c r="W1" s="15"/>
      <c r="X1" s="15"/>
      <c r="Y1" s="15" t="s">
        <v>80</v>
      </c>
      <c r="Z1" s="15"/>
      <c r="AA1" s="15"/>
      <c r="AB1" s="15"/>
    </row>
    <row r="2" spans="1:35" ht="27" customHeight="1" x14ac:dyDescent="0.25">
      <c r="A2" s="13"/>
      <c r="B2" s="217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15"/>
      <c r="U2" s="15"/>
      <c r="V2" s="15"/>
      <c r="W2" s="15"/>
      <c r="X2" s="15"/>
      <c r="Y2" s="15"/>
      <c r="Z2" s="15"/>
      <c r="AA2" s="15"/>
      <c r="AB2" s="15"/>
    </row>
    <row r="3" spans="1:35" ht="15" customHeight="1" x14ac:dyDescent="0.25">
      <c r="A3" s="13"/>
      <c r="B3" s="219"/>
      <c r="C3" s="220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6"/>
      <c r="R3" s="16"/>
      <c r="S3" s="14"/>
      <c r="T3" s="15"/>
      <c r="U3" s="15"/>
      <c r="V3" s="15"/>
      <c r="W3" s="15"/>
      <c r="X3" s="15"/>
      <c r="Y3" s="15"/>
      <c r="Z3" s="15"/>
      <c r="AA3" s="15"/>
      <c r="AB3" s="15"/>
    </row>
    <row r="4" spans="1:35" ht="17.25" customHeight="1" x14ac:dyDescent="0.25">
      <c r="A4" s="13"/>
      <c r="B4" s="17" t="s">
        <v>0</v>
      </c>
      <c r="C4" s="17" t="s">
        <v>1</v>
      </c>
      <c r="D4" s="221" t="s">
        <v>2</v>
      </c>
      <c r="E4" s="222"/>
      <c r="F4" s="222"/>
      <c r="G4" s="222"/>
      <c r="H4" s="222"/>
      <c r="I4" s="222"/>
      <c r="J4" s="222"/>
      <c r="K4" s="222"/>
      <c r="L4" s="222"/>
      <c r="M4" s="222"/>
      <c r="N4" s="223"/>
      <c r="O4" s="18"/>
      <c r="P4" s="18"/>
      <c r="Q4" s="18"/>
      <c r="R4" s="18"/>
      <c r="S4" s="19"/>
      <c r="T4" s="15"/>
      <c r="U4" s="15"/>
      <c r="V4" s="15"/>
      <c r="W4" s="15"/>
      <c r="X4" s="15"/>
      <c r="Y4" s="15"/>
      <c r="Z4" s="15"/>
      <c r="AA4" s="15"/>
      <c r="AB4" s="15"/>
    </row>
    <row r="5" spans="1:35" ht="75" customHeight="1" x14ac:dyDescent="0.25">
      <c r="A5" s="13"/>
      <c r="B5" s="17"/>
      <c r="C5" s="17"/>
      <c r="D5" s="20" t="s">
        <v>81</v>
      </c>
      <c r="E5" s="21" t="s">
        <v>82</v>
      </c>
      <c r="F5" s="22" t="s">
        <v>83</v>
      </c>
      <c r="G5" s="23" t="s">
        <v>84</v>
      </c>
      <c r="H5" s="24" t="s">
        <v>85</v>
      </c>
      <c r="I5" s="23" t="s">
        <v>86</v>
      </c>
      <c r="J5" s="25" t="s">
        <v>87</v>
      </c>
      <c r="K5" s="23" t="s">
        <v>88</v>
      </c>
      <c r="L5" s="26" t="s">
        <v>89</v>
      </c>
      <c r="M5" s="27" t="s">
        <v>90</v>
      </c>
      <c r="N5" s="28" t="s">
        <v>91</v>
      </c>
      <c r="O5" s="21" t="s">
        <v>92</v>
      </c>
      <c r="P5" s="29" t="s">
        <v>93</v>
      </c>
      <c r="Q5" s="29" t="s">
        <v>94</v>
      </c>
      <c r="R5" s="29" t="s">
        <v>95</v>
      </c>
      <c r="S5" s="24" t="s">
        <v>96</v>
      </c>
      <c r="T5" s="15"/>
      <c r="U5" s="15"/>
      <c r="V5" s="15"/>
      <c r="W5" s="15"/>
      <c r="X5" s="15"/>
      <c r="Y5" s="15"/>
      <c r="Z5" s="15"/>
      <c r="AA5" s="15"/>
      <c r="AB5" s="15"/>
    </row>
    <row r="6" spans="1:35" ht="22.5" customHeight="1" x14ac:dyDescent="0.25">
      <c r="A6" s="30"/>
      <c r="B6" s="31"/>
      <c r="C6" s="31"/>
      <c r="D6" s="23" t="s">
        <v>97</v>
      </c>
      <c r="E6" s="23"/>
      <c r="F6" s="23" t="s">
        <v>97</v>
      </c>
      <c r="G6" s="23"/>
      <c r="H6" s="23" t="s">
        <v>97</v>
      </c>
      <c r="I6" s="23"/>
      <c r="J6" s="23" t="s">
        <v>97</v>
      </c>
      <c r="K6" s="23"/>
      <c r="L6" s="23" t="s">
        <v>97</v>
      </c>
      <c r="M6" s="23"/>
      <c r="N6" s="23" t="s">
        <v>97</v>
      </c>
      <c r="O6" s="23"/>
      <c r="P6" s="23"/>
      <c r="Q6" s="23"/>
      <c r="R6" s="32"/>
      <c r="S6" s="23"/>
      <c r="T6" s="33">
        <v>367461000</v>
      </c>
      <c r="U6" s="33">
        <v>367461000</v>
      </c>
      <c r="V6" s="34" t="e">
        <f t="shared" ref="V6:V7" si="0">#REF!/S6</f>
        <v>#REF!</v>
      </c>
      <c r="W6" s="35" t="e">
        <f t="shared" ref="W6:W7" si="1">#REF!-#REF!</f>
        <v>#REF!</v>
      </c>
      <c r="X6" s="15" t="e">
        <f t="shared" ref="X6:X7" si="2">#REF!/S6</f>
        <v>#REF!</v>
      </c>
      <c r="Y6" s="36"/>
      <c r="Z6" s="33"/>
      <c r="AA6" s="37">
        <v>367461000</v>
      </c>
      <c r="AB6" s="15">
        <f t="shared" ref="AB6:AB7" si="3">AA6-S6</f>
        <v>367461000</v>
      </c>
      <c r="AC6" s="38"/>
      <c r="AD6" s="39">
        <v>2091622000</v>
      </c>
      <c r="AE6" s="40"/>
      <c r="AF6" s="41"/>
      <c r="AG6" s="42"/>
      <c r="AH6" s="41"/>
      <c r="AI6" s="41"/>
    </row>
    <row r="7" spans="1:35" ht="22.5" customHeight="1" x14ac:dyDescent="0.25">
      <c r="A7" s="30"/>
      <c r="B7" s="43">
        <v>1</v>
      </c>
      <c r="C7" s="44" t="s">
        <v>98</v>
      </c>
      <c r="D7" s="45">
        <f>790000000+18010344000+2477231000+13000000+19577934000+16910907000+4000000+644598000+10795282000+3235352000</f>
        <v>72458648000</v>
      </c>
      <c r="E7" s="45">
        <f>7307451174+4975525683+4577856665+4219110917+1279371730+715547000+342401500</f>
        <v>23417264669</v>
      </c>
      <c r="F7" s="46">
        <v>7062232000</v>
      </c>
      <c r="G7" s="46">
        <f>618125576+226490194+297165601</f>
        <v>1141781371</v>
      </c>
      <c r="H7" s="46">
        <v>5690207000</v>
      </c>
      <c r="I7" s="46">
        <v>1123837476</v>
      </c>
      <c r="J7" s="46">
        <v>9539186000</v>
      </c>
      <c r="K7" s="46">
        <f>1498370150+32716300+43366000+20523100+3000000</f>
        <v>1597975550</v>
      </c>
      <c r="L7" s="47">
        <v>12215558000</v>
      </c>
      <c r="M7" s="47">
        <f>82286040+25718660+79851262+86404800+70230040+2392000+859000+68898555+648510977</f>
        <v>1065151334</v>
      </c>
      <c r="N7" s="46">
        <v>6480367000</v>
      </c>
      <c r="O7" s="46">
        <f>40053420+8024000+713667460+479488455</f>
        <v>1241233335</v>
      </c>
      <c r="P7" s="46">
        <f t="shared" ref="P7:P78" si="4">N7+L7+J7+H7+F7+D7</f>
        <v>113446198000</v>
      </c>
      <c r="Q7" s="46">
        <f t="shared" ref="Q7:Q78" si="5">E7+G7+I7+K7+M7+O7</f>
        <v>29587243735</v>
      </c>
      <c r="R7" s="48">
        <f t="shared" ref="R7:R79" si="6">Q7/P7</f>
        <v>0.26080418962123347</v>
      </c>
      <c r="S7" s="45">
        <v>9131327000</v>
      </c>
      <c r="T7" s="34">
        <v>4127744000</v>
      </c>
      <c r="U7" s="34">
        <v>4127744000</v>
      </c>
      <c r="V7" s="34" t="e">
        <f t="shared" si="0"/>
        <v>#REF!</v>
      </c>
      <c r="W7" s="35" t="e">
        <f t="shared" si="1"/>
        <v>#REF!</v>
      </c>
      <c r="X7" s="15" t="e">
        <f t="shared" si="2"/>
        <v>#REF!</v>
      </c>
      <c r="Y7" s="36"/>
      <c r="Z7" s="34"/>
      <c r="AA7" s="37">
        <v>4127744000</v>
      </c>
      <c r="AB7" s="15">
        <f t="shared" si="3"/>
        <v>-5003583000</v>
      </c>
      <c r="AC7" s="38"/>
      <c r="AD7" s="39">
        <v>264663000</v>
      </c>
      <c r="AE7" s="49"/>
      <c r="AF7" s="50"/>
      <c r="AG7" s="50"/>
      <c r="AH7" s="50"/>
      <c r="AI7" s="50"/>
    </row>
    <row r="8" spans="1:35" ht="22.5" customHeight="1" x14ac:dyDescent="0.25">
      <c r="A8" s="30"/>
      <c r="B8" s="43">
        <v>2</v>
      </c>
      <c r="C8" s="51" t="s">
        <v>99</v>
      </c>
      <c r="D8" s="45">
        <v>82862000</v>
      </c>
      <c r="E8" s="45"/>
      <c r="F8" s="47"/>
      <c r="G8" s="47"/>
      <c r="H8" s="47">
        <v>447430000</v>
      </c>
      <c r="I8" s="47"/>
      <c r="J8" s="47"/>
      <c r="K8" s="47"/>
      <c r="L8" s="47">
        <v>83260000</v>
      </c>
      <c r="M8" s="47"/>
      <c r="N8" s="45">
        <v>459372000</v>
      </c>
      <c r="O8" s="45"/>
      <c r="P8" s="46">
        <f t="shared" si="4"/>
        <v>1072924000</v>
      </c>
      <c r="Q8" s="46">
        <f t="shared" si="5"/>
        <v>0</v>
      </c>
      <c r="R8" s="52">
        <f t="shared" si="6"/>
        <v>0</v>
      </c>
      <c r="S8" s="45"/>
      <c r="T8" s="53">
        <f t="shared" ref="T8:AB8" si="7">SUM(T10:T79)</f>
        <v>843771758000</v>
      </c>
      <c r="U8" s="53">
        <f t="shared" si="7"/>
        <v>843771758000</v>
      </c>
      <c r="V8" s="53" t="e">
        <f t="shared" si="7"/>
        <v>#REF!</v>
      </c>
      <c r="W8" s="53" t="e">
        <f t="shared" si="7"/>
        <v>#REF!</v>
      </c>
      <c r="X8" s="53" t="e">
        <f t="shared" si="7"/>
        <v>#REF!</v>
      </c>
      <c r="Y8" s="53">
        <f t="shared" si="7"/>
        <v>36013618525</v>
      </c>
      <c r="Z8" s="53" t="e">
        <f t="shared" si="7"/>
        <v>#REF!</v>
      </c>
      <c r="AA8" s="53">
        <f t="shared" si="7"/>
        <v>847518554000</v>
      </c>
      <c r="AB8" s="53">
        <f t="shared" si="7"/>
        <v>796061603000</v>
      </c>
      <c r="AC8" s="38"/>
      <c r="AD8" s="39">
        <v>3408451000</v>
      </c>
      <c r="AE8" s="54"/>
      <c r="AF8" s="55"/>
      <c r="AG8" s="39"/>
      <c r="AH8" s="55"/>
      <c r="AI8" s="55"/>
    </row>
    <row r="9" spans="1:35" ht="22.5" customHeight="1" x14ac:dyDescent="0.25">
      <c r="A9" s="30"/>
      <c r="B9" s="43">
        <v>3</v>
      </c>
      <c r="C9" s="51" t="s">
        <v>10</v>
      </c>
      <c r="D9" s="47">
        <v>58656000</v>
      </c>
      <c r="E9" s="47"/>
      <c r="F9" s="47"/>
      <c r="G9" s="47"/>
      <c r="H9" s="47"/>
      <c r="I9" s="47"/>
      <c r="J9" s="45">
        <v>158996000</v>
      </c>
      <c r="K9" s="45"/>
      <c r="L9" s="47"/>
      <c r="M9" s="47"/>
      <c r="N9" s="47"/>
      <c r="O9" s="47"/>
      <c r="P9" s="46">
        <f t="shared" si="4"/>
        <v>217652000</v>
      </c>
      <c r="Q9" s="46">
        <f t="shared" si="5"/>
        <v>0</v>
      </c>
      <c r="R9" s="52">
        <f t="shared" si="6"/>
        <v>0</v>
      </c>
      <c r="S9" s="45"/>
      <c r="T9" s="53">
        <f t="shared" ref="T9:AC9" si="8">SUM(T11:T79)</f>
        <v>421885879000</v>
      </c>
      <c r="U9" s="53">
        <f t="shared" si="8"/>
        <v>421885879000</v>
      </c>
      <c r="V9" s="53" t="e">
        <f t="shared" si="8"/>
        <v>#REF!</v>
      </c>
      <c r="W9" s="53" t="e">
        <f t="shared" si="8"/>
        <v>#REF!</v>
      </c>
      <c r="X9" s="53" t="e">
        <f t="shared" si="8"/>
        <v>#REF!</v>
      </c>
      <c r="Y9" s="53">
        <f t="shared" si="8"/>
        <v>36013618525</v>
      </c>
      <c r="Z9" s="53" t="e">
        <f t="shared" si="8"/>
        <v>#REF!</v>
      </c>
      <c r="AA9" s="53">
        <f t="shared" si="8"/>
        <v>423759277000</v>
      </c>
      <c r="AB9" s="53">
        <f t="shared" si="8"/>
        <v>372314146000</v>
      </c>
      <c r="AC9" s="53">
        <f t="shared" si="8"/>
        <v>0</v>
      </c>
      <c r="AD9" s="39">
        <v>2250628000</v>
      </c>
      <c r="AE9" s="54"/>
      <c r="AF9" s="55"/>
      <c r="AG9" s="56"/>
      <c r="AH9" s="55"/>
      <c r="AI9" s="57"/>
    </row>
    <row r="10" spans="1:35" ht="14.25" customHeight="1" x14ac:dyDescent="0.25">
      <c r="A10" s="13"/>
      <c r="B10" s="43">
        <v>4</v>
      </c>
      <c r="C10" s="51" t="s">
        <v>11</v>
      </c>
      <c r="D10" s="45">
        <v>96910000</v>
      </c>
      <c r="E10" s="45"/>
      <c r="F10" s="47"/>
      <c r="G10" s="47"/>
      <c r="H10" s="58">
        <v>8080000</v>
      </c>
      <c r="I10" s="45"/>
      <c r="J10" s="45">
        <v>76796000</v>
      </c>
      <c r="K10" s="47"/>
      <c r="L10" s="45">
        <f>37920000+135600000+386586000+198500000+50000000+52320000+3360000+198500000</f>
        <v>1062786000</v>
      </c>
      <c r="M10" s="45"/>
      <c r="N10" s="45">
        <v>849161000</v>
      </c>
      <c r="O10" s="45"/>
      <c r="P10" s="59">
        <f t="shared" si="4"/>
        <v>2093733000</v>
      </c>
      <c r="Q10" s="59">
        <f t="shared" si="5"/>
        <v>0</v>
      </c>
      <c r="R10" s="48">
        <f t="shared" si="6"/>
        <v>0</v>
      </c>
      <c r="S10" s="60">
        <v>11820000</v>
      </c>
      <c r="T10" s="53">
        <f t="shared" ref="T10:V10" si="9">SUM(T13:T79)</f>
        <v>421885879000</v>
      </c>
      <c r="U10" s="53">
        <f t="shared" si="9"/>
        <v>421885879000</v>
      </c>
      <c r="V10" s="53" t="e">
        <f t="shared" si="9"/>
        <v>#REF!</v>
      </c>
      <c r="W10" s="61"/>
      <c r="X10" s="15" t="e">
        <f>#REF!/S10</f>
        <v>#REF!</v>
      </c>
      <c r="Y10" s="15"/>
      <c r="Z10" s="15"/>
      <c r="AA10" s="15">
        <f>SUM(AA13:AA79)</f>
        <v>423759277000</v>
      </c>
      <c r="AB10" s="15">
        <f>AA10-S10</f>
        <v>423747457000</v>
      </c>
      <c r="AC10" s="38"/>
      <c r="AD10" s="39">
        <f>SUM(AD12:AD79)</f>
        <v>193049040000</v>
      </c>
    </row>
    <row r="11" spans="1:35" ht="23.25" customHeight="1" x14ac:dyDescent="0.25">
      <c r="A11" s="13"/>
      <c r="B11" s="43">
        <v>5</v>
      </c>
      <c r="C11" s="51" t="s">
        <v>12</v>
      </c>
      <c r="D11" s="45">
        <v>91712000</v>
      </c>
      <c r="E11" s="45">
        <v>25410000</v>
      </c>
      <c r="F11" s="47"/>
      <c r="G11" s="47"/>
      <c r="H11" s="45">
        <v>1441079000</v>
      </c>
      <c r="I11" s="45">
        <f>22992000</f>
        <v>22992000</v>
      </c>
      <c r="J11" s="47"/>
      <c r="K11" s="47"/>
      <c r="L11" s="45">
        <f>22600000+60965000</f>
        <v>83565000</v>
      </c>
      <c r="M11" s="47">
        <f>16600000+8300000</f>
        <v>24900000</v>
      </c>
      <c r="N11" s="47"/>
      <c r="O11" s="47"/>
      <c r="P11" s="46">
        <f t="shared" si="4"/>
        <v>1616356000</v>
      </c>
      <c r="Q11" s="46">
        <f t="shared" si="5"/>
        <v>73302000</v>
      </c>
      <c r="R11" s="48">
        <f t="shared" si="6"/>
        <v>4.535015800974538E-2</v>
      </c>
      <c r="S11" s="45"/>
      <c r="T11" s="15"/>
      <c r="U11" s="15"/>
      <c r="V11" s="15"/>
      <c r="W11" s="15"/>
      <c r="X11" s="15"/>
      <c r="Y11" s="15"/>
      <c r="Z11" s="15"/>
      <c r="AA11" s="15"/>
      <c r="AB11" s="15"/>
    </row>
    <row r="12" spans="1:35" ht="23.25" customHeight="1" x14ac:dyDescent="0.25">
      <c r="A12" s="13"/>
      <c r="B12" s="43">
        <v>6</v>
      </c>
      <c r="C12" s="51" t="s">
        <v>13</v>
      </c>
      <c r="D12" s="45">
        <v>126570000</v>
      </c>
      <c r="E12" s="45">
        <v>29290000</v>
      </c>
      <c r="F12" s="47"/>
      <c r="G12" s="47"/>
      <c r="H12" s="45">
        <v>2560752000</v>
      </c>
      <c r="I12" s="45">
        <f>579700000+9288000</f>
        <v>588988000</v>
      </c>
      <c r="J12" s="45">
        <v>177000000</v>
      </c>
      <c r="K12" s="45">
        <f>48600000</f>
        <v>48600000</v>
      </c>
      <c r="L12" s="47">
        <f>115875000+80355000+430910000+1497500000+900000000</f>
        <v>3024640000</v>
      </c>
      <c r="M12" s="47">
        <f>10052000+14550000+217912800+15600000+585270000</f>
        <v>843384800</v>
      </c>
      <c r="N12" s="47"/>
      <c r="O12" s="47"/>
      <c r="P12" s="46">
        <f t="shared" si="4"/>
        <v>5888962000</v>
      </c>
      <c r="Q12" s="46">
        <f t="shared" si="5"/>
        <v>1510262800</v>
      </c>
      <c r="R12" s="48">
        <f t="shared" si="6"/>
        <v>0.25645653682261832</v>
      </c>
      <c r="S12" s="45">
        <v>5000000</v>
      </c>
      <c r="T12" s="15"/>
      <c r="U12" s="15"/>
      <c r="V12" s="15"/>
      <c r="W12" s="15"/>
      <c r="X12" s="15"/>
      <c r="Y12" s="15"/>
      <c r="Z12" s="15"/>
      <c r="AA12" s="15"/>
      <c r="AB12" s="15"/>
      <c r="AC12" s="39"/>
      <c r="AD12" s="38"/>
      <c r="AE12" s="38"/>
    </row>
    <row r="13" spans="1:35" ht="21" customHeight="1" x14ac:dyDescent="0.25">
      <c r="A13" s="13"/>
      <c r="B13" s="43">
        <v>7</v>
      </c>
      <c r="C13" s="51" t="s">
        <v>14</v>
      </c>
      <c r="D13" s="45">
        <v>88922000</v>
      </c>
      <c r="E13" s="45">
        <v>40000000</v>
      </c>
      <c r="F13" s="47"/>
      <c r="G13" s="47"/>
      <c r="H13" s="45">
        <v>1489496000</v>
      </c>
      <c r="I13" s="45">
        <v>387045000</v>
      </c>
      <c r="J13" s="47"/>
      <c r="K13" s="47"/>
      <c r="L13" s="47">
        <f>22600000+64780000</f>
        <v>87380000</v>
      </c>
      <c r="M13" s="47">
        <f>15000000+5000000</f>
        <v>20000000</v>
      </c>
      <c r="N13" s="47"/>
      <c r="O13" s="47"/>
      <c r="P13" s="46">
        <f t="shared" si="4"/>
        <v>1665798000</v>
      </c>
      <c r="Q13" s="46">
        <f t="shared" si="5"/>
        <v>447045000</v>
      </c>
      <c r="R13" s="48">
        <f t="shared" si="6"/>
        <v>0.2683668728141107</v>
      </c>
      <c r="S13" s="45">
        <v>1089496000</v>
      </c>
      <c r="T13" s="15"/>
      <c r="U13" s="15"/>
      <c r="V13" s="15"/>
      <c r="W13" s="35" t="e">
        <f t="shared" ref="W13:W79" si="10">#REF!-#REF!</f>
        <v>#REF!</v>
      </c>
      <c r="X13" s="15" t="e">
        <f t="shared" ref="X13:X79" si="11">#REF!/S13</f>
        <v>#REF!</v>
      </c>
      <c r="Y13" s="15"/>
      <c r="Z13" s="15"/>
      <c r="AA13" s="37">
        <v>1873398000</v>
      </c>
      <c r="AB13" s="15">
        <f t="shared" ref="AB13:AB79" si="12">AA13-S13</f>
        <v>783902000</v>
      </c>
      <c r="AC13" s="38"/>
      <c r="AD13" s="62">
        <v>1072924000</v>
      </c>
    </row>
    <row r="14" spans="1:35" ht="23.25" customHeight="1" x14ac:dyDescent="0.25">
      <c r="A14" s="30"/>
      <c r="B14" s="43">
        <v>8</v>
      </c>
      <c r="C14" s="51" t="s">
        <v>100</v>
      </c>
      <c r="D14" s="45">
        <v>103222000</v>
      </c>
      <c r="E14" s="45">
        <v>21330000</v>
      </c>
      <c r="F14" s="47"/>
      <c r="G14" s="47"/>
      <c r="H14" s="47"/>
      <c r="I14" s="47"/>
      <c r="J14" s="47"/>
      <c r="K14" s="47"/>
      <c r="L14" s="47">
        <f>22600000+72965000+1476500000+747500000</f>
        <v>2319565000</v>
      </c>
      <c r="M14" s="47">
        <f>6800000+19400000</f>
        <v>26200000</v>
      </c>
      <c r="N14" s="47">
        <f>659872000+1744500000</f>
        <v>2404372000</v>
      </c>
      <c r="O14" s="47"/>
      <c r="P14" s="46">
        <f t="shared" si="4"/>
        <v>4827159000</v>
      </c>
      <c r="Q14" s="46">
        <f t="shared" si="5"/>
        <v>47530000</v>
      </c>
      <c r="R14" s="48">
        <f t="shared" si="6"/>
        <v>9.8463713335317938E-3</v>
      </c>
      <c r="S14" s="45"/>
      <c r="T14" s="34">
        <v>549864000</v>
      </c>
      <c r="U14" s="34">
        <v>549864000</v>
      </c>
      <c r="V14" s="34" t="e">
        <f t="shared" ref="V14:V79" si="13">#REF!/S14</f>
        <v>#REF!</v>
      </c>
      <c r="W14" s="35" t="e">
        <f t="shared" si="10"/>
        <v>#REF!</v>
      </c>
      <c r="X14" s="15" t="e">
        <f t="shared" si="11"/>
        <v>#REF!</v>
      </c>
      <c r="Y14" s="36"/>
      <c r="Z14" s="34"/>
      <c r="AA14" s="37">
        <v>549864000</v>
      </c>
      <c r="AB14" s="15">
        <f t="shared" si="12"/>
        <v>549864000</v>
      </c>
      <c r="AC14" s="38"/>
      <c r="AD14" s="62">
        <v>231836000</v>
      </c>
      <c r="AE14" s="49"/>
      <c r="AF14" s="50"/>
      <c r="AG14" s="50"/>
      <c r="AH14" s="50"/>
      <c r="AI14" s="50"/>
    </row>
    <row r="15" spans="1:35" ht="22.5" customHeight="1" x14ac:dyDescent="0.25">
      <c r="A15" s="30"/>
      <c r="B15" s="43">
        <v>9</v>
      </c>
      <c r="C15" s="51" t="s">
        <v>16</v>
      </c>
      <c r="D15" s="45">
        <v>86114000</v>
      </c>
      <c r="E15" s="45">
        <v>21380000</v>
      </c>
      <c r="F15" s="47"/>
      <c r="G15" s="47"/>
      <c r="H15" s="45">
        <v>7440000</v>
      </c>
      <c r="I15" s="45"/>
      <c r="J15" s="47"/>
      <c r="K15" s="47"/>
      <c r="L15" s="47">
        <v>98600000</v>
      </c>
      <c r="M15" s="47">
        <v>18250000</v>
      </c>
      <c r="N15" s="47">
        <f>404876000+146500000</f>
        <v>551376000</v>
      </c>
      <c r="O15" s="47">
        <f>13200000+71120000</f>
        <v>84320000</v>
      </c>
      <c r="P15" s="46">
        <f t="shared" si="4"/>
        <v>743530000</v>
      </c>
      <c r="Q15" s="46">
        <f t="shared" si="5"/>
        <v>123950000</v>
      </c>
      <c r="R15" s="48">
        <f t="shared" si="6"/>
        <v>0.16670477317660351</v>
      </c>
      <c r="S15" s="45"/>
      <c r="T15" s="33">
        <v>1437189000</v>
      </c>
      <c r="U15" s="33">
        <v>1437189000</v>
      </c>
      <c r="V15" s="34" t="e">
        <f t="shared" si="13"/>
        <v>#REF!</v>
      </c>
      <c r="W15" s="35" t="e">
        <f t="shared" si="10"/>
        <v>#REF!</v>
      </c>
      <c r="X15" s="15" t="e">
        <f t="shared" si="11"/>
        <v>#REF!</v>
      </c>
      <c r="Y15" s="36"/>
      <c r="Z15" s="33"/>
      <c r="AA15" s="37">
        <v>1437189000</v>
      </c>
      <c r="AB15" s="15">
        <f t="shared" si="12"/>
        <v>1437189000</v>
      </c>
      <c r="AC15" s="39"/>
      <c r="AD15" s="39">
        <v>2222952000</v>
      </c>
      <c r="AE15" s="40"/>
      <c r="AF15" s="41"/>
      <c r="AG15" s="41"/>
      <c r="AH15" s="41"/>
      <c r="AI15" s="41"/>
    </row>
    <row r="16" spans="1:35" ht="22.5" customHeight="1" x14ac:dyDescent="0.25">
      <c r="A16" s="30"/>
      <c r="B16" s="43">
        <v>10</v>
      </c>
      <c r="C16" s="51" t="s">
        <v>17</v>
      </c>
      <c r="D16" s="45">
        <v>80852000</v>
      </c>
      <c r="E16" s="45">
        <v>10460000</v>
      </c>
      <c r="F16" s="47"/>
      <c r="G16" s="47"/>
      <c r="H16" s="47">
        <v>630424000</v>
      </c>
      <c r="I16" s="47"/>
      <c r="J16" s="47"/>
      <c r="K16" s="47"/>
      <c r="L16" s="47">
        <f>82600000+66905000+62020000</f>
        <v>211525000</v>
      </c>
      <c r="M16" s="47">
        <f>5100000+10050000</f>
        <v>15150000</v>
      </c>
      <c r="N16" s="47"/>
      <c r="O16" s="47"/>
      <c r="P16" s="46">
        <f t="shared" si="4"/>
        <v>922801000</v>
      </c>
      <c r="Q16" s="46">
        <f t="shared" si="5"/>
        <v>25610000</v>
      </c>
      <c r="R16" s="48">
        <f t="shared" si="6"/>
        <v>2.7752462340201192E-2</v>
      </c>
      <c r="S16" s="45">
        <v>5000000</v>
      </c>
      <c r="T16" s="34">
        <v>3481681000</v>
      </c>
      <c r="U16" s="45">
        <v>3481681000</v>
      </c>
      <c r="V16" s="34" t="e">
        <f t="shared" si="13"/>
        <v>#REF!</v>
      </c>
      <c r="W16" s="35" t="e">
        <f t="shared" si="10"/>
        <v>#REF!</v>
      </c>
      <c r="X16" s="15" t="e">
        <f t="shared" si="11"/>
        <v>#REF!</v>
      </c>
      <c r="Y16" s="36"/>
      <c r="Z16" s="34"/>
      <c r="AA16" s="37">
        <v>3481681000</v>
      </c>
      <c r="AB16" s="15">
        <f t="shared" si="12"/>
        <v>3476681000</v>
      </c>
      <c r="AC16" s="38"/>
      <c r="AD16" s="39">
        <v>1649356000</v>
      </c>
      <c r="AE16" s="49"/>
      <c r="AF16" s="50"/>
      <c r="AG16" s="50"/>
      <c r="AH16" s="50"/>
      <c r="AI16" s="50"/>
    </row>
    <row r="17" spans="1:35" ht="22.5" customHeight="1" x14ac:dyDescent="0.25">
      <c r="A17" s="30"/>
      <c r="B17" s="43">
        <v>11</v>
      </c>
      <c r="C17" s="51" t="s">
        <v>18</v>
      </c>
      <c r="D17" s="45">
        <v>100988000</v>
      </c>
      <c r="E17" s="45"/>
      <c r="F17" s="47"/>
      <c r="G17" s="47"/>
      <c r="H17" s="47">
        <f>23660000+517340000</f>
        <v>541000000</v>
      </c>
      <c r="I17" s="47"/>
      <c r="J17" s="45">
        <f>273444000+171275000</f>
        <v>444719000</v>
      </c>
      <c r="K17" s="45">
        <f>2954000</f>
        <v>2954000</v>
      </c>
      <c r="L17" s="47">
        <f>33840000+105200000+175780000+28360000+325000000+288830000</f>
        <v>957010000</v>
      </c>
      <c r="M17" s="47">
        <f>46800000+10200000</f>
        <v>57000000</v>
      </c>
      <c r="N17" s="47">
        <v>231600000</v>
      </c>
      <c r="O17" s="47"/>
      <c r="P17" s="46">
        <f t="shared" si="4"/>
        <v>2275317000</v>
      </c>
      <c r="Q17" s="46">
        <f t="shared" si="5"/>
        <v>59954000</v>
      </c>
      <c r="R17" s="48">
        <f t="shared" si="6"/>
        <v>2.6349735003957691E-2</v>
      </c>
      <c r="S17" s="45">
        <v>238835000</v>
      </c>
      <c r="T17" s="34">
        <v>8065873000</v>
      </c>
      <c r="U17" s="34">
        <v>8065873000</v>
      </c>
      <c r="V17" s="34" t="e">
        <f t="shared" si="13"/>
        <v>#REF!</v>
      </c>
      <c r="W17" s="35" t="e">
        <f t="shared" si="10"/>
        <v>#REF!</v>
      </c>
      <c r="X17" s="15" t="e">
        <f t="shared" si="11"/>
        <v>#REF!</v>
      </c>
      <c r="Y17" s="36"/>
      <c r="Z17" s="34"/>
      <c r="AA17" s="37">
        <v>8065873000</v>
      </c>
      <c r="AB17" s="15">
        <f t="shared" si="12"/>
        <v>7827038000</v>
      </c>
      <c r="AC17" s="38"/>
      <c r="AD17" s="39">
        <v>5923962000</v>
      </c>
      <c r="AE17" s="49"/>
      <c r="AF17" s="50"/>
      <c r="AG17" s="50"/>
      <c r="AH17" s="50"/>
      <c r="AI17" s="50"/>
    </row>
    <row r="18" spans="1:35" ht="22.5" customHeight="1" x14ac:dyDescent="0.25">
      <c r="A18" s="30"/>
      <c r="B18" s="43">
        <v>12</v>
      </c>
      <c r="C18" s="51" t="s">
        <v>19</v>
      </c>
      <c r="D18" s="45">
        <v>96782000</v>
      </c>
      <c r="E18" s="45"/>
      <c r="F18" s="47"/>
      <c r="G18" s="47"/>
      <c r="H18" s="47">
        <f>2030745000+58520000+910043000+159000000+143028000</f>
        <v>3301336000</v>
      </c>
      <c r="I18" s="47"/>
      <c r="J18" s="47">
        <f>59145000+25000000+15000000</f>
        <v>99145000</v>
      </c>
      <c r="K18" s="47"/>
      <c r="L18" s="47">
        <v>6400000</v>
      </c>
      <c r="M18" s="47"/>
      <c r="N18" s="47"/>
      <c r="O18" s="47"/>
      <c r="P18" s="46">
        <f t="shared" si="4"/>
        <v>3503663000</v>
      </c>
      <c r="Q18" s="46">
        <f t="shared" si="5"/>
        <v>0</v>
      </c>
      <c r="R18" s="48">
        <f t="shared" si="6"/>
        <v>0</v>
      </c>
      <c r="S18" s="45">
        <v>584612000</v>
      </c>
      <c r="T18" s="33">
        <v>12301634000</v>
      </c>
      <c r="U18" s="33">
        <v>12301634000</v>
      </c>
      <c r="V18" s="34" t="e">
        <f t="shared" si="13"/>
        <v>#REF!</v>
      </c>
      <c r="W18" s="35" t="e">
        <f t="shared" si="10"/>
        <v>#REF!</v>
      </c>
      <c r="X18" s="15" t="e">
        <f t="shared" si="11"/>
        <v>#REF!</v>
      </c>
      <c r="Y18" s="36"/>
      <c r="Z18" s="33"/>
      <c r="AA18" s="37">
        <v>12342434000</v>
      </c>
      <c r="AB18" s="15">
        <f t="shared" si="12"/>
        <v>11757822000</v>
      </c>
      <c r="AC18" s="38"/>
      <c r="AD18" s="39">
        <v>1665798000</v>
      </c>
      <c r="AE18" s="40"/>
      <c r="AF18" s="41"/>
      <c r="AG18" s="41"/>
      <c r="AH18" s="41"/>
      <c r="AI18" s="41"/>
    </row>
    <row r="19" spans="1:35" ht="22.5" customHeight="1" x14ac:dyDescent="0.25">
      <c r="A19" s="30"/>
      <c r="B19" s="43">
        <v>13</v>
      </c>
      <c r="C19" s="51" t="s">
        <v>20</v>
      </c>
      <c r="D19" s="45">
        <v>95438000</v>
      </c>
      <c r="E19" s="45">
        <v>34964400</v>
      </c>
      <c r="F19" s="47"/>
      <c r="G19" s="47"/>
      <c r="H19" s="47"/>
      <c r="I19" s="47"/>
      <c r="J19" s="47"/>
      <c r="K19" s="47"/>
      <c r="L19" s="47">
        <f>22600000+75640000+85000000+495000000</f>
        <v>678240000</v>
      </c>
      <c r="M19" s="47">
        <f>45840000+7800000</f>
        <v>53640000</v>
      </c>
      <c r="N19" s="47">
        <f>178800000+720000000</f>
        <v>898800000</v>
      </c>
      <c r="O19" s="47"/>
      <c r="P19" s="46">
        <f t="shared" si="4"/>
        <v>1672478000</v>
      </c>
      <c r="Q19" s="46">
        <f t="shared" si="5"/>
        <v>88604400</v>
      </c>
      <c r="R19" s="48">
        <f t="shared" si="6"/>
        <v>5.2977916600397731E-2</v>
      </c>
      <c r="S19" s="45"/>
      <c r="T19" s="34">
        <v>654956000</v>
      </c>
      <c r="U19" s="34">
        <v>654956000</v>
      </c>
      <c r="V19" s="34" t="e">
        <f t="shared" si="13"/>
        <v>#REF!</v>
      </c>
      <c r="W19" s="35" t="e">
        <f t="shared" si="10"/>
        <v>#REF!</v>
      </c>
      <c r="X19" s="15" t="e">
        <f t="shared" si="11"/>
        <v>#REF!</v>
      </c>
      <c r="Y19" s="36"/>
      <c r="Z19" s="34"/>
      <c r="AA19" s="37">
        <v>693986000</v>
      </c>
      <c r="AB19" s="15">
        <f t="shared" si="12"/>
        <v>693986000</v>
      </c>
      <c r="AC19" s="38"/>
      <c r="AD19" s="39">
        <v>4832409000</v>
      </c>
      <c r="AE19" s="49"/>
      <c r="AF19" s="50"/>
      <c r="AG19" s="50"/>
      <c r="AH19" s="50"/>
      <c r="AI19" s="50"/>
    </row>
    <row r="20" spans="1:35" ht="22.5" customHeight="1" x14ac:dyDescent="0.25">
      <c r="A20" s="30"/>
      <c r="B20" s="43">
        <v>14</v>
      </c>
      <c r="C20" s="63" t="s">
        <v>21</v>
      </c>
      <c r="D20" s="64">
        <v>64726000</v>
      </c>
      <c r="E20" s="64">
        <v>10400000</v>
      </c>
      <c r="F20" s="65"/>
      <c r="G20" s="65"/>
      <c r="H20" s="65"/>
      <c r="I20" s="65"/>
      <c r="J20" s="65"/>
      <c r="K20" s="65"/>
      <c r="L20" s="65">
        <f>34980000+44520000</f>
        <v>79500000</v>
      </c>
      <c r="M20" s="65"/>
      <c r="N20" s="65">
        <v>105600000</v>
      </c>
      <c r="O20" s="65">
        <v>19600000</v>
      </c>
      <c r="P20" s="46">
        <f t="shared" si="4"/>
        <v>249826000</v>
      </c>
      <c r="Q20" s="46">
        <f t="shared" si="5"/>
        <v>30000000</v>
      </c>
      <c r="R20" s="48">
        <f t="shared" si="6"/>
        <v>0.1200835781704066</v>
      </c>
      <c r="S20" s="64">
        <v>9240000</v>
      </c>
      <c r="T20" s="34">
        <v>737369000</v>
      </c>
      <c r="U20" s="34">
        <v>737369000</v>
      </c>
      <c r="V20" s="34" t="e">
        <f t="shared" si="13"/>
        <v>#REF!</v>
      </c>
      <c r="W20" s="35" t="e">
        <f t="shared" si="10"/>
        <v>#REF!</v>
      </c>
      <c r="X20" s="15" t="e">
        <f t="shared" si="11"/>
        <v>#REF!</v>
      </c>
      <c r="Y20" s="36"/>
      <c r="Z20" s="34"/>
      <c r="AA20" s="37">
        <v>737369000</v>
      </c>
      <c r="AB20" s="15">
        <f t="shared" si="12"/>
        <v>728129000</v>
      </c>
      <c r="AC20" s="38"/>
      <c r="AD20" s="39">
        <v>614311000</v>
      </c>
      <c r="AE20" s="49"/>
      <c r="AF20" s="50"/>
      <c r="AG20" s="50"/>
      <c r="AH20" s="50"/>
      <c r="AI20" s="50"/>
    </row>
    <row r="21" spans="1:35" ht="22.5" customHeight="1" x14ac:dyDescent="0.25">
      <c r="A21" s="30"/>
      <c r="B21" s="43">
        <v>15</v>
      </c>
      <c r="C21" s="51" t="s">
        <v>22</v>
      </c>
      <c r="D21" s="45">
        <v>65470000</v>
      </c>
      <c r="E21" s="45"/>
      <c r="F21" s="47"/>
      <c r="G21" s="47"/>
      <c r="H21" s="47"/>
      <c r="I21" s="47"/>
      <c r="J21" s="47"/>
      <c r="K21" s="47"/>
      <c r="L21" s="47">
        <f>22600000+58914000+55440000</f>
        <v>136954000</v>
      </c>
      <c r="M21" s="47"/>
      <c r="N21" s="47"/>
      <c r="O21" s="47"/>
      <c r="P21" s="46">
        <f t="shared" si="4"/>
        <v>202424000</v>
      </c>
      <c r="Q21" s="46">
        <f t="shared" si="5"/>
        <v>0</v>
      </c>
      <c r="R21" s="48">
        <f t="shared" si="6"/>
        <v>0</v>
      </c>
      <c r="S21" s="45">
        <v>14340000</v>
      </c>
      <c r="T21" s="34">
        <v>1740432000</v>
      </c>
      <c r="U21" s="34">
        <v>1740432000</v>
      </c>
      <c r="V21" s="34" t="e">
        <f t="shared" si="13"/>
        <v>#REF!</v>
      </c>
      <c r="W21" s="35" t="e">
        <f t="shared" si="10"/>
        <v>#REF!</v>
      </c>
      <c r="X21" s="15" t="e">
        <f t="shared" si="11"/>
        <v>#REF!</v>
      </c>
      <c r="Y21" s="36"/>
      <c r="Z21" s="34"/>
      <c r="AA21" s="37">
        <v>1740432000</v>
      </c>
      <c r="AB21" s="15">
        <f t="shared" si="12"/>
        <v>1726092000</v>
      </c>
      <c r="AC21" s="38"/>
      <c r="AD21" s="39">
        <v>945801000</v>
      </c>
      <c r="AE21" s="49"/>
      <c r="AF21" s="50"/>
      <c r="AG21" s="50"/>
      <c r="AH21" s="50"/>
      <c r="AI21" s="50"/>
    </row>
    <row r="22" spans="1:35" ht="22.5" customHeight="1" x14ac:dyDescent="0.25">
      <c r="A22" s="30"/>
      <c r="B22" s="43">
        <v>16</v>
      </c>
      <c r="C22" s="51" t="s">
        <v>23</v>
      </c>
      <c r="D22" s="45">
        <v>103519000</v>
      </c>
      <c r="E22" s="45"/>
      <c r="F22" s="47"/>
      <c r="G22" s="47"/>
      <c r="H22" s="47"/>
      <c r="I22" s="47"/>
      <c r="J22" s="47">
        <f>601277000</f>
        <v>601277000</v>
      </c>
      <c r="K22" s="47"/>
      <c r="L22" s="45">
        <v>64420000</v>
      </c>
      <c r="M22" s="47"/>
      <c r="N22" s="47">
        <f>52800000+1523000000</f>
        <v>1575800000</v>
      </c>
      <c r="O22" s="47"/>
      <c r="P22" s="46">
        <f t="shared" si="4"/>
        <v>2345016000</v>
      </c>
      <c r="Q22" s="46">
        <f t="shared" si="5"/>
        <v>0</v>
      </c>
      <c r="R22" s="48">
        <f t="shared" si="6"/>
        <v>0</v>
      </c>
      <c r="S22" s="45">
        <v>178832000</v>
      </c>
      <c r="T22" s="34">
        <v>359038000</v>
      </c>
      <c r="U22" s="34">
        <v>359038000</v>
      </c>
      <c r="V22" s="34" t="e">
        <f t="shared" si="13"/>
        <v>#REF!</v>
      </c>
      <c r="W22" s="35" t="e">
        <f t="shared" si="10"/>
        <v>#REF!</v>
      </c>
      <c r="X22" s="15" t="e">
        <f t="shared" si="11"/>
        <v>#REF!</v>
      </c>
      <c r="Y22" s="36"/>
      <c r="Z22" s="34"/>
      <c r="AA22" s="37">
        <v>359038000</v>
      </c>
      <c r="AB22" s="15">
        <f t="shared" si="12"/>
        <v>180206000</v>
      </c>
      <c r="AC22" s="38"/>
      <c r="AD22" s="39">
        <v>2268233000</v>
      </c>
      <c r="AE22" s="49"/>
      <c r="AF22" s="50"/>
      <c r="AG22" s="50"/>
      <c r="AH22" s="50"/>
      <c r="AI22" s="50"/>
    </row>
    <row r="23" spans="1:35" ht="22.5" customHeight="1" x14ac:dyDescent="0.25">
      <c r="A23" s="30"/>
      <c r="B23" s="43">
        <v>17</v>
      </c>
      <c r="C23" s="51" t="s">
        <v>24</v>
      </c>
      <c r="D23" s="45">
        <v>64282000</v>
      </c>
      <c r="E23" s="45">
        <v>11740000</v>
      </c>
      <c r="F23" s="47"/>
      <c r="G23" s="47"/>
      <c r="H23" s="47"/>
      <c r="I23" s="47"/>
      <c r="J23" s="47"/>
      <c r="K23" s="47"/>
      <c r="L23" s="47">
        <f>22600000+72690000+40700000</f>
        <v>135990000</v>
      </c>
      <c r="M23" s="47">
        <f>7500000+14550000+2000000</f>
        <v>24050000</v>
      </c>
      <c r="N23" s="47"/>
      <c r="O23" s="47"/>
      <c r="P23" s="46">
        <f t="shared" si="4"/>
        <v>200272000</v>
      </c>
      <c r="Q23" s="46">
        <f t="shared" si="5"/>
        <v>35790000</v>
      </c>
      <c r="R23" s="48">
        <f t="shared" si="6"/>
        <v>0.17870695853639051</v>
      </c>
      <c r="S23" s="45"/>
      <c r="T23" s="34">
        <v>2783604000</v>
      </c>
      <c r="U23" s="34">
        <v>2783604000</v>
      </c>
      <c r="V23" s="34" t="e">
        <f t="shared" si="13"/>
        <v>#REF!</v>
      </c>
      <c r="W23" s="35" t="e">
        <f t="shared" si="10"/>
        <v>#REF!</v>
      </c>
      <c r="X23" s="15" t="e">
        <f t="shared" si="11"/>
        <v>#REF!</v>
      </c>
      <c r="Y23" s="36"/>
      <c r="Z23" s="34"/>
      <c r="AA23" s="37">
        <v>2783604000</v>
      </c>
      <c r="AB23" s="15">
        <f t="shared" si="12"/>
        <v>2783604000</v>
      </c>
      <c r="AC23" s="39"/>
      <c r="AD23" s="39">
        <v>3498663000</v>
      </c>
      <c r="AE23" s="49"/>
      <c r="AF23" s="50"/>
      <c r="AG23" s="50"/>
      <c r="AH23" s="50"/>
      <c r="AI23" s="50"/>
    </row>
    <row r="24" spans="1:35" ht="21" customHeight="1" x14ac:dyDescent="0.25">
      <c r="A24" s="30"/>
      <c r="B24" s="43">
        <v>18</v>
      </c>
      <c r="C24" s="51" t="s">
        <v>101</v>
      </c>
      <c r="D24" s="45">
        <v>92642000</v>
      </c>
      <c r="E24" s="45"/>
      <c r="F24" s="47"/>
      <c r="G24" s="47"/>
      <c r="H24" s="47"/>
      <c r="I24" s="47"/>
      <c r="J24" s="47"/>
      <c r="K24" s="47"/>
      <c r="L24" s="47">
        <f>22600000+62470000+1458745000</f>
        <v>1543815000</v>
      </c>
      <c r="M24" s="47"/>
      <c r="N24" s="47"/>
      <c r="O24" s="47"/>
      <c r="P24" s="46">
        <f t="shared" si="4"/>
        <v>1636457000</v>
      </c>
      <c r="Q24" s="46">
        <f t="shared" si="5"/>
        <v>0</v>
      </c>
      <c r="R24" s="48">
        <f t="shared" si="6"/>
        <v>0</v>
      </c>
      <c r="S24" s="45"/>
      <c r="T24" s="66">
        <v>1500800000</v>
      </c>
      <c r="U24" s="66">
        <v>1500800000</v>
      </c>
      <c r="V24" s="34" t="e">
        <f t="shared" si="13"/>
        <v>#REF!</v>
      </c>
      <c r="W24" s="35" t="e">
        <f t="shared" si="10"/>
        <v>#REF!</v>
      </c>
      <c r="X24" s="15" t="e">
        <f t="shared" si="11"/>
        <v>#REF!</v>
      </c>
      <c r="Y24" s="36"/>
      <c r="Z24" s="66"/>
      <c r="AA24" s="37">
        <v>1500800000</v>
      </c>
      <c r="AB24" s="15">
        <f t="shared" si="12"/>
        <v>1500800000</v>
      </c>
      <c r="AC24" s="38"/>
      <c r="AD24" s="39">
        <v>1546478000</v>
      </c>
      <c r="AE24" s="54"/>
      <c r="AF24" s="55"/>
      <c r="AG24" s="55"/>
      <c r="AH24" s="55"/>
      <c r="AI24" s="55"/>
    </row>
    <row r="25" spans="1:35" ht="22.5" customHeight="1" x14ac:dyDescent="0.25">
      <c r="A25" s="67"/>
      <c r="B25" s="43">
        <v>19</v>
      </c>
      <c r="C25" s="51" t="s">
        <v>26</v>
      </c>
      <c r="D25" s="45">
        <v>97939000</v>
      </c>
      <c r="E25" s="45"/>
      <c r="F25" s="47"/>
      <c r="G25" s="47"/>
      <c r="H25" s="47"/>
      <c r="I25" s="47"/>
      <c r="J25" s="47"/>
      <c r="K25" s="47"/>
      <c r="L25" s="47">
        <f>22600000+80090000</f>
        <v>102690000</v>
      </c>
      <c r="M25" s="47"/>
      <c r="N25" s="47">
        <f>126000000+1993200000</f>
        <v>2119200000</v>
      </c>
      <c r="O25" s="47"/>
      <c r="P25" s="46">
        <f t="shared" si="4"/>
        <v>2319829000</v>
      </c>
      <c r="Q25" s="46">
        <f t="shared" si="5"/>
        <v>0</v>
      </c>
      <c r="R25" s="48">
        <f t="shared" si="6"/>
        <v>0</v>
      </c>
      <c r="S25" s="45">
        <v>150000000</v>
      </c>
      <c r="T25" s="68">
        <v>679257000</v>
      </c>
      <c r="U25" s="68">
        <v>679257000</v>
      </c>
      <c r="V25" s="68" t="e">
        <f t="shared" si="13"/>
        <v>#REF!</v>
      </c>
      <c r="W25" s="69" t="e">
        <f t="shared" si="10"/>
        <v>#REF!</v>
      </c>
      <c r="X25" s="70" t="e">
        <f t="shared" si="11"/>
        <v>#REF!</v>
      </c>
      <c r="Y25" s="68"/>
      <c r="Z25" s="68"/>
      <c r="AA25" s="71">
        <v>679257000</v>
      </c>
      <c r="AB25" s="70">
        <f t="shared" si="12"/>
        <v>529257000</v>
      </c>
      <c r="AC25" s="72"/>
      <c r="AD25" s="39">
        <v>249826000</v>
      </c>
      <c r="AE25" s="73"/>
      <c r="AF25" s="74"/>
      <c r="AG25" s="74"/>
      <c r="AH25" s="74"/>
      <c r="AI25" s="74"/>
    </row>
    <row r="26" spans="1:35" ht="22.5" customHeight="1" x14ac:dyDescent="0.25">
      <c r="A26" s="30"/>
      <c r="B26" s="43">
        <v>20</v>
      </c>
      <c r="C26" s="51" t="s">
        <v>102</v>
      </c>
      <c r="D26" s="45">
        <v>103862000</v>
      </c>
      <c r="E26" s="47"/>
      <c r="F26" s="47"/>
      <c r="G26" s="47"/>
      <c r="H26" s="45"/>
      <c r="I26" s="45"/>
      <c r="J26" s="47"/>
      <c r="K26" s="47"/>
      <c r="L26" s="47">
        <f>82600000+75310000+62130000+2500000000</f>
        <v>2720040000</v>
      </c>
      <c r="M26" s="47"/>
      <c r="N26" s="47">
        <f>2094000000+1037940000</f>
        <v>3131940000</v>
      </c>
      <c r="O26" s="47">
        <v>463800000</v>
      </c>
      <c r="P26" s="46">
        <f t="shared" si="4"/>
        <v>5955842000</v>
      </c>
      <c r="Q26" s="46">
        <f t="shared" si="5"/>
        <v>463800000</v>
      </c>
      <c r="R26" s="48">
        <f t="shared" si="6"/>
        <v>7.7873120207016908E-2</v>
      </c>
      <c r="S26" s="45">
        <v>653000000</v>
      </c>
      <c r="T26" s="33">
        <v>1883422000</v>
      </c>
      <c r="U26" s="45">
        <v>1883422000</v>
      </c>
      <c r="V26" s="34" t="e">
        <f t="shared" si="13"/>
        <v>#REF!</v>
      </c>
      <c r="W26" s="35" t="e">
        <f t="shared" si="10"/>
        <v>#REF!</v>
      </c>
      <c r="X26" s="15" t="e">
        <f t="shared" si="11"/>
        <v>#REF!</v>
      </c>
      <c r="Y26" s="36"/>
      <c r="Z26" s="33"/>
      <c r="AA26" s="37">
        <v>1883422000</v>
      </c>
      <c r="AB26" s="15">
        <f t="shared" si="12"/>
        <v>1230422000</v>
      </c>
      <c r="AC26" s="39"/>
      <c r="AD26" s="39">
        <v>202424000</v>
      </c>
      <c r="AE26" s="40"/>
      <c r="AF26" s="41"/>
      <c r="AG26" s="41"/>
      <c r="AH26" s="41"/>
      <c r="AI26" s="41"/>
    </row>
    <row r="27" spans="1:35" ht="22.5" customHeight="1" x14ac:dyDescent="0.25">
      <c r="A27" s="30"/>
      <c r="B27" s="43">
        <v>21</v>
      </c>
      <c r="C27" s="51" t="s">
        <v>28</v>
      </c>
      <c r="D27" s="45">
        <v>64862000</v>
      </c>
      <c r="E27" s="45">
        <f>7940000</f>
        <v>7940000</v>
      </c>
      <c r="F27" s="45"/>
      <c r="G27" s="45"/>
      <c r="H27" s="45"/>
      <c r="I27" s="45"/>
      <c r="J27" s="45"/>
      <c r="K27" s="45"/>
      <c r="L27" s="45">
        <v>161490000</v>
      </c>
      <c r="M27" s="45">
        <v>6740000</v>
      </c>
      <c r="N27" s="45">
        <v>52800000</v>
      </c>
      <c r="O27" s="45">
        <v>10200000</v>
      </c>
      <c r="P27" s="46">
        <f t="shared" si="4"/>
        <v>279152000</v>
      </c>
      <c r="Q27" s="46">
        <f t="shared" si="5"/>
        <v>24880000</v>
      </c>
      <c r="R27" s="48">
        <f t="shared" si="6"/>
        <v>8.9127070556542676E-2</v>
      </c>
      <c r="S27" s="75">
        <v>119390000</v>
      </c>
      <c r="T27" s="33">
        <v>125928526000</v>
      </c>
      <c r="U27" s="33">
        <v>125928526000</v>
      </c>
      <c r="V27" s="34" t="e">
        <f t="shared" si="13"/>
        <v>#REF!</v>
      </c>
      <c r="W27" s="35" t="e">
        <f t="shared" si="10"/>
        <v>#REF!</v>
      </c>
      <c r="X27" s="15" t="e">
        <f t="shared" si="11"/>
        <v>#REF!</v>
      </c>
      <c r="Y27" s="36">
        <v>30695375329</v>
      </c>
      <c r="Z27" s="33" t="e">
        <f>#REF!-Y27</f>
        <v>#REF!</v>
      </c>
      <c r="AA27" s="37">
        <v>125928526000</v>
      </c>
      <c r="AB27" s="15">
        <f t="shared" si="12"/>
        <v>125809136000</v>
      </c>
      <c r="AC27" s="38"/>
      <c r="AD27" s="39">
        <v>2558216000</v>
      </c>
      <c r="AE27" s="76"/>
      <c r="AF27" s="77"/>
      <c r="AG27" s="41"/>
      <c r="AH27" s="41"/>
      <c r="AI27" s="41"/>
    </row>
    <row r="28" spans="1:35" ht="22.5" customHeight="1" x14ac:dyDescent="0.25">
      <c r="A28" s="30"/>
      <c r="B28" s="43">
        <v>22</v>
      </c>
      <c r="C28" s="51" t="s">
        <v>29</v>
      </c>
      <c r="D28" s="45">
        <v>74152000</v>
      </c>
      <c r="E28" s="45"/>
      <c r="F28" s="47"/>
      <c r="G28" s="47"/>
      <c r="H28" s="47"/>
      <c r="I28" s="47"/>
      <c r="J28" s="47">
        <f>777848000</f>
        <v>777848000</v>
      </c>
      <c r="K28" s="47"/>
      <c r="L28" s="47"/>
      <c r="M28" s="47"/>
      <c r="N28" s="45"/>
      <c r="O28" s="45"/>
      <c r="P28" s="46">
        <f t="shared" si="4"/>
        <v>852000000</v>
      </c>
      <c r="Q28" s="46">
        <f t="shared" si="5"/>
        <v>0</v>
      </c>
      <c r="R28" s="48">
        <f t="shared" si="6"/>
        <v>0</v>
      </c>
      <c r="S28" s="45">
        <v>90690000</v>
      </c>
      <c r="T28" s="78">
        <v>16891400000</v>
      </c>
      <c r="U28" s="33">
        <v>16891400000</v>
      </c>
      <c r="V28" s="34" t="e">
        <f t="shared" si="13"/>
        <v>#REF!</v>
      </c>
      <c r="W28" s="35" t="e">
        <f t="shared" si="10"/>
        <v>#REF!</v>
      </c>
      <c r="X28" s="15" t="e">
        <f t="shared" si="11"/>
        <v>#REF!</v>
      </c>
      <c r="Y28" s="36"/>
      <c r="Z28" s="33"/>
      <c r="AA28" s="37">
        <v>16891400000</v>
      </c>
      <c r="AB28" s="15">
        <f t="shared" si="12"/>
        <v>16800710000</v>
      </c>
      <c r="AC28" s="38"/>
      <c r="AD28" s="39">
        <v>200272000</v>
      </c>
      <c r="AE28" s="40"/>
      <c r="AF28" s="41"/>
      <c r="AG28" s="41"/>
      <c r="AH28" s="41"/>
      <c r="AI28" s="41"/>
    </row>
    <row r="29" spans="1:35" ht="22.5" customHeight="1" x14ac:dyDescent="0.25">
      <c r="A29" s="30"/>
      <c r="B29" s="43">
        <v>23</v>
      </c>
      <c r="C29" s="51" t="s">
        <v>30</v>
      </c>
      <c r="D29" s="47">
        <v>85292000</v>
      </c>
      <c r="E29" s="47"/>
      <c r="F29" s="47"/>
      <c r="G29" s="47"/>
      <c r="H29" s="47"/>
      <c r="I29" s="47"/>
      <c r="J29" s="47">
        <v>1203812000</v>
      </c>
      <c r="K29" s="47"/>
      <c r="L29" s="47"/>
      <c r="M29" s="47"/>
      <c r="N29" s="47"/>
      <c r="O29" s="47"/>
      <c r="P29" s="46">
        <f t="shared" si="4"/>
        <v>1289104000</v>
      </c>
      <c r="Q29" s="46">
        <f t="shared" si="5"/>
        <v>0</v>
      </c>
      <c r="R29" s="48">
        <f t="shared" si="6"/>
        <v>0</v>
      </c>
      <c r="S29" s="45">
        <v>212474000</v>
      </c>
      <c r="T29" s="33">
        <v>354109000</v>
      </c>
      <c r="U29" s="33">
        <v>354109000</v>
      </c>
      <c r="V29" s="34" t="e">
        <f t="shared" si="13"/>
        <v>#REF!</v>
      </c>
      <c r="W29" s="35" t="e">
        <f t="shared" si="10"/>
        <v>#REF!</v>
      </c>
      <c r="X29" s="15" t="e">
        <f t="shared" si="11"/>
        <v>#REF!</v>
      </c>
      <c r="Y29" s="36"/>
      <c r="Z29" s="33"/>
      <c r="AA29" s="37">
        <v>354109000</v>
      </c>
      <c r="AB29" s="15">
        <f t="shared" si="12"/>
        <v>141635000</v>
      </c>
      <c r="AC29" s="38"/>
      <c r="AD29" s="39">
        <v>1637457000</v>
      </c>
      <c r="AE29" s="40"/>
      <c r="AF29" s="41"/>
      <c r="AG29" s="41"/>
      <c r="AH29" s="41"/>
      <c r="AI29" s="41"/>
    </row>
    <row r="30" spans="1:35" ht="22.5" customHeight="1" x14ac:dyDescent="0.25">
      <c r="A30" s="30"/>
      <c r="B30" s="43">
        <v>24</v>
      </c>
      <c r="C30" s="51" t="s">
        <v>31</v>
      </c>
      <c r="D30" s="47">
        <v>91054000</v>
      </c>
      <c r="E30" s="47">
        <v>18360000</v>
      </c>
      <c r="F30" s="47"/>
      <c r="G30" s="47"/>
      <c r="H30" s="47"/>
      <c r="I30" s="47"/>
      <c r="J30" s="47">
        <v>1294080000</v>
      </c>
      <c r="K30" s="47">
        <v>31320000</v>
      </c>
      <c r="L30" s="47"/>
      <c r="M30" s="47"/>
      <c r="N30" s="47"/>
      <c r="O30" s="47"/>
      <c r="P30" s="46">
        <f t="shared" si="4"/>
        <v>1385134000</v>
      </c>
      <c r="Q30" s="46">
        <f t="shared" si="5"/>
        <v>49680000</v>
      </c>
      <c r="R30" s="48">
        <f t="shared" si="6"/>
        <v>3.5866565978454071E-2</v>
      </c>
      <c r="S30" s="45">
        <v>194616000</v>
      </c>
      <c r="T30" s="34">
        <v>2011508000</v>
      </c>
      <c r="U30" s="34">
        <v>2011508000</v>
      </c>
      <c r="V30" s="34" t="e">
        <f t="shared" si="13"/>
        <v>#REF!</v>
      </c>
      <c r="W30" s="35" t="e">
        <f t="shared" si="10"/>
        <v>#REF!</v>
      </c>
      <c r="X30" s="15" t="e">
        <f t="shared" si="11"/>
        <v>#REF!</v>
      </c>
      <c r="Y30" s="36"/>
      <c r="Z30" s="34"/>
      <c r="AA30" s="37">
        <v>2011508000</v>
      </c>
      <c r="AB30" s="15">
        <f t="shared" si="12"/>
        <v>1816892000</v>
      </c>
      <c r="AC30" s="38"/>
      <c r="AD30" s="39">
        <v>2195829000</v>
      </c>
      <c r="AE30" s="49"/>
      <c r="AF30" s="50"/>
      <c r="AG30" s="50"/>
      <c r="AH30" s="50"/>
      <c r="AI30" s="50"/>
    </row>
    <row r="31" spans="1:35" ht="24.75" customHeight="1" x14ac:dyDescent="0.25">
      <c r="A31" s="30"/>
      <c r="B31" s="43">
        <v>25</v>
      </c>
      <c r="C31" s="51" t="s">
        <v>32</v>
      </c>
      <c r="D31" s="47">
        <v>92204000</v>
      </c>
      <c r="E31" s="47"/>
      <c r="F31" s="47"/>
      <c r="G31" s="47"/>
      <c r="H31" s="47"/>
      <c r="I31" s="47"/>
      <c r="J31" s="47">
        <v>1925659000</v>
      </c>
      <c r="K31" s="47"/>
      <c r="L31" s="47"/>
      <c r="M31" s="47"/>
      <c r="N31" s="47"/>
      <c r="O31" s="47"/>
      <c r="P31" s="46">
        <f t="shared" si="4"/>
        <v>2017863000</v>
      </c>
      <c r="Q31" s="46">
        <f t="shared" si="5"/>
        <v>0</v>
      </c>
      <c r="R31" s="48">
        <f t="shared" si="6"/>
        <v>0</v>
      </c>
      <c r="S31" s="45">
        <v>644490000</v>
      </c>
      <c r="T31" s="66">
        <v>2155783000</v>
      </c>
      <c r="U31" s="66">
        <v>2155783000</v>
      </c>
      <c r="V31" s="34" t="e">
        <f t="shared" si="13"/>
        <v>#REF!</v>
      </c>
      <c r="W31" s="35" t="e">
        <f t="shared" si="10"/>
        <v>#REF!</v>
      </c>
      <c r="X31" s="15" t="e">
        <f t="shared" si="11"/>
        <v>#REF!</v>
      </c>
      <c r="Y31" s="36"/>
      <c r="Z31" s="66"/>
      <c r="AA31" s="37">
        <v>2155783000</v>
      </c>
      <c r="AB31" s="15">
        <f t="shared" si="12"/>
        <v>1511293000</v>
      </c>
      <c r="AC31" s="38"/>
      <c r="AD31" s="39">
        <v>5955842000</v>
      </c>
      <c r="AE31" s="54"/>
      <c r="AF31" s="55"/>
      <c r="AG31" s="55"/>
      <c r="AH31" s="55"/>
      <c r="AI31" s="55"/>
    </row>
    <row r="32" spans="1:35" ht="22.5" customHeight="1" x14ac:dyDescent="0.25">
      <c r="A32" s="30"/>
      <c r="B32" s="43">
        <v>26</v>
      </c>
      <c r="C32" s="51" t="s">
        <v>33</v>
      </c>
      <c r="D32" s="47">
        <v>90338000</v>
      </c>
      <c r="E32" s="47">
        <v>10020000</v>
      </c>
      <c r="F32" s="47"/>
      <c r="G32" s="47"/>
      <c r="H32" s="47"/>
      <c r="I32" s="47"/>
      <c r="J32" s="47">
        <v>2171990000</v>
      </c>
      <c r="K32" s="47">
        <v>136755800</v>
      </c>
      <c r="L32" s="47"/>
      <c r="M32" s="47"/>
      <c r="N32" s="47"/>
      <c r="O32" s="47"/>
      <c r="P32" s="46">
        <f t="shared" si="4"/>
        <v>2262328000</v>
      </c>
      <c r="Q32" s="46">
        <f t="shared" si="5"/>
        <v>146775800</v>
      </c>
      <c r="R32" s="48">
        <f t="shared" si="6"/>
        <v>6.4878213945988375E-2</v>
      </c>
      <c r="S32" s="45">
        <v>254174000</v>
      </c>
      <c r="T32" s="33">
        <v>920666000</v>
      </c>
      <c r="U32" s="33">
        <v>920666000</v>
      </c>
      <c r="V32" s="34" t="e">
        <f t="shared" si="13"/>
        <v>#REF!</v>
      </c>
      <c r="W32" s="35" t="e">
        <f t="shared" si="10"/>
        <v>#REF!</v>
      </c>
      <c r="X32" s="15" t="e">
        <f t="shared" si="11"/>
        <v>#REF!</v>
      </c>
      <c r="Y32" s="36"/>
      <c r="Z32" s="33"/>
      <c r="AA32" s="37">
        <v>920666000</v>
      </c>
      <c r="AB32" s="15">
        <f t="shared" si="12"/>
        <v>666492000</v>
      </c>
      <c r="AC32" s="79"/>
      <c r="AD32" s="39">
        <v>279152000</v>
      </c>
      <c r="AE32" s="40"/>
      <c r="AF32" s="41"/>
      <c r="AG32" s="41"/>
      <c r="AH32" s="41"/>
      <c r="AI32" s="41"/>
    </row>
    <row r="33" spans="1:35" ht="22.5" customHeight="1" x14ac:dyDescent="0.25">
      <c r="A33" s="30"/>
      <c r="B33" s="43">
        <v>27</v>
      </c>
      <c r="C33" s="51" t="s">
        <v>34</v>
      </c>
      <c r="D33" s="47">
        <v>99137000</v>
      </c>
      <c r="E33" s="47">
        <v>28941100</v>
      </c>
      <c r="F33" s="47"/>
      <c r="G33" s="47"/>
      <c r="H33" s="47">
        <v>7592000</v>
      </c>
      <c r="I33" s="47"/>
      <c r="J33" s="47"/>
      <c r="K33" s="47"/>
      <c r="L33" s="47">
        <f>36360000+278200000+486000000+250000000+47880000+127500000</f>
        <v>1225940000</v>
      </c>
      <c r="M33" s="47">
        <f>39700000+36666600+3240000</f>
        <v>79606600</v>
      </c>
      <c r="N33" s="47">
        <f>180000000+352266000</f>
        <v>532266000</v>
      </c>
      <c r="O33" s="47">
        <f>161540000+53955000</f>
        <v>215495000</v>
      </c>
      <c r="P33" s="46">
        <f t="shared" si="4"/>
        <v>1864935000</v>
      </c>
      <c r="Q33" s="46">
        <f t="shared" si="5"/>
        <v>324042700</v>
      </c>
      <c r="R33" s="48">
        <f t="shared" si="6"/>
        <v>0.17375549281878458</v>
      </c>
      <c r="S33" s="45">
        <v>267180000</v>
      </c>
      <c r="T33" s="66">
        <v>355060000</v>
      </c>
      <c r="U33" s="66">
        <v>355060000</v>
      </c>
      <c r="V33" s="34" t="e">
        <f t="shared" si="13"/>
        <v>#REF!</v>
      </c>
      <c r="W33" s="35" t="e">
        <f t="shared" si="10"/>
        <v>#REF!</v>
      </c>
      <c r="X33" s="15" t="e">
        <f t="shared" si="11"/>
        <v>#REF!</v>
      </c>
      <c r="Y33" s="36"/>
      <c r="Z33" s="66"/>
      <c r="AA33" s="37">
        <v>355060000</v>
      </c>
      <c r="AB33" s="15">
        <f t="shared" si="12"/>
        <v>87880000</v>
      </c>
      <c r="AC33" s="38"/>
      <c r="AD33" s="39">
        <v>960400000</v>
      </c>
      <c r="AE33" s="54"/>
      <c r="AF33" s="55"/>
      <c r="AG33" s="55"/>
      <c r="AH33" s="55"/>
      <c r="AI33" s="55"/>
    </row>
    <row r="34" spans="1:35" ht="22.5" customHeight="1" x14ac:dyDescent="0.25">
      <c r="A34" s="30"/>
      <c r="B34" s="43">
        <v>28</v>
      </c>
      <c r="C34" s="51" t="s">
        <v>35</v>
      </c>
      <c r="D34" s="45">
        <v>70142000</v>
      </c>
      <c r="E34" s="45">
        <v>8710000</v>
      </c>
      <c r="F34" s="47"/>
      <c r="G34" s="47"/>
      <c r="H34" s="47">
        <f>7232000</f>
        <v>7232000</v>
      </c>
      <c r="I34" s="47"/>
      <c r="J34" s="47"/>
      <c r="K34" s="47"/>
      <c r="L34" s="47">
        <f>19440000+22600000+57468000+25540000</f>
        <v>125048000</v>
      </c>
      <c r="M34" s="47">
        <v>10200000</v>
      </c>
      <c r="N34" s="47">
        <f>52800000</f>
        <v>52800000</v>
      </c>
      <c r="O34" s="47"/>
      <c r="P34" s="46">
        <f t="shared" si="4"/>
        <v>255222000</v>
      </c>
      <c r="Q34" s="46">
        <f t="shared" si="5"/>
        <v>18910000</v>
      </c>
      <c r="R34" s="48">
        <f t="shared" si="6"/>
        <v>7.409235880919357E-2</v>
      </c>
      <c r="S34" s="45"/>
      <c r="T34" s="66">
        <v>2916530000</v>
      </c>
      <c r="U34" s="66">
        <v>2916530000</v>
      </c>
      <c r="V34" s="34" t="e">
        <f t="shared" si="13"/>
        <v>#REF!</v>
      </c>
      <c r="W34" s="35" t="e">
        <f t="shared" si="10"/>
        <v>#REF!</v>
      </c>
      <c r="X34" s="15" t="e">
        <f t="shared" si="11"/>
        <v>#REF!</v>
      </c>
      <c r="Y34" s="36"/>
      <c r="Z34" s="66"/>
      <c r="AA34" s="37">
        <v>2916530000</v>
      </c>
      <c r="AB34" s="15">
        <f t="shared" si="12"/>
        <v>2916530000</v>
      </c>
      <c r="AC34" s="38"/>
      <c r="AD34" s="39">
        <v>1289104000</v>
      </c>
      <c r="AE34" s="54"/>
      <c r="AF34" s="55"/>
      <c r="AG34" s="55"/>
      <c r="AH34" s="55"/>
      <c r="AI34" s="55"/>
    </row>
    <row r="35" spans="1:35" ht="22.5" customHeight="1" x14ac:dyDescent="0.25">
      <c r="A35" s="30"/>
      <c r="B35" s="43">
        <v>29</v>
      </c>
      <c r="C35" s="51" t="s">
        <v>36</v>
      </c>
      <c r="D35" s="47">
        <v>94622000</v>
      </c>
      <c r="E35" s="47">
        <v>23960000</v>
      </c>
      <c r="F35" s="47"/>
      <c r="G35" s="47"/>
      <c r="H35" s="47">
        <f>705352000</f>
        <v>705352000</v>
      </c>
      <c r="I35" s="47">
        <f>4157500</f>
        <v>4157500</v>
      </c>
      <c r="J35" s="47"/>
      <c r="K35" s="47"/>
      <c r="L35" s="47"/>
      <c r="M35" s="47"/>
      <c r="N35" s="47">
        <f>476280000+175000000</f>
        <v>651280000</v>
      </c>
      <c r="O35" s="47"/>
      <c r="P35" s="46">
        <f t="shared" si="4"/>
        <v>1451254000</v>
      </c>
      <c r="Q35" s="46">
        <f t="shared" si="5"/>
        <v>28117500</v>
      </c>
      <c r="R35" s="48">
        <f t="shared" si="6"/>
        <v>1.9374623601381976E-2</v>
      </c>
      <c r="S35" s="45"/>
      <c r="T35" s="66">
        <v>2696309000</v>
      </c>
      <c r="U35" s="66">
        <v>2696309000</v>
      </c>
      <c r="V35" s="34" t="e">
        <f t="shared" si="13"/>
        <v>#REF!</v>
      </c>
      <c r="W35" s="35" t="e">
        <f t="shared" si="10"/>
        <v>#REF!</v>
      </c>
      <c r="X35" s="15" t="e">
        <f t="shared" si="11"/>
        <v>#REF!</v>
      </c>
      <c r="Y35" s="36"/>
      <c r="Z35" s="66"/>
      <c r="AA35" s="37">
        <v>2696309000</v>
      </c>
      <c r="AB35" s="15">
        <f t="shared" si="12"/>
        <v>2696309000</v>
      </c>
      <c r="AC35" s="38"/>
      <c r="AD35" s="39">
        <v>1385134000</v>
      </c>
      <c r="AE35" s="54"/>
      <c r="AF35" s="55"/>
      <c r="AG35" s="55"/>
      <c r="AH35" s="55"/>
      <c r="AI35" s="55"/>
    </row>
    <row r="36" spans="1:35" ht="22.5" customHeight="1" x14ac:dyDescent="0.25">
      <c r="A36" s="30"/>
      <c r="B36" s="43">
        <v>30</v>
      </c>
      <c r="C36" s="51" t="s">
        <v>37</v>
      </c>
      <c r="D36" s="47">
        <v>100024000</v>
      </c>
      <c r="E36" s="47">
        <v>29418000</v>
      </c>
      <c r="F36" s="47"/>
      <c r="G36" s="47"/>
      <c r="H36" s="47">
        <f>22716000</f>
        <v>22716000</v>
      </c>
      <c r="I36" s="47"/>
      <c r="J36" s="47">
        <v>397036000</v>
      </c>
      <c r="K36" s="47">
        <v>32139800</v>
      </c>
      <c r="L36" s="47">
        <f>37640000+82600000+69560000+40100000</f>
        <v>229900000</v>
      </c>
      <c r="M36" s="47">
        <f>6800000+17180000</f>
        <v>23980000</v>
      </c>
      <c r="N36" s="47">
        <v>250000000</v>
      </c>
      <c r="O36" s="47"/>
      <c r="P36" s="46">
        <f t="shared" si="4"/>
        <v>999676000</v>
      </c>
      <c r="Q36" s="46">
        <f t="shared" si="5"/>
        <v>85537800</v>
      </c>
      <c r="R36" s="48">
        <f t="shared" si="6"/>
        <v>8.5565523229526361E-2</v>
      </c>
      <c r="S36" s="45">
        <v>59560000</v>
      </c>
      <c r="T36" s="66">
        <v>2701786000</v>
      </c>
      <c r="U36" s="66">
        <v>2701786000</v>
      </c>
      <c r="V36" s="34" t="e">
        <f t="shared" si="13"/>
        <v>#REF!</v>
      </c>
      <c r="W36" s="35" t="e">
        <f t="shared" si="10"/>
        <v>#REF!</v>
      </c>
      <c r="X36" s="15" t="e">
        <f t="shared" si="11"/>
        <v>#REF!</v>
      </c>
      <c r="Y36" s="36"/>
      <c r="Z36" s="66"/>
      <c r="AA36" s="37">
        <v>3121226000</v>
      </c>
      <c r="AB36" s="15">
        <f t="shared" si="12"/>
        <v>3061666000</v>
      </c>
      <c r="AC36" s="38"/>
      <c r="AD36" s="39">
        <v>2017863000</v>
      </c>
      <c r="AE36" s="54"/>
      <c r="AF36" s="55"/>
      <c r="AG36" s="55"/>
      <c r="AH36" s="55"/>
      <c r="AI36" s="55"/>
    </row>
    <row r="37" spans="1:35" ht="21.75" customHeight="1" x14ac:dyDescent="0.25">
      <c r="A37" s="30"/>
      <c r="B37" s="43">
        <v>31</v>
      </c>
      <c r="C37" s="51" t="s">
        <v>38</v>
      </c>
      <c r="D37" s="47">
        <v>112472000</v>
      </c>
      <c r="E37" s="47"/>
      <c r="F37" s="47"/>
      <c r="G37" s="47"/>
      <c r="H37" s="47">
        <f>1345000000+80700000+20182000</f>
        <v>1445882000</v>
      </c>
      <c r="I37" s="47"/>
      <c r="J37" s="47">
        <v>1379600000</v>
      </c>
      <c r="K37" s="47"/>
      <c r="L37" s="47">
        <f>80200000+78175000+2300035000</f>
        <v>2458410000</v>
      </c>
      <c r="M37" s="47"/>
      <c r="N37" s="47">
        <f>2102400000+87600000</f>
        <v>2190000000</v>
      </c>
      <c r="O37" s="47"/>
      <c r="P37" s="46">
        <f t="shared" si="4"/>
        <v>7586364000</v>
      </c>
      <c r="Q37" s="46">
        <f t="shared" si="5"/>
        <v>0</v>
      </c>
      <c r="R37" s="48">
        <f t="shared" si="6"/>
        <v>0</v>
      </c>
      <c r="S37" s="45">
        <v>2190000000</v>
      </c>
      <c r="T37" s="80">
        <v>6845018000</v>
      </c>
      <c r="U37" s="80">
        <v>6845018000</v>
      </c>
      <c r="V37" s="34" t="e">
        <f t="shared" si="13"/>
        <v>#REF!</v>
      </c>
      <c r="W37" s="35" t="e">
        <f t="shared" si="10"/>
        <v>#REF!</v>
      </c>
      <c r="X37" s="15" t="e">
        <f t="shared" si="11"/>
        <v>#REF!</v>
      </c>
      <c r="Y37" s="36"/>
      <c r="Z37" s="80"/>
      <c r="AA37" s="37">
        <v>6845018000</v>
      </c>
      <c r="AB37" s="15">
        <f t="shared" si="12"/>
        <v>4655018000</v>
      </c>
      <c r="AC37" s="38"/>
      <c r="AD37" s="39">
        <v>2262328000</v>
      </c>
      <c r="AE37" s="81"/>
      <c r="AF37" s="82"/>
      <c r="AG37" s="82"/>
      <c r="AH37" s="82"/>
      <c r="AI37" s="82"/>
    </row>
    <row r="38" spans="1:35" ht="22.5" customHeight="1" x14ac:dyDescent="0.25">
      <c r="A38" s="30"/>
      <c r="B38" s="43">
        <v>32</v>
      </c>
      <c r="C38" s="51" t="s">
        <v>39</v>
      </c>
      <c r="D38" s="47">
        <v>97618000</v>
      </c>
      <c r="E38" s="47"/>
      <c r="F38" s="47"/>
      <c r="G38" s="47"/>
      <c r="H38" s="47">
        <v>32700000</v>
      </c>
      <c r="I38" s="47"/>
      <c r="J38" s="47">
        <f>203320000+242035000</f>
        <v>445355000</v>
      </c>
      <c r="K38" s="47"/>
      <c r="L38" s="47">
        <f>358710000+18780000</f>
        <v>377490000</v>
      </c>
      <c r="M38" s="47"/>
      <c r="N38" s="47"/>
      <c r="O38" s="47"/>
      <c r="P38" s="46">
        <f t="shared" si="4"/>
        <v>953163000</v>
      </c>
      <c r="Q38" s="46">
        <f t="shared" si="5"/>
        <v>0</v>
      </c>
      <c r="R38" s="48">
        <f t="shared" si="6"/>
        <v>0</v>
      </c>
      <c r="S38" s="45">
        <v>214918000</v>
      </c>
      <c r="T38" s="33">
        <v>19243737000</v>
      </c>
      <c r="U38" s="33">
        <v>19243737000</v>
      </c>
      <c r="V38" s="34" t="e">
        <f t="shared" si="13"/>
        <v>#REF!</v>
      </c>
      <c r="W38" s="35" t="e">
        <f t="shared" si="10"/>
        <v>#REF!</v>
      </c>
      <c r="X38" s="15" t="e">
        <f t="shared" si="11"/>
        <v>#REF!</v>
      </c>
      <c r="Y38" s="36"/>
      <c r="Z38" s="33"/>
      <c r="AA38" s="37">
        <v>19243737000</v>
      </c>
      <c r="AB38" s="15">
        <f t="shared" si="12"/>
        <v>19028819000</v>
      </c>
      <c r="AC38" s="38"/>
      <c r="AD38" s="39">
        <v>1612935000</v>
      </c>
      <c r="AE38" s="40"/>
      <c r="AF38" s="41"/>
      <c r="AG38" s="41"/>
      <c r="AH38" s="41"/>
      <c r="AI38" s="41"/>
    </row>
    <row r="39" spans="1:35" ht="22.5" customHeight="1" x14ac:dyDescent="0.25">
      <c r="A39" s="30"/>
      <c r="B39" s="43">
        <v>33</v>
      </c>
      <c r="C39" s="51" t="s">
        <v>40</v>
      </c>
      <c r="D39" s="47">
        <v>104232000</v>
      </c>
      <c r="E39" s="47"/>
      <c r="F39" s="47"/>
      <c r="G39" s="47"/>
      <c r="H39" s="47">
        <f>514500000+538406000</f>
        <v>1052906000</v>
      </c>
      <c r="I39" s="47"/>
      <c r="J39" s="47"/>
      <c r="K39" s="47"/>
      <c r="L39" s="47"/>
      <c r="M39" s="47"/>
      <c r="N39" s="47">
        <f>126000000+1595600000</f>
        <v>1721600000</v>
      </c>
      <c r="O39" s="47"/>
      <c r="P39" s="46">
        <f t="shared" si="4"/>
        <v>2878738000</v>
      </c>
      <c r="Q39" s="46">
        <f t="shared" si="5"/>
        <v>0</v>
      </c>
      <c r="R39" s="48">
        <f t="shared" si="6"/>
        <v>0</v>
      </c>
      <c r="S39" s="45"/>
      <c r="T39" s="33">
        <v>5229187000</v>
      </c>
      <c r="U39" s="33">
        <v>5229187000</v>
      </c>
      <c r="V39" s="34" t="e">
        <f t="shared" si="13"/>
        <v>#REF!</v>
      </c>
      <c r="W39" s="35" t="e">
        <f t="shared" si="10"/>
        <v>#REF!</v>
      </c>
      <c r="X39" s="15" t="e">
        <f t="shared" si="11"/>
        <v>#REF!</v>
      </c>
      <c r="Y39" s="36"/>
      <c r="Z39" s="33"/>
      <c r="AA39" s="37">
        <v>5229187000</v>
      </c>
      <c r="AB39" s="15">
        <f t="shared" si="12"/>
        <v>5229187000</v>
      </c>
      <c r="AC39" s="38"/>
      <c r="AD39" s="39">
        <v>255222000</v>
      </c>
      <c r="AE39" s="40"/>
      <c r="AF39" s="41"/>
      <c r="AG39" s="41"/>
      <c r="AH39" s="41"/>
      <c r="AI39" s="41"/>
    </row>
    <row r="40" spans="1:35" ht="22.5" customHeight="1" x14ac:dyDescent="0.25">
      <c r="A40" s="30"/>
      <c r="B40" s="43">
        <v>34</v>
      </c>
      <c r="C40" s="51" t="s">
        <v>41</v>
      </c>
      <c r="D40" s="47">
        <v>93792000</v>
      </c>
      <c r="E40" s="47"/>
      <c r="F40" s="47"/>
      <c r="G40" s="47"/>
      <c r="H40" s="47"/>
      <c r="I40" s="47"/>
      <c r="J40" s="47">
        <f>49010000+163500000+15000000</f>
        <v>227510000</v>
      </c>
      <c r="K40" s="47"/>
      <c r="L40" s="47">
        <f>57600000+62840000+763655000</f>
        <v>884095000</v>
      </c>
      <c r="M40" s="47"/>
      <c r="N40" s="47">
        <v>2500000000</v>
      </c>
      <c r="O40" s="47"/>
      <c r="P40" s="46">
        <f t="shared" si="4"/>
        <v>3705397000</v>
      </c>
      <c r="Q40" s="46">
        <f t="shared" si="5"/>
        <v>0</v>
      </c>
      <c r="R40" s="48">
        <f t="shared" si="6"/>
        <v>0</v>
      </c>
      <c r="S40" s="45">
        <v>2533138000</v>
      </c>
      <c r="T40" s="33">
        <v>584734000</v>
      </c>
      <c r="U40" s="33">
        <v>584734000</v>
      </c>
      <c r="V40" s="34" t="e">
        <f t="shared" si="13"/>
        <v>#REF!</v>
      </c>
      <c r="W40" s="35" t="e">
        <f t="shared" si="10"/>
        <v>#REF!</v>
      </c>
      <c r="X40" s="15" t="e">
        <f t="shared" si="11"/>
        <v>#REF!</v>
      </c>
      <c r="Y40" s="36"/>
      <c r="Z40" s="33"/>
      <c r="AA40" s="37">
        <v>584734000</v>
      </c>
      <c r="AB40" s="15">
        <f t="shared" si="12"/>
        <v>-1948404000</v>
      </c>
      <c r="AC40" s="38"/>
      <c r="AD40" s="39">
        <v>1451254000</v>
      </c>
      <c r="AE40" s="40"/>
      <c r="AF40" s="41"/>
      <c r="AG40" s="41"/>
      <c r="AH40" s="41"/>
      <c r="AI40" s="41"/>
    </row>
    <row r="41" spans="1:35" ht="21.75" customHeight="1" x14ac:dyDescent="0.25">
      <c r="A41" s="30"/>
      <c r="B41" s="43">
        <v>35</v>
      </c>
      <c r="C41" s="51" t="s">
        <v>42</v>
      </c>
      <c r="D41" s="47">
        <v>75082000</v>
      </c>
      <c r="E41" s="47">
        <v>12280000</v>
      </c>
      <c r="F41" s="47"/>
      <c r="G41" s="47"/>
      <c r="H41" s="47">
        <v>28000000</v>
      </c>
      <c r="I41" s="47">
        <v>5070000</v>
      </c>
      <c r="J41" s="47">
        <f>96720000+191400000</f>
        <v>288120000</v>
      </c>
      <c r="K41" s="47">
        <v>6760000</v>
      </c>
      <c r="L41" s="47">
        <f>20130000+22600000+59990000+33780000+149540000</f>
        <v>286040000</v>
      </c>
      <c r="M41" s="47">
        <f>5100000+17900000+9309000</f>
        <v>32309000</v>
      </c>
      <c r="N41" s="47"/>
      <c r="O41" s="47"/>
      <c r="P41" s="46">
        <f t="shared" si="4"/>
        <v>677242000</v>
      </c>
      <c r="Q41" s="46">
        <f t="shared" si="5"/>
        <v>56419000</v>
      </c>
      <c r="R41" s="48">
        <f t="shared" si="6"/>
        <v>8.3307001042463399E-2</v>
      </c>
      <c r="S41" s="45">
        <v>68468000</v>
      </c>
      <c r="T41" s="34">
        <v>7543876000</v>
      </c>
      <c r="U41" s="34">
        <v>7543876000</v>
      </c>
      <c r="V41" s="34" t="e">
        <f t="shared" si="13"/>
        <v>#REF!</v>
      </c>
      <c r="W41" s="35" t="e">
        <f t="shared" si="10"/>
        <v>#REF!</v>
      </c>
      <c r="X41" s="15" t="e">
        <f t="shared" si="11"/>
        <v>#REF!</v>
      </c>
      <c r="Y41" s="36"/>
      <c r="Z41" s="34"/>
      <c r="AA41" s="37">
        <v>7543876000</v>
      </c>
      <c r="AB41" s="15">
        <f t="shared" si="12"/>
        <v>7475408000</v>
      </c>
      <c r="AC41" s="38"/>
      <c r="AD41" s="39">
        <v>1438674000</v>
      </c>
      <c r="AE41" s="49"/>
      <c r="AF41" s="50"/>
      <c r="AG41" s="50"/>
      <c r="AH41" s="50"/>
      <c r="AI41" s="50"/>
    </row>
    <row r="42" spans="1:35" ht="21.75" customHeight="1" x14ac:dyDescent="0.25">
      <c r="A42" s="30"/>
      <c r="B42" s="43">
        <v>36</v>
      </c>
      <c r="C42" s="51" t="s">
        <v>43</v>
      </c>
      <c r="D42" s="47">
        <v>174082000</v>
      </c>
      <c r="E42" s="47">
        <v>35833000</v>
      </c>
      <c r="F42" s="47"/>
      <c r="G42" s="47"/>
      <c r="H42" s="45">
        <f>2158660000+90000000+1956375000+2015700000+151974000</f>
        <v>6372709000</v>
      </c>
      <c r="I42" s="47">
        <v>10600000</v>
      </c>
      <c r="J42" s="47">
        <f>301810000+30000000+15000000</f>
        <v>346810000</v>
      </c>
      <c r="K42" s="47"/>
      <c r="L42" s="47">
        <f>293000000+396000000+86620000+447956000+376000000</f>
        <v>1599576000</v>
      </c>
      <c r="M42" s="47">
        <f>100482450+36500000</f>
        <v>136982450</v>
      </c>
      <c r="N42" s="47">
        <f>208000000+630102000</f>
        <v>838102000</v>
      </c>
      <c r="O42" s="47"/>
      <c r="P42" s="46">
        <f t="shared" si="4"/>
        <v>9331279000</v>
      </c>
      <c r="Q42" s="46">
        <f t="shared" si="5"/>
        <v>183415450</v>
      </c>
      <c r="R42" s="48">
        <f t="shared" si="6"/>
        <v>1.9655981779132314E-2</v>
      </c>
      <c r="S42" s="45">
        <v>937170000</v>
      </c>
      <c r="T42" s="66">
        <v>1752659000</v>
      </c>
      <c r="U42" s="66">
        <v>1752659000</v>
      </c>
      <c r="V42" s="34" t="e">
        <f t="shared" si="13"/>
        <v>#REF!</v>
      </c>
      <c r="W42" s="35" t="e">
        <f t="shared" si="10"/>
        <v>#REF!</v>
      </c>
      <c r="X42" s="15" t="e">
        <f t="shared" si="11"/>
        <v>#REF!</v>
      </c>
      <c r="Y42" s="36"/>
      <c r="Z42" s="66"/>
      <c r="AA42" s="37">
        <v>1752659000</v>
      </c>
      <c r="AB42" s="15">
        <f t="shared" si="12"/>
        <v>815489000</v>
      </c>
      <c r="AC42" s="39"/>
      <c r="AD42" s="39">
        <v>7586364000</v>
      </c>
      <c r="AE42" s="54"/>
      <c r="AF42" s="55"/>
      <c r="AG42" s="55"/>
      <c r="AH42" s="55"/>
      <c r="AI42" s="55"/>
    </row>
    <row r="43" spans="1:35" ht="22.5" customHeight="1" x14ac:dyDescent="0.25">
      <c r="A43" s="30"/>
      <c r="B43" s="43">
        <v>37</v>
      </c>
      <c r="C43" s="51" t="s">
        <v>44</v>
      </c>
      <c r="D43" s="47">
        <v>81314000</v>
      </c>
      <c r="E43" s="47">
        <v>23670000</v>
      </c>
      <c r="F43" s="47"/>
      <c r="G43" s="47"/>
      <c r="H43" s="47"/>
      <c r="I43" s="47"/>
      <c r="J43" s="47">
        <v>159214000</v>
      </c>
      <c r="K43" s="47">
        <v>8225500</v>
      </c>
      <c r="L43" s="47">
        <f>21600000+43100000</f>
        <v>64700000</v>
      </c>
      <c r="M43" s="47">
        <f>14310000+19860000</f>
        <v>34170000</v>
      </c>
      <c r="N43" s="47">
        <f>358688000+496000000</f>
        <v>854688000</v>
      </c>
      <c r="O43" s="47"/>
      <c r="P43" s="46">
        <f t="shared" si="4"/>
        <v>1159916000</v>
      </c>
      <c r="Q43" s="46">
        <f t="shared" si="5"/>
        <v>66065500</v>
      </c>
      <c r="R43" s="48">
        <f t="shared" si="6"/>
        <v>5.6957141724055881E-2</v>
      </c>
      <c r="S43" s="45"/>
      <c r="T43" s="66">
        <v>2975016000</v>
      </c>
      <c r="U43" s="66">
        <v>2975016000</v>
      </c>
      <c r="V43" s="34" t="e">
        <f t="shared" si="13"/>
        <v>#REF!</v>
      </c>
      <c r="W43" s="35" t="e">
        <f t="shared" si="10"/>
        <v>#REF!</v>
      </c>
      <c r="X43" s="15" t="e">
        <f t="shared" si="11"/>
        <v>#REF!</v>
      </c>
      <c r="Y43" s="36"/>
      <c r="Z43" s="66"/>
      <c r="AA43" s="37">
        <v>2975016000</v>
      </c>
      <c r="AB43" s="15">
        <f t="shared" si="12"/>
        <v>2975016000</v>
      </c>
      <c r="AC43" s="38"/>
      <c r="AD43" s="39">
        <v>946563000</v>
      </c>
      <c r="AE43" s="54"/>
      <c r="AF43" s="55"/>
      <c r="AG43" s="55"/>
      <c r="AH43" s="55"/>
      <c r="AI43" s="55"/>
    </row>
    <row r="44" spans="1:35" ht="22.5" customHeight="1" x14ac:dyDescent="0.25">
      <c r="A44" s="30"/>
      <c r="B44" s="43">
        <v>38</v>
      </c>
      <c r="C44" s="51" t="s">
        <v>103</v>
      </c>
      <c r="D44" s="47">
        <v>112072000</v>
      </c>
      <c r="E44" s="47"/>
      <c r="F44" s="47"/>
      <c r="G44" s="47"/>
      <c r="H44" s="47">
        <v>827560000</v>
      </c>
      <c r="I44" s="47"/>
      <c r="J44" s="47"/>
      <c r="K44" s="47"/>
      <c r="L44" s="47">
        <v>62170000</v>
      </c>
      <c r="M44" s="47"/>
      <c r="N44" s="47">
        <v>4277912000</v>
      </c>
      <c r="O44" s="47"/>
      <c r="P44" s="46">
        <f t="shared" si="4"/>
        <v>5279714000</v>
      </c>
      <c r="Q44" s="46">
        <f t="shared" si="5"/>
        <v>0</v>
      </c>
      <c r="R44" s="48">
        <f t="shared" si="6"/>
        <v>0</v>
      </c>
      <c r="S44" s="45">
        <v>1245063000</v>
      </c>
      <c r="T44" s="66">
        <v>439547000</v>
      </c>
      <c r="U44" s="66">
        <v>439547000</v>
      </c>
      <c r="V44" s="34" t="e">
        <f t="shared" si="13"/>
        <v>#REF!</v>
      </c>
      <c r="W44" s="35" t="e">
        <f t="shared" si="10"/>
        <v>#REF!</v>
      </c>
      <c r="X44" s="15" t="e">
        <f t="shared" si="11"/>
        <v>#REF!</v>
      </c>
      <c r="Y44" s="36"/>
      <c r="Z44" s="66"/>
      <c r="AA44" s="37">
        <v>439547000</v>
      </c>
      <c r="AB44" s="15">
        <f t="shared" si="12"/>
        <v>-805516000</v>
      </c>
      <c r="AC44" s="38"/>
      <c r="AD44" s="39">
        <v>2882238000</v>
      </c>
      <c r="AE44" s="54"/>
      <c r="AF44" s="55"/>
      <c r="AG44" s="55"/>
      <c r="AH44" s="55"/>
      <c r="AI44" s="55"/>
    </row>
    <row r="45" spans="1:35" ht="22.5" customHeight="1" x14ac:dyDescent="0.25">
      <c r="A45" s="30"/>
      <c r="B45" s="43">
        <v>39</v>
      </c>
      <c r="C45" s="51" t="s">
        <v>46</v>
      </c>
      <c r="D45" s="47">
        <v>99695000</v>
      </c>
      <c r="E45" s="47">
        <f>17570000</f>
        <v>17570000</v>
      </c>
      <c r="F45" s="47"/>
      <c r="G45" s="47"/>
      <c r="H45" s="47">
        <f>234790000+59140000</f>
        <v>293930000</v>
      </c>
      <c r="I45" s="47">
        <f>12730000+44488000</f>
        <v>57218000</v>
      </c>
      <c r="J45" s="47">
        <f>653142000+188827000</f>
        <v>841969000</v>
      </c>
      <c r="K45" s="47">
        <f>61410000+167379746</f>
        <v>228789746</v>
      </c>
      <c r="L45" s="47">
        <f>233000000+304000000+14780000+100000000+1995000000+199940000+35780000</f>
        <v>2882500000</v>
      </c>
      <c r="M45" s="47">
        <f>22000000+54250000+7770000</f>
        <v>84020000</v>
      </c>
      <c r="N45" s="47"/>
      <c r="O45" s="47"/>
      <c r="P45" s="46">
        <f t="shared" si="4"/>
        <v>4118094000</v>
      </c>
      <c r="Q45" s="46">
        <f t="shared" si="5"/>
        <v>387597746</v>
      </c>
      <c r="R45" s="48">
        <f t="shared" si="6"/>
        <v>9.4120665045528337E-2</v>
      </c>
      <c r="S45" s="45">
        <v>1017830000</v>
      </c>
      <c r="T45" s="66">
        <v>620280000</v>
      </c>
      <c r="U45" s="66">
        <v>620280000</v>
      </c>
      <c r="V45" s="34" t="e">
        <f t="shared" si="13"/>
        <v>#REF!</v>
      </c>
      <c r="W45" s="35" t="e">
        <f t="shared" si="10"/>
        <v>#REF!</v>
      </c>
      <c r="X45" s="15" t="e">
        <f t="shared" si="11"/>
        <v>#REF!</v>
      </c>
      <c r="Y45" s="36"/>
      <c r="Z45" s="66"/>
      <c r="AA45" s="37">
        <v>607210000</v>
      </c>
      <c r="AB45" s="15">
        <f t="shared" si="12"/>
        <v>-410620000</v>
      </c>
      <c r="AC45" s="38"/>
      <c r="AD45" s="39">
        <v>3695397000</v>
      </c>
      <c r="AE45" s="54"/>
      <c r="AF45" s="55"/>
      <c r="AG45" s="55"/>
      <c r="AH45" s="55"/>
      <c r="AI45" s="55"/>
    </row>
    <row r="46" spans="1:35" ht="22.5" customHeight="1" x14ac:dyDescent="0.25">
      <c r="A46" s="30"/>
      <c r="B46" s="43">
        <v>40</v>
      </c>
      <c r="C46" s="51" t="s">
        <v>47</v>
      </c>
      <c r="D46" s="47">
        <v>103732000</v>
      </c>
      <c r="E46" s="47">
        <v>1750000</v>
      </c>
      <c r="F46" s="47"/>
      <c r="G46" s="47"/>
      <c r="H46" s="47">
        <f>545000000+251328000</f>
        <v>796328000</v>
      </c>
      <c r="I46" s="47"/>
      <c r="J46" s="47">
        <f>102678000+32000000+15000000</f>
        <v>149678000</v>
      </c>
      <c r="K46" s="47">
        <v>6128000</v>
      </c>
      <c r="L46" s="47">
        <f>162800000+179030000+339000000+425000000+78000000</f>
        <v>1183830000</v>
      </c>
      <c r="M46" s="47"/>
      <c r="N46" s="45">
        <f>1478500000</f>
        <v>1478500000</v>
      </c>
      <c r="O46" s="47"/>
      <c r="P46" s="46">
        <f t="shared" si="4"/>
        <v>3712068000</v>
      </c>
      <c r="Q46" s="46">
        <f t="shared" si="5"/>
        <v>7878000</v>
      </c>
      <c r="R46" s="48">
        <f t="shared" si="6"/>
        <v>2.1222671567438958E-3</v>
      </c>
      <c r="S46" s="45">
        <v>272000000</v>
      </c>
      <c r="T46" s="33">
        <v>1647058000</v>
      </c>
      <c r="U46" s="33">
        <v>1647058000</v>
      </c>
      <c r="V46" s="34" t="e">
        <f t="shared" si="13"/>
        <v>#REF!</v>
      </c>
      <c r="W46" s="35" t="e">
        <f t="shared" si="10"/>
        <v>#REF!</v>
      </c>
      <c r="X46" s="15" t="e">
        <f t="shared" si="11"/>
        <v>#REF!</v>
      </c>
      <c r="Y46" s="36"/>
      <c r="Z46" s="33"/>
      <c r="AA46" s="37">
        <v>1647058000</v>
      </c>
      <c r="AB46" s="15">
        <f t="shared" si="12"/>
        <v>1375058000</v>
      </c>
      <c r="AC46" s="38"/>
      <c r="AD46" s="39">
        <v>759362000</v>
      </c>
      <c r="AE46" s="40"/>
      <c r="AF46" s="41"/>
      <c r="AG46" s="41"/>
      <c r="AH46" s="41"/>
      <c r="AI46" s="41"/>
    </row>
    <row r="47" spans="1:35" ht="22.5" customHeight="1" x14ac:dyDescent="0.25">
      <c r="A47" s="30"/>
      <c r="B47" s="43">
        <v>41</v>
      </c>
      <c r="C47" s="51" t="s">
        <v>104</v>
      </c>
      <c r="D47" s="47">
        <v>102942000</v>
      </c>
      <c r="E47" s="47"/>
      <c r="F47" s="47"/>
      <c r="G47" s="47"/>
      <c r="H47" s="47">
        <f>1393208000</f>
        <v>1393208000</v>
      </c>
      <c r="I47" s="47"/>
      <c r="J47" s="47"/>
      <c r="K47" s="47"/>
      <c r="L47" s="47"/>
      <c r="M47" s="47"/>
      <c r="N47" s="47">
        <f>1448203000</f>
        <v>1448203000</v>
      </c>
      <c r="O47" s="47"/>
      <c r="P47" s="46">
        <f t="shared" si="4"/>
        <v>2944353000</v>
      </c>
      <c r="Q47" s="46">
        <f t="shared" si="5"/>
        <v>0</v>
      </c>
      <c r="R47" s="48">
        <f t="shared" si="6"/>
        <v>0</v>
      </c>
      <c r="S47" s="45">
        <v>100000000</v>
      </c>
      <c r="T47" s="34">
        <v>444263000</v>
      </c>
      <c r="U47" s="34">
        <v>444263000</v>
      </c>
      <c r="V47" s="34" t="e">
        <f t="shared" si="13"/>
        <v>#REF!</v>
      </c>
      <c r="W47" s="35" t="e">
        <f t="shared" si="10"/>
        <v>#REF!</v>
      </c>
      <c r="X47" s="15" t="e">
        <f t="shared" si="11"/>
        <v>#REF!</v>
      </c>
      <c r="Y47" s="36"/>
      <c r="Z47" s="34"/>
      <c r="AA47" s="37">
        <v>444263000</v>
      </c>
      <c r="AB47" s="15">
        <f t="shared" si="12"/>
        <v>344263000</v>
      </c>
      <c r="AC47" s="38"/>
      <c r="AD47" s="39">
        <v>9385604000</v>
      </c>
      <c r="AE47" s="83"/>
      <c r="AF47" s="84"/>
      <c r="AG47" s="50"/>
      <c r="AH47" s="50"/>
      <c r="AI47" s="50"/>
    </row>
    <row r="48" spans="1:35" ht="22.5" customHeight="1" x14ac:dyDescent="0.25">
      <c r="A48" s="30"/>
      <c r="B48" s="43">
        <v>42</v>
      </c>
      <c r="C48" s="51" t="s">
        <v>49</v>
      </c>
      <c r="D48" s="47">
        <v>96322000</v>
      </c>
      <c r="E48" s="47">
        <v>8600000</v>
      </c>
      <c r="F48" s="47"/>
      <c r="G48" s="47"/>
      <c r="H48" s="47">
        <f>124799000+357328000</f>
        <v>482127000</v>
      </c>
      <c r="I48" s="47"/>
      <c r="J48" s="47">
        <f>56438000+11000000+108600000</f>
        <v>176038000</v>
      </c>
      <c r="K48" s="47">
        <f>54282600+250000</f>
        <v>54532600</v>
      </c>
      <c r="L48" s="47">
        <f>210400000+248585000+41580000+188930000+155000000+200000000+95000000</f>
        <v>1139495000</v>
      </c>
      <c r="M48" s="47">
        <f>19900000+45200000+13629500+6000000+97500000</f>
        <v>182229500</v>
      </c>
      <c r="N48" s="47">
        <v>97000000</v>
      </c>
      <c r="O48" s="47"/>
      <c r="P48" s="46">
        <f t="shared" si="4"/>
        <v>1990982000</v>
      </c>
      <c r="Q48" s="46">
        <f t="shared" si="5"/>
        <v>245362100</v>
      </c>
      <c r="R48" s="48">
        <f t="shared" si="6"/>
        <v>0.12323672439027575</v>
      </c>
      <c r="S48" s="45">
        <v>10000000</v>
      </c>
      <c r="T48" s="85">
        <v>4143669000</v>
      </c>
      <c r="U48" s="85">
        <v>4143669000</v>
      </c>
      <c r="V48" s="85" t="e">
        <f t="shared" si="13"/>
        <v>#REF!</v>
      </c>
      <c r="W48" s="86" t="e">
        <f t="shared" si="10"/>
        <v>#REF!</v>
      </c>
      <c r="X48" s="87" t="e">
        <f t="shared" si="11"/>
        <v>#REF!</v>
      </c>
      <c r="Y48" s="85"/>
      <c r="Z48" s="85"/>
      <c r="AA48" s="88">
        <v>4143669000</v>
      </c>
      <c r="AB48" s="87">
        <f t="shared" si="12"/>
        <v>4133669000</v>
      </c>
      <c r="AC48" s="38"/>
      <c r="AD48" s="39">
        <v>1285916000</v>
      </c>
      <c r="AE48" s="49"/>
      <c r="AF48" s="50"/>
      <c r="AG48" s="50"/>
      <c r="AH48" s="50"/>
      <c r="AI48" s="50"/>
    </row>
    <row r="49" spans="1:35" ht="22.5" customHeight="1" x14ac:dyDescent="0.25">
      <c r="A49" s="30"/>
      <c r="B49" s="43">
        <v>43</v>
      </c>
      <c r="C49" s="51" t="s">
        <v>105</v>
      </c>
      <c r="D49" s="47">
        <v>104142000</v>
      </c>
      <c r="E49" s="47"/>
      <c r="F49" s="47"/>
      <c r="G49" s="47"/>
      <c r="H49" s="47">
        <v>1158000000</v>
      </c>
      <c r="I49" s="47"/>
      <c r="J49" s="47"/>
      <c r="K49" s="47"/>
      <c r="L49" s="47"/>
      <c r="M49" s="47"/>
      <c r="N49" s="47">
        <v>2988900000</v>
      </c>
      <c r="O49" s="47"/>
      <c r="P49" s="46">
        <f t="shared" si="4"/>
        <v>4251042000</v>
      </c>
      <c r="Q49" s="46">
        <f t="shared" si="5"/>
        <v>0</v>
      </c>
      <c r="R49" s="48">
        <f t="shared" si="6"/>
        <v>0</v>
      </c>
      <c r="S49" s="45"/>
      <c r="T49" s="85">
        <v>2606440000</v>
      </c>
      <c r="U49" s="85">
        <v>2606440000</v>
      </c>
      <c r="V49" s="85" t="e">
        <f t="shared" si="13"/>
        <v>#REF!</v>
      </c>
      <c r="W49" s="86" t="e">
        <f t="shared" si="10"/>
        <v>#REF!</v>
      </c>
      <c r="X49" s="87" t="e">
        <f t="shared" si="11"/>
        <v>#REF!</v>
      </c>
      <c r="Y49" s="85"/>
      <c r="Z49" s="85"/>
      <c r="AA49" s="88">
        <v>2593470000</v>
      </c>
      <c r="AB49" s="87">
        <f t="shared" si="12"/>
        <v>2593470000</v>
      </c>
      <c r="AC49" s="39"/>
      <c r="AD49" s="39">
        <v>5320714000</v>
      </c>
      <c r="AE49" s="40"/>
      <c r="AF49" s="41"/>
      <c r="AG49" s="41"/>
      <c r="AH49" s="41"/>
      <c r="AI49" s="41"/>
    </row>
    <row r="50" spans="1:35" ht="22.5" customHeight="1" x14ac:dyDescent="0.25">
      <c r="A50" s="30"/>
      <c r="B50" s="43">
        <v>44</v>
      </c>
      <c r="C50" s="51" t="s">
        <v>51</v>
      </c>
      <c r="D50" s="47">
        <v>104388000</v>
      </c>
      <c r="E50" s="47">
        <v>23870000</v>
      </c>
      <c r="F50" s="47"/>
      <c r="G50" s="47"/>
      <c r="H50" s="47">
        <v>71220000</v>
      </c>
      <c r="I50" s="47">
        <v>5480000</v>
      </c>
      <c r="J50" s="47">
        <f>1832620000+50000000+2404293000</f>
        <v>4286913000</v>
      </c>
      <c r="K50" s="47">
        <f>155800000+861446671</f>
        <v>1017246671</v>
      </c>
      <c r="L50" s="47">
        <f>22600000+65505000+27660000+674726000+542640000</f>
        <v>1333131000</v>
      </c>
      <c r="M50" s="47">
        <f>5100000+2700000+12150000</f>
        <v>19950000</v>
      </c>
      <c r="N50" s="47"/>
      <c r="O50" s="47"/>
      <c r="P50" s="46">
        <f t="shared" si="4"/>
        <v>5795652000</v>
      </c>
      <c r="Q50" s="46">
        <f t="shared" si="5"/>
        <v>1066546671</v>
      </c>
      <c r="R50" s="48">
        <f t="shared" si="6"/>
        <v>0.18402531259640847</v>
      </c>
      <c r="S50" s="45">
        <v>428776000</v>
      </c>
      <c r="T50" s="85">
        <v>350251000</v>
      </c>
      <c r="U50" s="85">
        <v>350251000</v>
      </c>
      <c r="V50" s="85" t="e">
        <f t="shared" si="13"/>
        <v>#REF!</v>
      </c>
      <c r="W50" s="86" t="e">
        <f t="shared" si="10"/>
        <v>#REF!</v>
      </c>
      <c r="X50" s="87" t="e">
        <f t="shared" si="11"/>
        <v>#REF!</v>
      </c>
      <c r="Y50" s="85"/>
      <c r="Z50" s="85"/>
      <c r="AA50" s="88">
        <v>350251000</v>
      </c>
      <c r="AB50" s="87">
        <f t="shared" si="12"/>
        <v>-78525000</v>
      </c>
      <c r="AC50" s="38"/>
      <c r="AD50" s="39">
        <v>4227730000</v>
      </c>
      <c r="AE50" s="49"/>
      <c r="AF50" s="50"/>
      <c r="AG50" s="50"/>
      <c r="AH50" s="50"/>
      <c r="AI50" s="50"/>
    </row>
    <row r="51" spans="1:35" ht="22.5" customHeight="1" x14ac:dyDescent="0.25">
      <c r="A51" s="30"/>
      <c r="B51" s="43">
        <v>45</v>
      </c>
      <c r="C51" s="51" t="s">
        <v>52</v>
      </c>
      <c r="D51" s="47">
        <v>104780000</v>
      </c>
      <c r="E51" s="47">
        <v>16720000</v>
      </c>
      <c r="F51" s="47"/>
      <c r="G51" s="47"/>
      <c r="H51" s="47">
        <v>1135808000</v>
      </c>
      <c r="I51" s="47">
        <f>16886000</f>
        <v>16886000</v>
      </c>
      <c r="J51" s="47">
        <f>57780000+24000000+123900000</f>
        <v>205680000</v>
      </c>
      <c r="K51" s="47">
        <f>5717100+36230000</f>
        <v>41947100</v>
      </c>
      <c r="L51" s="47">
        <f>117600000+80690000+305635000+95000000+746000000</f>
        <v>1344925000</v>
      </c>
      <c r="M51" s="47">
        <f>5100000+13350000</f>
        <v>18450000</v>
      </c>
      <c r="N51" s="47"/>
      <c r="O51" s="47"/>
      <c r="P51" s="46">
        <f t="shared" si="4"/>
        <v>2791193000</v>
      </c>
      <c r="Q51" s="46">
        <f t="shared" si="5"/>
        <v>94003100</v>
      </c>
      <c r="R51" s="48">
        <f t="shared" si="6"/>
        <v>3.3678466519513339E-2</v>
      </c>
      <c r="S51" s="45">
        <v>5000000</v>
      </c>
      <c r="T51" s="33">
        <v>2000917000</v>
      </c>
      <c r="U51" s="33">
        <v>2000917000</v>
      </c>
      <c r="V51" s="34" t="e">
        <f t="shared" si="13"/>
        <v>#REF!</v>
      </c>
      <c r="W51" s="35" t="e">
        <f t="shared" si="10"/>
        <v>#REF!</v>
      </c>
      <c r="X51" s="15" t="e">
        <f t="shared" si="11"/>
        <v>#REF!</v>
      </c>
      <c r="Y51" s="36"/>
      <c r="Z51" s="33"/>
      <c r="AA51" s="37">
        <v>2000917000</v>
      </c>
      <c r="AB51" s="15">
        <f t="shared" si="12"/>
        <v>1995917000</v>
      </c>
      <c r="AC51" s="38"/>
      <c r="AD51" s="39">
        <v>3725640000</v>
      </c>
      <c r="AE51" s="89"/>
      <c r="AF51" s="77"/>
      <c r="AG51" s="41"/>
      <c r="AH51" s="41"/>
      <c r="AI51" s="41"/>
    </row>
    <row r="52" spans="1:35" ht="22.5" customHeight="1" x14ac:dyDescent="0.25">
      <c r="A52" s="30"/>
      <c r="B52" s="43">
        <v>46</v>
      </c>
      <c r="C52" s="51" t="s">
        <v>53</v>
      </c>
      <c r="D52" s="47">
        <v>104162000</v>
      </c>
      <c r="E52" s="47">
        <v>26254800</v>
      </c>
      <c r="F52" s="47"/>
      <c r="G52" s="47"/>
      <c r="H52" s="47">
        <f>373000000+1132184000</f>
        <v>1505184000</v>
      </c>
      <c r="I52" s="47">
        <f>7730789+147818000</f>
        <v>155548789</v>
      </c>
      <c r="J52" s="47">
        <f>202440000+84000000+871400000</f>
        <v>1157840000</v>
      </c>
      <c r="K52" s="47">
        <v>7754500</v>
      </c>
      <c r="L52" s="47">
        <f>175200000+150625000+806670000+400000000</f>
        <v>1532495000</v>
      </c>
      <c r="M52" s="47">
        <f>13600000+50460000</f>
        <v>64060000</v>
      </c>
      <c r="N52" s="47">
        <v>148800000</v>
      </c>
      <c r="O52" s="47"/>
      <c r="P52" s="46">
        <f t="shared" si="4"/>
        <v>4448481000</v>
      </c>
      <c r="Q52" s="46">
        <f t="shared" si="5"/>
        <v>253618089</v>
      </c>
      <c r="R52" s="48">
        <f t="shared" si="6"/>
        <v>5.7012290037880345E-2</v>
      </c>
      <c r="S52" s="45">
        <v>747133000</v>
      </c>
      <c r="T52" s="66">
        <v>736221000</v>
      </c>
      <c r="U52" s="66">
        <v>736221000</v>
      </c>
      <c r="V52" s="34" t="e">
        <f t="shared" si="13"/>
        <v>#REF!</v>
      </c>
      <c r="W52" s="35" t="e">
        <f t="shared" si="10"/>
        <v>#REF!</v>
      </c>
      <c r="X52" s="15" t="e">
        <f t="shared" si="11"/>
        <v>#REF!</v>
      </c>
      <c r="Y52" s="36"/>
      <c r="Z52" s="66"/>
      <c r="AA52" s="37">
        <v>723231000</v>
      </c>
      <c r="AB52" s="15">
        <f t="shared" si="12"/>
        <v>-23902000</v>
      </c>
      <c r="AC52" s="38"/>
      <c r="AD52" s="39">
        <v>2944353000</v>
      </c>
      <c r="AE52" s="54"/>
      <c r="AF52" s="57"/>
      <c r="AG52" s="55"/>
      <c r="AH52" s="55"/>
      <c r="AI52" s="55"/>
    </row>
    <row r="53" spans="1:35" ht="22.5" customHeight="1" x14ac:dyDescent="0.25">
      <c r="A53" s="30"/>
      <c r="B53" s="43">
        <v>47</v>
      </c>
      <c r="C53" s="51" t="s">
        <v>106</v>
      </c>
      <c r="D53" s="47">
        <v>93322000</v>
      </c>
      <c r="E53" s="47"/>
      <c r="F53" s="47"/>
      <c r="G53" s="47"/>
      <c r="H53" s="47"/>
      <c r="I53" s="47"/>
      <c r="J53" s="47"/>
      <c r="K53" s="47"/>
      <c r="L53" s="47">
        <f>87500000+72500000+1198800000+59455000+22600000</f>
        <v>1440855000</v>
      </c>
      <c r="M53" s="47"/>
      <c r="N53" s="47">
        <f>195000000</f>
        <v>195000000</v>
      </c>
      <c r="O53" s="47"/>
      <c r="P53" s="46">
        <f t="shared" si="4"/>
        <v>1729177000</v>
      </c>
      <c r="Q53" s="46">
        <f t="shared" si="5"/>
        <v>0</v>
      </c>
      <c r="R53" s="48">
        <f t="shared" si="6"/>
        <v>0</v>
      </c>
      <c r="S53" s="75">
        <v>100000000</v>
      </c>
      <c r="T53" s="85">
        <v>4956828000</v>
      </c>
      <c r="U53" s="85">
        <v>4956828000</v>
      </c>
      <c r="V53" s="85" t="e">
        <f t="shared" si="13"/>
        <v>#REF!</v>
      </c>
      <c r="W53" s="86" t="e">
        <f t="shared" si="10"/>
        <v>#REF!</v>
      </c>
      <c r="X53" s="87" t="e">
        <f t="shared" si="11"/>
        <v>#REF!</v>
      </c>
      <c r="Y53" s="85"/>
      <c r="Z53" s="85"/>
      <c r="AA53" s="88">
        <v>4956828000</v>
      </c>
      <c r="AB53" s="87">
        <f t="shared" si="12"/>
        <v>4856828000</v>
      </c>
      <c r="AC53" s="38"/>
      <c r="AD53" s="39">
        <v>1991954000</v>
      </c>
      <c r="AE53" s="40"/>
      <c r="AF53" s="41"/>
      <c r="AG53" s="41"/>
      <c r="AH53" s="41"/>
      <c r="AI53" s="41"/>
    </row>
    <row r="54" spans="1:35" ht="22.5" customHeight="1" x14ac:dyDescent="0.25">
      <c r="A54" s="30"/>
      <c r="B54" s="43">
        <v>48</v>
      </c>
      <c r="C54" s="51" t="s">
        <v>55</v>
      </c>
      <c r="D54" s="47">
        <v>94642000</v>
      </c>
      <c r="E54" s="47">
        <v>19560000</v>
      </c>
      <c r="F54" s="47"/>
      <c r="G54" s="47"/>
      <c r="H54" s="47">
        <f>686120000+1425000+198000000+210000000+87677000</f>
        <v>1183222000</v>
      </c>
      <c r="I54" s="47"/>
      <c r="J54" s="47">
        <f>76737000+19000000+15000000</f>
        <v>110737000</v>
      </c>
      <c r="K54" s="47">
        <v>1110000</v>
      </c>
      <c r="L54" s="47">
        <f>69880000+29000000+138000000+150000000+696500000</f>
        <v>1083380000</v>
      </c>
      <c r="M54" s="47">
        <v>6800000</v>
      </c>
      <c r="N54" s="47"/>
      <c r="O54" s="47"/>
      <c r="P54" s="46">
        <f t="shared" si="4"/>
        <v>2471981000</v>
      </c>
      <c r="Q54" s="46">
        <f t="shared" si="5"/>
        <v>27470000</v>
      </c>
      <c r="R54" s="48">
        <f t="shared" si="6"/>
        <v>1.1112544958881157E-2</v>
      </c>
      <c r="S54" s="45"/>
      <c r="T54" s="85">
        <v>3794764000</v>
      </c>
      <c r="U54" s="85">
        <v>3794764000</v>
      </c>
      <c r="V54" s="85" t="e">
        <f t="shared" si="13"/>
        <v>#REF!</v>
      </c>
      <c r="W54" s="86" t="e">
        <f t="shared" si="10"/>
        <v>#REF!</v>
      </c>
      <c r="X54" s="87" t="e">
        <f t="shared" si="11"/>
        <v>#REF!</v>
      </c>
      <c r="Y54" s="85"/>
      <c r="Z54" s="85"/>
      <c r="AA54" s="88">
        <v>3794764000</v>
      </c>
      <c r="AB54" s="87">
        <f t="shared" si="12"/>
        <v>3794764000</v>
      </c>
      <c r="AC54" s="38"/>
      <c r="AD54" s="39">
        <v>4254042000</v>
      </c>
      <c r="AE54" s="54"/>
      <c r="AF54" s="55"/>
      <c r="AG54" s="55"/>
      <c r="AH54" s="55"/>
      <c r="AI54" s="55"/>
    </row>
    <row r="55" spans="1:35" ht="22.5" customHeight="1" x14ac:dyDescent="0.25">
      <c r="A55" s="30"/>
      <c r="B55" s="43">
        <v>49</v>
      </c>
      <c r="C55" s="51" t="s">
        <v>56</v>
      </c>
      <c r="D55" s="47">
        <v>170796000</v>
      </c>
      <c r="E55" s="47"/>
      <c r="F55" s="47"/>
      <c r="G55" s="47"/>
      <c r="H55" s="47">
        <f>1199672000+462451000+1211774000+41020000</f>
        <v>2914917000</v>
      </c>
      <c r="I55" s="47"/>
      <c r="J55" s="47">
        <f>762101000+1400830000</f>
        <v>2162931000</v>
      </c>
      <c r="K55" s="47"/>
      <c r="L55" s="47">
        <f>37760000+45200000+132660000+257940000+118560000</f>
        <v>592120000</v>
      </c>
      <c r="M55" s="47"/>
      <c r="N55" s="47">
        <v>898000000</v>
      </c>
      <c r="O55" s="47"/>
      <c r="P55" s="46">
        <f t="shared" si="4"/>
        <v>6738764000</v>
      </c>
      <c r="Q55" s="46">
        <f t="shared" si="5"/>
        <v>0</v>
      </c>
      <c r="R55" s="48">
        <f t="shared" si="6"/>
        <v>0</v>
      </c>
      <c r="S55" s="45">
        <v>381203000</v>
      </c>
      <c r="T55" s="85">
        <v>5338887000</v>
      </c>
      <c r="U55" s="85">
        <v>5338887000</v>
      </c>
      <c r="V55" s="85" t="e">
        <f t="shared" si="13"/>
        <v>#REF!</v>
      </c>
      <c r="W55" s="86" t="e">
        <f t="shared" si="10"/>
        <v>#REF!</v>
      </c>
      <c r="X55" s="87" t="e">
        <f t="shared" si="11"/>
        <v>#REF!</v>
      </c>
      <c r="Y55" s="85"/>
      <c r="Z55" s="85"/>
      <c r="AA55" s="88">
        <v>5367987000</v>
      </c>
      <c r="AB55" s="87">
        <f t="shared" si="12"/>
        <v>4986784000</v>
      </c>
      <c r="AC55" s="38"/>
      <c r="AD55" s="39">
        <v>5796552000</v>
      </c>
      <c r="AE55" s="54"/>
      <c r="AF55" s="55"/>
      <c r="AG55" s="55"/>
      <c r="AH55" s="55"/>
      <c r="AI55" s="55"/>
    </row>
    <row r="56" spans="1:35" ht="22.5" customHeight="1" x14ac:dyDescent="0.25">
      <c r="A56" s="30"/>
      <c r="B56" s="43">
        <v>50</v>
      </c>
      <c r="C56" s="51" t="s">
        <v>57</v>
      </c>
      <c r="D56" s="47">
        <v>108851000</v>
      </c>
      <c r="E56" s="47">
        <v>14950000</v>
      </c>
      <c r="F56" s="47"/>
      <c r="G56" s="47"/>
      <c r="H56" s="45">
        <f>342974000+692478000</f>
        <v>1035452000</v>
      </c>
      <c r="I56" s="45">
        <v>18466700</v>
      </c>
      <c r="J56" s="47">
        <f>95290000+92000000+242700000</f>
        <v>429990000</v>
      </c>
      <c r="K56" s="47"/>
      <c r="L56" s="47">
        <f>121200000+76600000+460179000</f>
        <v>657979000</v>
      </c>
      <c r="M56" s="47">
        <f>6000000+14550000</f>
        <v>20550000</v>
      </c>
      <c r="N56" s="47">
        <v>500000000</v>
      </c>
      <c r="O56" s="47"/>
      <c r="P56" s="46">
        <f t="shared" si="4"/>
        <v>2732272000</v>
      </c>
      <c r="Q56" s="46">
        <f t="shared" si="5"/>
        <v>53966700</v>
      </c>
      <c r="R56" s="48">
        <f t="shared" si="6"/>
        <v>1.9751584029701289E-2</v>
      </c>
      <c r="S56" s="45">
        <v>505000000</v>
      </c>
      <c r="T56" s="85">
        <v>6400810000</v>
      </c>
      <c r="U56" s="85">
        <v>6400810000</v>
      </c>
      <c r="V56" s="85" t="e">
        <f t="shared" si="13"/>
        <v>#REF!</v>
      </c>
      <c r="W56" s="86" t="e">
        <f t="shared" si="10"/>
        <v>#REF!</v>
      </c>
      <c r="X56" s="87" t="e">
        <f t="shared" si="11"/>
        <v>#REF!</v>
      </c>
      <c r="Y56" s="85"/>
      <c r="Z56" s="85"/>
      <c r="AA56" s="88">
        <v>6400810000</v>
      </c>
      <c r="AB56" s="87">
        <f t="shared" si="12"/>
        <v>5895810000</v>
      </c>
      <c r="AC56" s="38"/>
      <c r="AD56" s="39">
        <v>2791453000</v>
      </c>
      <c r="AE56" s="54"/>
      <c r="AF56" s="55"/>
      <c r="AG56" s="55"/>
      <c r="AH56" s="55"/>
      <c r="AI56" s="55"/>
    </row>
    <row r="57" spans="1:35" ht="22.5" customHeight="1" x14ac:dyDescent="0.25">
      <c r="A57" s="30"/>
      <c r="B57" s="43">
        <v>51</v>
      </c>
      <c r="C57" s="51" t="s">
        <v>58</v>
      </c>
      <c r="D57" s="47">
        <v>128948000</v>
      </c>
      <c r="E57" s="47">
        <v>43047000</v>
      </c>
      <c r="F57" s="47"/>
      <c r="G57" s="47"/>
      <c r="H57" s="47">
        <v>3781346000</v>
      </c>
      <c r="I57" s="47">
        <f>21772000</f>
        <v>21772000</v>
      </c>
      <c r="J57" s="47"/>
      <c r="K57" s="47"/>
      <c r="L57" s="47">
        <f>22600000+65565000</f>
        <v>88165000</v>
      </c>
      <c r="M57" s="47">
        <f>6100000+18274950</f>
        <v>24374950</v>
      </c>
      <c r="N57" s="47"/>
      <c r="O57" s="47"/>
      <c r="P57" s="46">
        <f t="shared" si="4"/>
        <v>3998459000</v>
      </c>
      <c r="Q57" s="46">
        <f t="shared" si="5"/>
        <v>89193950</v>
      </c>
      <c r="R57" s="48">
        <f t="shared" si="6"/>
        <v>2.2307081303072008E-2</v>
      </c>
      <c r="S57" s="45"/>
      <c r="T57" s="85">
        <v>101036428000</v>
      </c>
      <c r="U57" s="85">
        <v>101036428000</v>
      </c>
      <c r="V57" s="85" t="e">
        <f t="shared" si="13"/>
        <v>#REF!</v>
      </c>
      <c r="W57" s="86" t="e">
        <f t="shared" si="10"/>
        <v>#REF!</v>
      </c>
      <c r="X57" s="87" t="e">
        <f t="shared" si="11"/>
        <v>#REF!</v>
      </c>
      <c r="Y57" s="85"/>
      <c r="Z57" s="85"/>
      <c r="AA57" s="88">
        <v>101016528000</v>
      </c>
      <c r="AB57" s="87">
        <f t="shared" si="12"/>
        <v>101016528000</v>
      </c>
      <c r="AC57" s="38"/>
      <c r="AD57" s="39">
        <v>4452186000</v>
      </c>
      <c r="AE57" s="90"/>
      <c r="AF57" s="9"/>
      <c r="AG57" s="9"/>
      <c r="AH57" s="9"/>
      <c r="AI57" s="9"/>
    </row>
    <row r="58" spans="1:35" ht="22.5" customHeight="1" x14ac:dyDescent="0.25">
      <c r="A58" s="30"/>
      <c r="B58" s="43">
        <v>52</v>
      </c>
      <c r="C58" s="51" t="s">
        <v>59</v>
      </c>
      <c r="D58" s="47">
        <v>105042000</v>
      </c>
      <c r="E58" s="47">
        <v>7350000</v>
      </c>
      <c r="F58" s="47"/>
      <c r="G58" s="47"/>
      <c r="H58" s="47">
        <f>493410000+1707128000+1137495000</f>
        <v>3338033000</v>
      </c>
      <c r="I58" s="47"/>
      <c r="J58" s="47">
        <f>63971000+19000000+222900000</f>
        <v>305871000</v>
      </c>
      <c r="K58" s="47">
        <f>140400000+1500000</f>
        <v>141900000</v>
      </c>
      <c r="L58" s="47">
        <f>117600000+69155000+848005000</f>
        <v>1034760000</v>
      </c>
      <c r="M58" s="47">
        <f>99225000+27150000+3600000</f>
        <v>129975000</v>
      </c>
      <c r="N58" s="47"/>
      <c r="O58" s="47"/>
      <c r="P58" s="46">
        <f t="shared" si="4"/>
        <v>4783706000</v>
      </c>
      <c r="Q58" s="46">
        <f t="shared" si="5"/>
        <v>279225000</v>
      </c>
      <c r="R58" s="48">
        <f t="shared" si="6"/>
        <v>5.8370016886489261E-2</v>
      </c>
      <c r="S58" s="45">
        <v>505000000</v>
      </c>
      <c r="T58" s="33">
        <v>1369020000</v>
      </c>
      <c r="U58" s="33">
        <v>1369020000</v>
      </c>
      <c r="V58" s="34" t="e">
        <f t="shared" si="13"/>
        <v>#REF!</v>
      </c>
      <c r="W58" s="35" t="e">
        <f t="shared" si="10"/>
        <v>#REF!</v>
      </c>
      <c r="X58" s="15" t="e">
        <f t="shared" si="11"/>
        <v>#REF!</v>
      </c>
      <c r="Y58" s="36"/>
      <c r="Z58" s="33"/>
      <c r="AA58" s="37">
        <v>1369020000</v>
      </c>
      <c r="AB58" s="15">
        <f t="shared" si="12"/>
        <v>864020000</v>
      </c>
      <c r="AC58" s="79"/>
      <c r="AD58" s="39">
        <v>1729177000</v>
      </c>
      <c r="AE58" s="40"/>
      <c r="AF58" s="41"/>
      <c r="AG58" s="41"/>
      <c r="AH58" s="41"/>
      <c r="AI58" s="41"/>
    </row>
    <row r="59" spans="1:35" ht="22.5" customHeight="1" x14ac:dyDescent="0.25">
      <c r="A59" s="30"/>
      <c r="B59" s="43">
        <v>53</v>
      </c>
      <c r="C59" s="51" t="s">
        <v>60</v>
      </c>
      <c r="D59" s="47">
        <v>155218000</v>
      </c>
      <c r="E59" s="47">
        <f>38441000</f>
        <v>38441000</v>
      </c>
      <c r="F59" s="47"/>
      <c r="G59" s="47"/>
      <c r="H59" s="47">
        <v>2021180000</v>
      </c>
      <c r="I59" s="47">
        <f>7962000</f>
        <v>7962000</v>
      </c>
      <c r="J59" s="47">
        <f>212452000+10000000+449872000</f>
        <v>672324000</v>
      </c>
      <c r="K59" s="47">
        <f>7224000</f>
        <v>7224000</v>
      </c>
      <c r="L59" s="47">
        <f>32520000+230600000+372320000+54640000+266618000+18420000</f>
        <v>975118000</v>
      </c>
      <c r="M59" s="47">
        <f>38400000+87470000</f>
        <v>125870000</v>
      </c>
      <c r="N59" s="47">
        <v>52800000</v>
      </c>
      <c r="O59" s="47"/>
      <c r="P59" s="46">
        <f t="shared" si="4"/>
        <v>3876640000</v>
      </c>
      <c r="Q59" s="46">
        <f t="shared" si="5"/>
        <v>179497000</v>
      </c>
      <c r="R59" s="48">
        <f t="shared" si="6"/>
        <v>4.630221016137686E-2</v>
      </c>
      <c r="S59" s="45">
        <v>5000000</v>
      </c>
      <c r="T59" s="34">
        <v>5842054000</v>
      </c>
      <c r="U59" s="34">
        <v>5842054000</v>
      </c>
      <c r="V59" s="34" t="e">
        <f t="shared" si="13"/>
        <v>#REF!</v>
      </c>
      <c r="W59" s="35" t="e">
        <f t="shared" si="10"/>
        <v>#REF!</v>
      </c>
      <c r="X59" s="15" t="e">
        <f t="shared" si="11"/>
        <v>#REF!</v>
      </c>
      <c r="Y59" s="36">
        <v>5318243196</v>
      </c>
      <c r="Z59" s="34" t="e">
        <f>Y59-#REF!</f>
        <v>#REF!</v>
      </c>
      <c r="AA59" s="37">
        <v>5842054000</v>
      </c>
      <c r="AB59" s="15">
        <f t="shared" si="12"/>
        <v>5837054000</v>
      </c>
      <c r="AC59" s="38"/>
      <c r="AD59" s="39">
        <v>2484544000</v>
      </c>
      <c r="AE59" s="91"/>
      <c r="AF59" s="92"/>
      <c r="AG59" s="50"/>
      <c r="AH59" s="50"/>
      <c r="AI59" s="50"/>
    </row>
    <row r="60" spans="1:35" ht="22.5" customHeight="1" x14ac:dyDescent="0.25">
      <c r="A60" s="30"/>
      <c r="B60" s="43">
        <v>54</v>
      </c>
      <c r="C60" s="51" t="s">
        <v>61</v>
      </c>
      <c r="D60" s="47">
        <v>148118000</v>
      </c>
      <c r="E60" s="47">
        <v>32775000</v>
      </c>
      <c r="F60" s="47"/>
      <c r="G60" s="47"/>
      <c r="H60" s="47"/>
      <c r="I60" s="47"/>
      <c r="J60" s="47"/>
      <c r="K60" s="47"/>
      <c r="L60" s="47"/>
      <c r="M60" s="47"/>
      <c r="N60" s="47">
        <f>52800000+180000000+200000000+1795000000+3495550000</f>
        <v>5723350000</v>
      </c>
      <c r="O60" s="47">
        <f>13750000+200100000+1012800000</f>
        <v>1226650000</v>
      </c>
      <c r="P60" s="46">
        <f t="shared" si="4"/>
        <v>5871468000</v>
      </c>
      <c r="Q60" s="46">
        <f t="shared" si="5"/>
        <v>1259425000</v>
      </c>
      <c r="R60" s="48">
        <f t="shared" si="6"/>
        <v>0.21449916784013812</v>
      </c>
      <c r="S60" s="45">
        <v>1095000000</v>
      </c>
      <c r="T60" s="66">
        <v>6438253000</v>
      </c>
      <c r="U60" s="66">
        <v>6438253000</v>
      </c>
      <c r="V60" s="34" t="e">
        <f t="shared" si="13"/>
        <v>#REF!</v>
      </c>
      <c r="W60" s="35" t="e">
        <f t="shared" si="10"/>
        <v>#REF!</v>
      </c>
      <c r="X60" s="15" t="e">
        <f t="shared" si="11"/>
        <v>#REF!</v>
      </c>
      <c r="Y60" s="36"/>
      <c r="Z60" s="66"/>
      <c r="AA60" s="37">
        <v>6438253000</v>
      </c>
      <c r="AB60" s="15">
        <f t="shared" si="12"/>
        <v>5343253000</v>
      </c>
      <c r="AC60" s="38"/>
      <c r="AD60" s="39">
        <v>6738764000</v>
      </c>
      <c r="AE60" s="54"/>
      <c r="AF60" s="55"/>
      <c r="AG60" s="55"/>
      <c r="AH60" s="55"/>
      <c r="AI60" s="55"/>
    </row>
    <row r="61" spans="1:35" ht="22.5" customHeight="1" x14ac:dyDescent="0.25">
      <c r="A61" s="30"/>
      <c r="B61" s="43">
        <v>55</v>
      </c>
      <c r="C61" s="51" t="s">
        <v>62</v>
      </c>
      <c r="D61" s="47">
        <v>103770000</v>
      </c>
      <c r="E61" s="47">
        <v>26730000</v>
      </c>
      <c r="F61" s="47"/>
      <c r="G61" s="47"/>
      <c r="H61" s="47"/>
      <c r="I61" s="47"/>
      <c r="J61" s="47">
        <f>43524000+15000000+15000000</f>
        <v>73524000</v>
      </c>
      <c r="K61" s="47">
        <f>4250000</f>
        <v>4250000</v>
      </c>
      <c r="L61" s="47">
        <f>165200000+155770000+671924000+198000000+30000000</f>
        <v>1220894000</v>
      </c>
      <c r="M61" s="47">
        <f>12200000+32020000</f>
        <v>44220000</v>
      </c>
      <c r="N61" s="47"/>
      <c r="O61" s="47"/>
      <c r="P61" s="46">
        <f t="shared" si="4"/>
        <v>1398188000</v>
      </c>
      <c r="Q61" s="46">
        <f t="shared" si="5"/>
        <v>75200000</v>
      </c>
      <c r="R61" s="48">
        <f t="shared" si="6"/>
        <v>5.378389744440662E-2</v>
      </c>
      <c r="S61" s="45">
        <v>10000000</v>
      </c>
      <c r="T61" s="33">
        <v>113908000</v>
      </c>
      <c r="U61" s="33">
        <v>113908000</v>
      </c>
      <c r="V61" s="34" t="e">
        <f t="shared" si="13"/>
        <v>#REF!</v>
      </c>
      <c r="W61" s="35" t="e">
        <f t="shared" si="10"/>
        <v>#REF!</v>
      </c>
      <c r="X61" s="15" t="e">
        <f t="shared" si="11"/>
        <v>#REF!</v>
      </c>
      <c r="Y61" s="36"/>
      <c r="Z61" s="33"/>
      <c r="AA61" s="37">
        <v>113908000</v>
      </c>
      <c r="AB61" s="15">
        <f t="shared" si="12"/>
        <v>103908000</v>
      </c>
      <c r="AC61" s="38"/>
      <c r="AD61" s="39">
        <v>2732272000</v>
      </c>
      <c r="AE61" s="40"/>
      <c r="AF61" s="41"/>
      <c r="AG61" s="41"/>
      <c r="AH61" s="41"/>
      <c r="AI61" s="41"/>
    </row>
    <row r="62" spans="1:35" ht="22.5" customHeight="1" x14ac:dyDescent="0.25">
      <c r="A62" s="30"/>
      <c r="B62" s="43">
        <v>56</v>
      </c>
      <c r="C62" s="51" t="s">
        <v>107</v>
      </c>
      <c r="D62" s="47">
        <v>104208000</v>
      </c>
      <c r="E62" s="47">
        <v>14700000</v>
      </c>
      <c r="F62" s="47"/>
      <c r="G62" s="47"/>
      <c r="H62" s="47">
        <f>600976000+144500000+815000000+820000000</f>
        <v>2380476000</v>
      </c>
      <c r="I62" s="47"/>
      <c r="J62" s="47"/>
      <c r="K62" s="47"/>
      <c r="L62" s="47">
        <f>22600000+67130000+85000000+200000000</f>
        <v>374730000</v>
      </c>
      <c r="M62" s="47">
        <f>5100000+13050000</f>
        <v>18150000</v>
      </c>
      <c r="N62" s="47"/>
      <c r="O62" s="47"/>
      <c r="P62" s="46">
        <f t="shared" si="4"/>
        <v>2859414000</v>
      </c>
      <c r="Q62" s="46">
        <f t="shared" si="5"/>
        <v>32850000</v>
      </c>
      <c r="R62" s="48">
        <f t="shared" si="6"/>
        <v>1.1488367896359184E-2</v>
      </c>
      <c r="S62" s="45"/>
      <c r="T62" s="34">
        <v>516270000</v>
      </c>
      <c r="U62" s="34">
        <v>516270000</v>
      </c>
      <c r="V62" s="34" t="e">
        <f t="shared" si="13"/>
        <v>#REF!</v>
      </c>
      <c r="W62" s="35" t="e">
        <f t="shared" si="10"/>
        <v>#REF!</v>
      </c>
      <c r="X62" s="15" t="e">
        <f t="shared" si="11"/>
        <v>#REF!</v>
      </c>
      <c r="Y62" s="36"/>
      <c r="Z62" s="34"/>
      <c r="AA62" s="37">
        <v>516270000</v>
      </c>
      <c r="AB62" s="15">
        <f t="shared" si="12"/>
        <v>516270000</v>
      </c>
      <c r="AC62" s="38"/>
      <c r="AD62" s="39">
        <v>3998459000</v>
      </c>
      <c r="AE62" s="49"/>
      <c r="AF62" s="50"/>
      <c r="AG62" s="50"/>
      <c r="AH62" s="50"/>
      <c r="AI62" s="50"/>
    </row>
    <row r="63" spans="1:35" ht="22.5" customHeight="1" x14ac:dyDescent="0.25">
      <c r="A63" s="30"/>
      <c r="B63" s="43">
        <v>57</v>
      </c>
      <c r="C63" s="51" t="s">
        <v>64</v>
      </c>
      <c r="D63" s="47">
        <v>103174000</v>
      </c>
      <c r="E63" s="47"/>
      <c r="F63" s="47"/>
      <c r="G63" s="47"/>
      <c r="H63" s="47">
        <f>561456000+40504000</f>
        <v>601960000</v>
      </c>
      <c r="I63" s="47"/>
      <c r="J63" s="47">
        <f>1148884000+1349665000</f>
        <v>2498549000</v>
      </c>
      <c r="K63" s="47"/>
      <c r="L63" s="47">
        <f>37560000+187800000+196120000+78000000+102270000+107960000</f>
        <v>709710000</v>
      </c>
      <c r="M63" s="47">
        <f>20400000+6700000</f>
        <v>27100000</v>
      </c>
      <c r="N63" s="47"/>
      <c r="O63" s="47"/>
      <c r="P63" s="46">
        <f t="shared" si="4"/>
        <v>3913393000</v>
      </c>
      <c r="Q63" s="46">
        <f t="shared" si="5"/>
        <v>27100000</v>
      </c>
      <c r="R63" s="48">
        <f t="shared" si="6"/>
        <v>6.9249370047935388E-3</v>
      </c>
      <c r="S63" s="45">
        <v>14480000</v>
      </c>
      <c r="T63" s="33">
        <v>616920000</v>
      </c>
      <c r="U63" s="33">
        <v>616920000</v>
      </c>
      <c r="V63" s="34" t="e">
        <f t="shared" si="13"/>
        <v>#REF!</v>
      </c>
      <c r="W63" s="35" t="e">
        <f t="shared" si="10"/>
        <v>#REF!</v>
      </c>
      <c r="X63" s="15" t="e">
        <f t="shared" si="11"/>
        <v>#REF!</v>
      </c>
      <c r="Y63" s="36"/>
      <c r="Z63" s="33"/>
      <c r="AA63" s="37">
        <v>616920000</v>
      </c>
      <c r="AB63" s="15">
        <f t="shared" si="12"/>
        <v>602440000</v>
      </c>
      <c r="AC63" s="38"/>
      <c r="AD63" s="39">
        <v>4787025000</v>
      </c>
      <c r="AE63" s="40"/>
      <c r="AF63" s="41"/>
      <c r="AG63" s="41"/>
      <c r="AH63" s="41"/>
      <c r="AI63" s="41"/>
    </row>
    <row r="64" spans="1:35" ht="22.5" customHeight="1" x14ac:dyDescent="0.25">
      <c r="A64" s="30"/>
      <c r="B64" s="43">
        <v>58</v>
      </c>
      <c r="C64" s="51" t="s">
        <v>108</v>
      </c>
      <c r="D64" s="47">
        <v>114876000</v>
      </c>
      <c r="E64" s="47">
        <v>32000000</v>
      </c>
      <c r="F64" s="47"/>
      <c r="G64" s="47"/>
      <c r="H64" s="47">
        <v>8392148000</v>
      </c>
      <c r="I64" s="47">
        <f>2482912437+14477000</f>
        <v>2497389437</v>
      </c>
      <c r="J64" s="47"/>
      <c r="K64" s="47"/>
      <c r="L64" s="47">
        <f>82600000+73010000</f>
        <v>155610000</v>
      </c>
      <c r="M64" s="47">
        <f>4200000+6600000</f>
        <v>10800000</v>
      </c>
      <c r="N64" s="47"/>
      <c r="O64" s="47"/>
      <c r="P64" s="46">
        <f t="shared" si="4"/>
        <v>8662634000</v>
      </c>
      <c r="Q64" s="46">
        <f t="shared" si="5"/>
        <v>2540189437</v>
      </c>
      <c r="R64" s="48">
        <f t="shared" si="6"/>
        <v>0.29323522579852734</v>
      </c>
      <c r="S64" s="45">
        <v>5000000</v>
      </c>
      <c r="T64" s="34">
        <v>651850000</v>
      </c>
      <c r="U64" s="34">
        <v>651850000</v>
      </c>
      <c r="V64" s="34" t="e">
        <f t="shared" si="13"/>
        <v>#REF!</v>
      </c>
      <c r="W64" s="35" t="e">
        <f t="shared" si="10"/>
        <v>#REF!</v>
      </c>
      <c r="X64" s="15" t="e">
        <f t="shared" si="11"/>
        <v>#REF!</v>
      </c>
      <c r="Y64" s="36"/>
      <c r="Z64" s="34"/>
      <c r="AA64" s="37">
        <v>651850000</v>
      </c>
      <c r="AB64" s="15">
        <f t="shared" si="12"/>
        <v>646850000</v>
      </c>
      <c r="AC64" s="38"/>
      <c r="AD64" s="39">
        <v>3876640000</v>
      </c>
      <c r="AE64" s="49"/>
      <c r="AF64" s="50"/>
      <c r="AG64" s="50"/>
      <c r="AH64" s="50"/>
      <c r="AI64" s="50"/>
    </row>
    <row r="65" spans="1:35" ht="22.5" customHeight="1" x14ac:dyDescent="0.25">
      <c r="A65" s="30"/>
      <c r="B65" s="43">
        <v>59</v>
      </c>
      <c r="C65" s="51" t="s">
        <v>66</v>
      </c>
      <c r="D65" s="47">
        <v>103682000</v>
      </c>
      <c r="E65" s="47">
        <v>15601500</v>
      </c>
      <c r="F65" s="47"/>
      <c r="G65" s="47"/>
      <c r="H65" s="47">
        <f>979141000+1150553000</f>
        <v>2129694000</v>
      </c>
      <c r="I65" s="47">
        <f>316663800+5427500+558127800</f>
        <v>880219100</v>
      </c>
      <c r="J65" s="47">
        <f>61964000+35000000+163500000</f>
        <v>260464000</v>
      </c>
      <c r="K65" s="47">
        <f>44550000+3835000</f>
        <v>48385000</v>
      </c>
      <c r="L65" s="47">
        <f>140200000+131505000+90320000+74355000+410000000+348018000+1004000000</f>
        <v>2198398000</v>
      </c>
      <c r="M65" s="47">
        <f>12800000+26700000+119001000+99193500</f>
        <v>257694500</v>
      </c>
      <c r="N65" s="47"/>
      <c r="O65" s="47"/>
      <c r="P65" s="46">
        <f t="shared" si="4"/>
        <v>4692238000</v>
      </c>
      <c r="Q65" s="46">
        <f t="shared" si="5"/>
        <v>1201900100</v>
      </c>
      <c r="R65" s="48">
        <f t="shared" si="6"/>
        <v>0.2561464486669261</v>
      </c>
      <c r="S65" s="45">
        <v>5000000</v>
      </c>
      <c r="T65" s="34">
        <v>988988000</v>
      </c>
      <c r="U65" s="34">
        <v>988988000</v>
      </c>
      <c r="V65" s="34" t="e">
        <f t="shared" si="13"/>
        <v>#REF!</v>
      </c>
      <c r="W65" s="35" t="e">
        <f t="shared" si="10"/>
        <v>#REF!</v>
      </c>
      <c r="X65" s="15" t="e">
        <f t="shared" si="11"/>
        <v>#REF!</v>
      </c>
      <c r="Y65" s="36"/>
      <c r="Z65" s="34"/>
      <c r="AA65" s="37">
        <v>988988000</v>
      </c>
      <c r="AB65" s="15">
        <f t="shared" si="12"/>
        <v>983988000</v>
      </c>
      <c r="AC65" s="38"/>
      <c r="AD65" s="39">
        <v>5871468000</v>
      </c>
      <c r="AE65" s="49"/>
      <c r="AF65" s="50"/>
      <c r="AG65" s="50"/>
      <c r="AH65" s="50"/>
      <c r="AI65" s="50"/>
    </row>
    <row r="66" spans="1:35" ht="22.5" customHeight="1" x14ac:dyDescent="0.25">
      <c r="A66" s="30"/>
      <c r="B66" s="43">
        <v>60</v>
      </c>
      <c r="C66" s="51" t="s">
        <v>67</v>
      </c>
      <c r="D66" s="47">
        <v>177838000</v>
      </c>
      <c r="E66" s="47">
        <f>58746000</f>
        <v>58746000</v>
      </c>
      <c r="F66" s="47"/>
      <c r="G66" s="47"/>
      <c r="H66" s="47">
        <f>722382000+206300000+2287858000</f>
        <v>3216540000</v>
      </c>
      <c r="I66" s="47">
        <f>1047516000+178337100</f>
        <v>1225853100</v>
      </c>
      <c r="J66" s="47">
        <f>75014000+66000000+312000000</f>
        <v>453014000</v>
      </c>
      <c r="K66" s="47">
        <f>93711100+6044000</f>
        <v>99755100</v>
      </c>
      <c r="L66" s="47">
        <f>117600000+72630000+106570000+145230000</f>
        <v>442030000</v>
      </c>
      <c r="M66" s="47">
        <f>40200000+29151000</f>
        <v>69351000</v>
      </c>
      <c r="N66" s="47">
        <f>2498250000+1800000000</f>
        <v>4298250000</v>
      </c>
      <c r="O66" s="47">
        <f>24000000+1580383000</f>
        <v>1604383000</v>
      </c>
      <c r="P66" s="46">
        <f t="shared" si="4"/>
        <v>8587672000</v>
      </c>
      <c r="Q66" s="46">
        <f t="shared" si="5"/>
        <v>3058088200</v>
      </c>
      <c r="R66" s="48">
        <f t="shared" si="6"/>
        <v>0.35610211941024295</v>
      </c>
      <c r="S66" s="45">
        <v>2614640000</v>
      </c>
      <c r="T66" s="34">
        <v>158049000</v>
      </c>
      <c r="U66" s="34">
        <v>158049000</v>
      </c>
      <c r="V66" s="34" t="e">
        <f t="shared" si="13"/>
        <v>#REF!</v>
      </c>
      <c r="W66" s="35" t="e">
        <f t="shared" si="10"/>
        <v>#REF!</v>
      </c>
      <c r="X66" s="15" t="e">
        <f t="shared" si="11"/>
        <v>#REF!</v>
      </c>
      <c r="Y66" s="36"/>
      <c r="Z66" s="34"/>
      <c r="AA66" s="37">
        <v>158049000</v>
      </c>
      <c r="AB66" s="15">
        <f t="shared" si="12"/>
        <v>-2456591000</v>
      </c>
      <c r="AC66" s="38"/>
      <c r="AD66" s="39">
        <v>1398188000</v>
      </c>
      <c r="AE66" s="49"/>
      <c r="AF66" s="50"/>
      <c r="AG66" s="50"/>
      <c r="AH66" s="50"/>
      <c r="AI66" s="50"/>
    </row>
    <row r="67" spans="1:35" ht="21.75" customHeight="1" x14ac:dyDescent="0.25">
      <c r="A67" s="30"/>
      <c r="B67" s="43">
        <v>61</v>
      </c>
      <c r="C67" s="51" t="s">
        <v>109</v>
      </c>
      <c r="D67" s="47">
        <v>85562000</v>
      </c>
      <c r="E67" s="47">
        <v>10700000</v>
      </c>
      <c r="F67" s="47"/>
      <c r="G67" s="47"/>
      <c r="H67" s="47"/>
      <c r="I67" s="47"/>
      <c r="J67" s="47"/>
      <c r="K67" s="47"/>
      <c r="L67" s="47">
        <f>22600000+74490000</f>
        <v>97090000</v>
      </c>
      <c r="M67" s="47">
        <f>2200000+10500000</f>
        <v>12700000</v>
      </c>
      <c r="N67" s="47">
        <v>1194500000</v>
      </c>
      <c r="O67" s="47"/>
      <c r="P67" s="46">
        <f t="shared" si="4"/>
        <v>1377152000</v>
      </c>
      <c r="Q67" s="46">
        <f t="shared" si="5"/>
        <v>23400000</v>
      </c>
      <c r="R67" s="48">
        <f t="shared" si="6"/>
        <v>1.6991588437587135E-2</v>
      </c>
      <c r="S67" s="45"/>
      <c r="T67" s="34">
        <v>83608000</v>
      </c>
      <c r="U67" s="34">
        <v>83608000</v>
      </c>
      <c r="V67" s="34" t="e">
        <f t="shared" si="13"/>
        <v>#REF!</v>
      </c>
      <c r="W67" s="35" t="e">
        <f t="shared" si="10"/>
        <v>#REF!</v>
      </c>
      <c r="X67" s="15" t="e">
        <f t="shared" si="11"/>
        <v>#REF!</v>
      </c>
      <c r="Y67" s="36"/>
      <c r="Z67" s="34"/>
      <c r="AA67" s="37">
        <v>83608000</v>
      </c>
      <c r="AB67" s="15">
        <f t="shared" si="12"/>
        <v>83608000</v>
      </c>
      <c r="AC67" s="38"/>
      <c r="AD67" s="39">
        <v>2861914000</v>
      </c>
      <c r="AE67" s="49"/>
      <c r="AF67" s="50"/>
      <c r="AG67" s="50"/>
      <c r="AH67" s="50"/>
      <c r="AI67" s="50"/>
    </row>
    <row r="68" spans="1:35" ht="21.75" customHeight="1" x14ac:dyDescent="0.25">
      <c r="A68" s="30"/>
      <c r="B68" s="43">
        <v>62</v>
      </c>
      <c r="C68" s="51" t="s">
        <v>69</v>
      </c>
      <c r="D68" s="47">
        <v>74190000</v>
      </c>
      <c r="E68" s="47"/>
      <c r="F68" s="47"/>
      <c r="G68" s="47"/>
      <c r="H68" s="47"/>
      <c r="I68" s="47"/>
      <c r="J68" s="47"/>
      <c r="K68" s="47"/>
      <c r="L68" s="47">
        <f>24420000+228630000</f>
        <v>253050000</v>
      </c>
      <c r="M68" s="47"/>
      <c r="N68" s="47"/>
      <c r="O68" s="47"/>
      <c r="P68" s="46">
        <f t="shared" si="4"/>
        <v>327240000</v>
      </c>
      <c r="Q68" s="46">
        <f t="shared" si="5"/>
        <v>0</v>
      </c>
      <c r="R68" s="48">
        <f t="shared" si="6"/>
        <v>0</v>
      </c>
      <c r="S68" s="45">
        <v>200020000</v>
      </c>
      <c r="T68" s="33">
        <v>1288062000</v>
      </c>
      <c r="U68" s="33">
        <v>1288062000</v>
      </c>
      <c r="V68" s="34" t="e">
        <f t="shared" si="13"/>
        <v>#REF!</v>
      </c>
      <c r="W68" s="35" t="e">
        <f t="shared" si="10"/>
        <v>#REF!</v>
      </c>
      <c r="X68" s="15" t="e">
        <f t="shared" si="11"/>
        <v>#REF!</v>
      </c>
      <c r="Y68" s="36"/>
      <c r="Z68" s="33"/>
      <c r="AA68" s="37">
        <v>1288062000</v>
      </c>
      <c r="AB68" s="15">
        <f t="shared" si="12"/>
        <v>1088042000</v>
      </c>
      <c r="AC68" s="38"/>
      <c r="AD68" s="39">
        <v>3913393000</v>
      </c>
      <c r="AE68" s="40"/>
      <c r="AF68" s="41"/>
      <c r="AG68" s="41"/>
      <c r="AH68" s="41"/>
      <c r="AI68" s="41"/>
    </row>
    <row r="69" spans="1:35" ht="22.5" customHeight="1" x14ac:dyDescent="0.25">
      <c r="A69" s="30"/>
      <c r="B69" s="43">
        <v>63</v>
      </c>
      <c r="C69" s="51" t="s">
        <v>70</v>
      </c>
      <c r="D69" s="47">
        <v>134828000</v>
      </c>
      <c r="E69" s="47">
        <v>36747600</v>
      </c>
      <c r="F69" s="47"/>
      <c r="G69" s="47"/>
      <c r="H69" s="47">
        <v>24760000</v>
      </c>
      <c r="I69" s="47"/>
      <c r="J69" s="47">
        <f>120552000+11000000+318562000</f>
        <v>450114000</v>
      </c>
      <c r="K69" s="47">
        <f>16771800+70870000</f>
        <v>87641800</v>
      </c>
      <c r="L69" s="47">
        <f>21360000+200200000+138550000+300000000+117210000+395939000</f>
        <v>1173259000</v>
      </c>
      <c r="M69" s="47">
        <f>58930000+185644150</f>
        <v>244574150</v>
      </c>
      <c r="N69" s="47">
        <v>139500000</v>
      </c>
      <c r="O69" s="47"/>
      <c r="P69" s="46">
        <f t="shared" si="4"/>
        <v>1922461000</v>
      </c>
      <c r="Q69" s="46">
        <f t="shared" si="5"/>
        <v>368963550</v>
      </c>
      <c r="R69" s="48">
        <f t="shared" si="6"/>
        <v>0.19192251494308596</v>
      </c>
      <c r="S69" s="45">
        <v>10000000</v>
      </c>
      <c r="T69" s="34">
        <v>2212744000</v>
      </c>
      <c r="U69" s="34">
        <v>2212744000</v>
      </c>
      <c r="V69" s="34" t="e">
        <f t="shared" si="13"/>
        <v>#REF!</v>
      </c>
      <c r="W69" s="35" t="e">
        <f t="shared" si="10"/>
        <v>#REF!</v>
      </c>
      <c r="X69" s="15" t="e">
        <f t="shared" si="11"/>
        <v>#REF!</v>
      </c>
      <c r="Y69" s="36"/>
      <c r="Z69" s="34"/>
      <c r="AA69" s="37">
        <v>2212744000</v>
      </c>
      <c r="AB69" s="15">
        <f t="shared" si="12"/>
        <v>2202744000</v>
      </c>
      <c r="AC69" s="38"/>
      <c r="AD69" s="39">
        <v>8662634000</v>
      </c>
      <c r="AE69" s="49"/>
      <c r="AF69" s="50"/>
      <c r="AG69" s="50"/>
      <c r="AH69" s="50"/>
      <c r="AI69" s="50"/>
    </row>
    <row r="70" spans="1:35" ht="22.5" customHeight="1" x14ac:dyDescent="0.25">
      <c r="A70" s="30"/>
      <c r="B70" s="43">
        <v>64</v>
      </c>
      <c r="C70" s="51" t="s">
        <v>110</v>
      </c>
      <c r="D70" s="47">
        <v>100252000</v>
      </c>
      <c r="E70" s="47">
        <v>15420000</v>
      </c>
      <c r="F70" s="47"/>
      <c r="G70" s="47"/>
      <c r="H70" s="47">
        <f>767052000+227000000+175500000</f>
        <v>1169552000</v>
      </c>
      <c r="I70" s="47"/>
      <c r="J70" s="47"/>
      <c r="K70" s="47"/>
      <c r="L70" s="47">
        <f>82600000+74810000+260000000+452700000</f>
        <v>870110000</v>
      </c>
      <c r="M70" s="47">
        <v>18150000</v>
      </c>
      <c r="N70" s="47"/>
      <c r="O70" s="47"/>
      <c r="P70" s="46">
        <f t="shared" si="4"/>
        <v>2139914000</v>
      </c>
      <c r="Q70" s="46">
        <f t="shared" si="5"/>
        <v>33570000</v>
      </c>
      <c r="R70" s="48">
        <f t="shared" si="6"/>
        <v>1.5687546321954994E-2</v>
      </c>
      <c r="S70" s="45">
        <v>5000000</v>
      </c>
      <c r="T70" s="34">
        <v>226909000</v>
      </c>
      <c r="U70" s="34">
        <v>226909000</v>
      </c>
      <c r="V70" s="34" t="e">
        <f t="shared" si="13"/>
        <v>#REF!</v>
      </c>
      <c r="W70" s="35" t="e">
        <f t="shared" si="10"/>
        <v>#REF!</v>
      </c>
      <c r="X70" s="15" t="e">
        <f t="shared" si="11"/>
        <v>#REF!</v>
      </c>
      <c r="Y70" s="36"/>
      <c r="Z70" s="34"/>
      <c r="AA70" s="37">
        <v>226909000</v>
      </c>
      <c r="AB70" s="15">
        <f t="shared" si="12"/>
        <v>221909000</v>
      </c>
      <c r="AC70" s="38"/>
      <c r="AD70" s="39">
        <v>4736238000</v>
      </c>
      <c r="AE70" s="49"/>
      <c r="AF70" s="50"/>
      <c r="AG70" s="50"/>
      <c r="AH70" s="50"/>
      <c r="AI70" s="50"/>
    </row>
    <row r="71" spans="1:35" ht="22.5" customHeight="1" x14ac:dyDescent="0.25">
      <c r="A71" s="30"/>
      <c r="B71" s="43">
        <v>65</v>
      </c>
      <c r="C71" s="51" t="s">
        <v>72</v>
      </c>
      <c r="D71" s="47">
        <v>85514000</v>
      </c>
      <c r="E71" s="47"/>
      <c r="F71" s="47"/>
      <c r="G71" s="47"/>
      <c r="H71" s="47">
        <v>36720000</v>
      </c>
      <c r="I71" s="47"/>
      <c r="J71" s="47">
        <f>227118000+184025000</f>
        <v>411143000</v>
      </c>
      <c r="K71" s="47"/>
      <c r="L71" s="47">
        <f>24990000+82600000+93390000+113268000+24480000</f>
        <v>338728000</v>
      </c>
      <c r="M71" s="47"/>
      <c r="N71" s="47"/>
      <c r="O71" s="47"/>
      <c r="P71" s="46">
        <f t="shared" si="4"/>
        <v>872105000</v>
      </c>
      <c r="Q71" s="46">
        <f t="shared" si="5"/>
        <v>0</v>
      </c>
      <c r="R71" s="48">
        <f t="shared" si="6"/>
        <v>0</v>
      </c>
      <c r="S71" s="45">
        <v>5000000</v>
      </c>
      <c r="T71" s="66">
        <v>2405094000</v>
      </c>
      <c r="U71" s="66">
        <v>2405094000</v>
      </c>
      <c r="V71" s="34" t="e">
        <f t="shared" si="13"/>
        <v>#REF!</v>
      </c>
      <c r="W71" s="35" t="e">
        <f t="shared" si="10"/>
        <v>#REF!</v>
      </c>
      <c r="X71" s="15" t="e">
        <f t="shared" si="11"/>
        <v>#REF!</v>
      </c>
      <c r="Y71" s="36"/>
      <c r="Z71" s="66"/>
      <c r="AA71" s="37">
        <v>1935654000</v>
      </c>
      <c r="AB71" s="15">
        <f t="shared" si="12"/>
        <v>1930654000</v>
      </c>
      <c r="AC71" s="38"/>
      <c r="AD71" s="39">
        <v>8593628000</v>
      </c>
      <c r="AE71" s="93"/>
      <c r="AF71" s="57"/>
      <c r="AG71" s="55"/>
      <c r="AH71" s="55"/>
      <c r="AI71" s="55"/>
    </row>
    <row r="72" spans="1:35" ht="22.5" customHeight="1" x14ac:dyDescent="0.25">
      <c r="A72" s="30"/>
      <c r="B72" s="43">
        <v>66</v>
      </c>
      <c r="C72" s="51" t="s">
        <v>73</v>
      </c>
      <c r="D72" s="45">
        <v>108332000</v>
      </c>
      <c r="E72" s="45">
        <f>21330000</f>
        <v>21330000</v>
      </c>
      <c r="F72" s="47"/>
      <c r="G72" s="47"/>
      <c r="H72" s="47">
        <f>1307515000+9516000+227918000</f>
        <v>1544949000</v>
      </c>
      <c r="I72" s="47">
        <f>29894606</f>
        <v>29894606</v>
      </c>
      <c r="J72" s="47">
        <f>91556000+17000000+96900000</f>
        <v>205456000</v>
      </c>
      <c r="K72" s="47">
        <v>27300000</v>
      </c>
      <c r="L72" s="47">
        <f>57600000+81965000+40555000</f>
        <v>180120000</v>
      </c>
      <c r="M72" s="47"/>
      <c r="N72" s="47">
        <f>2106697000</f>
        <v>2106697000</v>
      </c>
      <c r="O72" s="47"/>
      <c r="P72" s="46">
        <f t="shared" si="4"/>
        <v>4145554000</v>
      </c>
      <c r="Q72" s="46">
        <f t="shared" si="5"/>
        <v>78524606</v>
      </c>
      <c r="R72" s="48">
        <f t="shared" si="6"/>
        <v>1.8941884727590088E-2</v>
      </c>
      <c r="S72" s="45">
        <v>150000000</v>
      </c>
      <c r="T72" s="33">
        <v>944956000</v>
      </c>
      <c r="U72" s="33">
        <v>944956000</v>
      </c>
      <c r="V72" s="34" t="e">
        <f t="shared" si="13"/>
        <v>#REF!</v>
      </c>
      <c r="W72" s="35" t="e">
        <f t="shared" si="10"/>
        <v>#REF!</v>
      </c>
      <c r="X72" s="15" t="e">
        <f t="shared" si="11"/>
        <v>#REF!</v>
      </c>
      <c r="Y72" s="36"/>
      <c r="Z72" s="33"/>
      <c r="AA72" s="37">
        <v>944956000</v>
      </c>
      <c r="AB72" s="15">
        <f t="shared" si="12"/>
        <v>794956000</v>
      </c>
      <c r="AC72" s="38"/>
      <c r="AD72" s="39">
        <v>1377152000</v>
      </c>
      <c r="AE72" s="40"/>
      <c r="AF72" s="41"/>
      <c r="AG72" s="41"/>
      <c r="AH72" s="41"/>
      <c r="AI72" s="41"/>
    </row>
    <row r="73" spans="1:35" ht="22.5" customHeight="1" x14ac:dyDescent="0.25">
      <c r="A73" s="30"/>
      <c r="B73" s="43">
        <v>67</v>
      </c>
      <c r="C73" s="51" t="s">
        <v>74</v>
      </c>
      <c r="D73" s="45">
        <v>98706000</v>
      </c>
      <c r="E73" s="45">
        <v>12440000</v>
      </c>
      <c r="F73" s="47"/>
      <c r="G73" s="47"/>
      <c r="H73" s="47">
        <v>50852000</v>
      </c>
      <c r="I73" s="47"/>
      <c r="J73" s="47">
        <f>417008000+588720000</f>
        <v>1005728000</v>
      </c>
      <c r="K73" s="47"/>
      <c r="L73" s="47">
        <f>173000000+373450000+227301000+450000000+48160000</f>
        <v>1271911000</v>
      </c>
      <c r="M73" s="47">
        <f>27200000+76400000</f>
        <v>103600000</v>
      </c>
      <c r="N73" s="47"/>
      <c r="O73" s="47"/>
      <c r="P73" s="46">
        <f t="shared" si="4"/>
        <v>2427197000</v>
      </c>
      <c r="Q73" s="46">
        <f t="shared" si="5"/>
        <v>116040000</v>
      </c>
      <c r="R73" s="48">
        <f t="shared" si="6"/>
        <v>4.780823311828418E-2</v>
      </c>
      <c r="S73" s="45">
        <v>455000000</v>
      </c>
      <c r="T73" s="33">
        <v>905977000</v>
      </c>
      <c r="U73" s="33">
        <v>905977000</v>
      </c>
      <c r="V73" s="34" t="e">
        <f t="shared" si="13"/>
        <v>#REF!</v>
      </c>
      <c r="W73" s="35" t="e">
        <f t="shared" si="10"/>
        <v>#REF!</v>
      </c>
      <c r="X73" s="15" t="e">
        <f t="shared" si="11"/>
        <v>#REF!</v>
      </c>
      <c r="Y73" s="36"/>
      <c r="Z73" s="33"/>
      <c r="AA73" s="37">
        <v>905977000</v>
      </c>
      <c r="AB73" s="15">
        <f t="shared" si="12"/>
        <v>450977000</v>
      </c>
      <c r="AC73" s="38"/>
      <c r="AD73" s="39">
        <v>327240000</v>
      </c>
      <c r="AE73" s="40"/>
      <c r="AF73" s="41"/>
      <c r="AG73" s="41"/>
      <c r="AH73" s="41"/>
      <c r="AI73" s="41"/>
    </row>
    <row r="74" spans="1:35" ht="22.5" customHeight="1" x14ac:dyDescent="0.25">
      <c r="A74" s="30"/>
      <c r="B74" s="43">
        <v>68</v>
      </c>
      <c r="C74" s="51" t="s">
        <v>75</v>
      </c>
      <c r="D74" s="45">
        <v>100542000</v>
      </c>
      <c r="E74" s="45">
        <v>4350000</v>
      </c>
      <c r="F74" s="47"/>
      <c r="G74" s="47"/>
      <c r="H74" s="47">
        <f>351586000+754104000+501900000</f>
        <v>1607590000</v>
      </c>
      <c r="I74" s="47">
        <v>15264000</v>
      </c>
      <c r="J74" s="47">
        <f>92898000+25000000+15000000</f>
        <v>132898000</v>
      </c>
      <c r="K74" s="47"/>
      <c r="L74" s="47">
        <f>45200000+182180000</f>
        <v>227380000</v>
      </c>
      <c r="M74" s="47">
        <f>1184000</f>
        <v>1184000</v>
      </c>
      <c r="N74" s="47"/>
      <c r="O74" s="47"/>
      <c r="P74" s="46">
        <f t="shared" si="4"/>
        <v>2068410000</v>
      </c>
      <c r="Q74" s="46">
        <f t="shared" si="5"/>
        <v>20798000</v>
      </c>
      <c r="R74" s="48">
        <f t="shared" si="6"/>
        <v>1.0055066452009031E-2</v>
      </c>
      <c r="S74" s="45"/>
      <c r="T74" s="94">
        <v>944188000</v>
      </c>
      <c r="U74" s="94">
        <v>944188000</v>
      </c>
      <c r="V74" s="34" t="e">
        <f t="shared" si="13"/>
        <v>#REF!</v>
      </c>
      <c r="W74" s="35" t="e">
        <f t="shared" si="10"/>
        <v>#REF!</v>
      </c>
      <c r="X74" s="15" t="e">
        <f t="shared" si="11"/>
        <v>#REF!</v>
      </c>
      <c r="Y74" s="36"/>
      <c r="Z74" s="94"/>
      <c r="AA74" s="37">
        <v>944188000</v>
      </c>
      <c r="AB74" s="15">
        <f t="shared" si="12"/>
        <v>944188000</v>
      </c>
      <c r="AC74" s="38"/>
      <c r="AD74" s="39">
        <v>1922461000</v>
      </c>
      <c r="AE74" s="95"/>
      <c r="AF74" s="96"/>
      <c r="AG74" s="96"/>
      <c r="AH74" s="96"/>
      <c r="AI74" s="96"/>
    </row>
    <row r="75" spans="1:35" ht="22.5" customHeight="1" x14ac:dyDescent="0.25">
      <c r="A75" s="30"/>
      <c r="B75" s="43">
        <v>69</v>
      </c>
      <c r="C75" s="51" t="s">
        <v>76</v>
      </c>
      <c r="D75" s="45">
        <v>110156000</v>
      </c>
      <c r="E75" s="45"/>
      <c r="F75" s="47"/>
      <c r="G75" s="47"/>
      <c r="H75" s="45">
        <f>76890000+1100034000+1146050000</f>
        <v>2322974000</v>
      </c>
      <c r="I75" s="45"/>
      <c r="J75" s="47">
        <f>75728000+15000000+15000000</f>
        <v>105728000</v>
      </c>
      <c r="K75" s="47">
        <v>23320000</v>
      </c>
      <c r="L75" s="47">
        <f>22600000+71168000+347724000</f>
        <v>441492000</v>
      </c>
      <c r="M75" s="47">
        <v>35100000</v>
      </c>
      <c r="N75" s="47"/>
      <c r="O75" s="47"/>
      <c r="P75" s="46">
        <f t="shared" si="4"/>
        <v>2980350000</v>
      </c>
      <c r="Q75" s="46">
        <f t="shared" si="5"/>
        <v>58420000</v>
      </c>
      <c r="R75" s="48">
        <f t="shared" si="6"/>
        <v>1.9601724629657591E-2</v>
      </c>
      <c r="S75" s="45">
        <v>347724000</v>
      </c>
      <c r="T75" s="33">
        <v>12960753000</v>
      </c>
      <c r="U75" s="33">
        <v>12960753000</v>
      </c>
      <c r="V75" s="34" t="e">
        <f t="shared" si="13"/>
        <v>#REF!</v>
      </c>
      <c r="W75" s="35" t="e">
        <f t="shared" si="10"/>
        <v>#REF!</v>
      </c>
      <c r="X75" s="15" t="e">
        <f t="shared" si="11"/>
        <v>#REF!</v>
      </c>
      <c r="Y75" s="36"/>
      <c r="Z75" s="33"/>
      <c r="AA75" s="37">
        <v>12960753000</v>
      </c>
      <c r="AB75" s="15">
        <f t="shared" si="12"/>
        <v>12613029000</v>
      </c>
      <c r="AC75" s="38"/>
      <c r="AD75" s="39">
        <v>2139914000</v>
      </c>
      <c r="AE75" s="40"/>
      <c r="AF75" s="41"/>
      <c r="AG75" s="41"/>
      <c r="AH75" s="41"/>
      <c r="AI75" s="41"/>
    </row>
    <row r="76" spans="1:35" ht="22.5" customHeight="1" x14ac:dyDescent="0.25">
      <c r="A76" s="30"/>
      <c r="B76" s="43">
        <v>70</v>
      </c>
      <c r="C76" s="51" t="s">
        <v>77</v>
      </c>
      <c r="D76" s="45">
        <v>70603000</v>
      </c>
      <c r="E76" s="45">
        <v>19080000</v>
      </c>
      <c r="F76" s="47"/>
      <c r="G76" s="47"/>
      <c r="H76" s="47"/>
      <c r="I76" s="47"/>
      <c r="J76" s="47"/>
      <c r="K76" s="47"/>
      <c r="L76" s="47">
        <f>22560000+45500000</f>
        <v>68060000</v>
      </c>
      <c r="M76" s="47">
        <v>20370000</v>
      </c>
      <c r="N76" s="47"/>
      <c r="O76" s="47"/>
      <c r="P76" s="46">
        <f t="shared" si="4"/>
        <v>138663000</v>
      </c>
      <c r="Q76" s="46">
        <f t="shared" si="5"/>
        <v>39450000</v>
      </c>
      <c r="R76" s="48">
        <f t="shared" si="6"/>
        <v>0.28450271521602732</v>
      </c>
      <c r="S76" s="45"/>
      <c r="T76" s="33">
        <v>9755859000</v>
      </c>
      <c r="U76" s="33">
        <v>9755859000</v>
      </c>
      <c r="V76" s="34" t="e">
        <f t="shared" si="13"/>
        <v>#REF!</v>
      </c>
      <c r="W76" s="35" t="e">
        <f t="shared" si="10"/>
        <v>#REF!</v>
      </c>
      <c r="X76" s="15" t="e">
        <f t="shared" si="11"/>
        <v>#REF!</v>
      </c>
      <c r="Y76" s="36"/>
      <c r="Z76" s="33"/>
      <c r="AA76" s="37">
        <v>9755859000</v>
      </c>
      <c r="AB76" s="15">
        <f t="shared" si="12"/>
        <v>9755859000</v>
      </c>
      <c r="AC76" s="38"/>
      <c r="AD76" s="39">
        <v>872105000</v>
      </c>
      <c r="AE76" s="40"/>
      <c r="AF76" s="41"/>
      <c r="AG76" s="41"/>
      <c r="AH76" s="41"/>
      <c r="AI76" s="41"/>
    </row>
    <row r="77" spans="1:35" ht="22.5" customHeight="1" x14ac:dyDescent="0.25">
      <c r="A77" s="30"/>
      <c r="B77" s="43">
        <v>71</v>
      </c>
      <c r="C77" s="51" t="s">
        <v>78</v>
      </c>
      <c r="D77" s="45">
        <v>104332000</v>
      </c>
      <c r="E77" s="45"/>
      <c r="F77" s="47"/>
      <c r="G77" s="47"/>
      <c r="H77" s="58">
        <v>546264000</v>
      </c>
      <c r="I77" s="47"/>
      <c r="J77" s="47"/>
      <c r="K77" s="47"/>
      <c r="L77" s="47">
        <f>45200000+47500000+138705000</f>
        <v>231405000</v>
      </c>
      <c r="M77" s="47"/>
      <c r="N77" s="47">
        <f>30000000+200000000+798000000+1495950000</f>
        <v>2523950000</v>
      </c>
      <c r="O77" s="47"/>
      <c r="P77" s="46">
        <f t="shared" si="4"/>
        <v>3405951000</v>
      </c>
      <c r="Q77" s="46">
        <f t="shared" si="5"/>
        <v>0</v>
      </c>
      <c r="R77" s="48">
        <f t="shared" si="6"/>
        <v>0</v>
      </c>
      <c r="S77" s="45">
        <v>200000000</v>
      </c>
      <c r="T77" s="34">
        <v>206808000</v>
      </c>
      <c r="U77" s="34">
        <v>206808000</v>
      </c>
      <c r="V77" s="34" t="e">
        <f t="shared" si="13"/>
        <v>#REF!</v>
      </c>
      <c r="W77" s="35" t="e">
        <f t="shared" si="10"/>
        <v>#REF!</v>
      </c>
      <c r="X77" s="15" t="e">
        <f t="shared" si="11"/>
        <v>#REF!</v>
      </c>
      <c r="Y77" s="36"/>
      <c r="Z77" s="34"/>
      <c r="AA77" s="37">
        <v>206808000</v>
      </c>
      <c r="AB77" s="15">
        <f t="shared" si="12"/>
        <v>6808000</v>
      </c>
      <c r="AC77" s="38"/>
      <c r="AD77" s="39">
        <v>4147554000</v>
      </c>
      <c r="AE77" s="49"/>
      <c r="AF77" s="97"/>
      <c r="AG77" s="39"/>
      <c r="AH77" s="50"/>
      <c r="AI77" s="50"/>
    </row>
    <row r="78" spans="1:35" ht="22.5" customHeight="1" x14ac:dyDescent="0.25">
      <c r="A78" s="30"/>
      <c r="B78" s="43">
        <v>72</v>
      </c>
      <c r="C78" s="51" t="s">
        <v>111</v>
      </c>
      <c r="D78" s="47">
        <v>89470000</v>
      </c>
      <c r="E78" s="47"/>
      <c r="F78" s="47"/>
      <c r="G78" s="47"/>
      <c r="H78" s="47">
        <f>1802358000</f>
        <v>1802358000</v>
      </c>
      <c r="I78" s="47"/>
      <c r="J78" s="47"/>
      <c r="K78" s="47"/>
      <c r="L78" s="47"/>
      <c r="M78" s="47"/>
      <c r="N78" s="47">
        <f>178800000+180000000</f>
        <v>358800000</v>
      </c>
      <c r="O78" s="47"/>
      <c r="P78" s="46">
        <f t="shared" si="4"/>
        <v>2250628000</v>
      </c>
      <c r="Q78" s="46">
        <f t="shared" si="5"/>
        <v>0</v>
      </c>
      <c r="R78" s="48">
        <f t="shared" si="6"/>
        <v>0</v>
      </c>
      <c r="S78" s="45"/>
      <c r="T78" s="34">
        <v>343477000</v>
      </c>
      <c r="U78" s="34">
        <v>343477000</v>
      </c>
      <c r="V78" s="34" t="e">
        <f t="shared" si="13"/>
        <v>#REF!</v>
      </c>
      <c r="W78" s="35" t="e">
        <f t="shared" si="10"/>
        <v>#REF!</v>
      </c>
      <c r="X78" s="15" t="e">
        <f t="shared" si="11"/>
        <v>#REF!</v>
      </c>
      <c r="Y78" s="36"/>
      <c r="Z78" s="34"/>
      <c r="AA78" s="37">
        <v>343477000</v>
      </c>
      <c r="AB78" s="15">
        <f t="shared" si="12"/>
        <v>343477000</v>
      </c>
      <c r="AC78" s="38"/>
      <c r="AD78" s="39">
        <v>2427197000</v>
      </c>
      <c r="AE78" s="49"/>
      <c r="AF78" s="50"/>
      <c r="AG78" s="39"/>
      <c r="AH78" s="50"/>
      <c r="AI78" s="50"/>
    </row>
    <row r="79" spans="1:35" ht="22.5" customHeight="1" x14ac:dyDescent="0.25">
      <c r="A79" s="30"/>
      <c r="B79" s="98"/>
      <c r="C79" s="99"/>
      <c r="D79" s="53">
        <f t="shared" ref="D79:Q79" si="14">SUM(D7:D78)</f>
        <v>79567742000</v>
      </c>
      <c r="E79" s="53">
        <f t="shared" si="14"/>
        <v>24340104069</v>
      </c>
      <c r="F79" s="53">
        <f t="shared" si="14"/>
        <v>7062232000</v>
      </c>
      <c r="G79" s="53">
        <f t="shared" si="14"/>
        <v>1141781371</v>
      </c>
      <c r="H79" s="53">
        <f t="shared" si="14"/>
        <v>73556685000</v>
      </c>
      <c r="I79" s="53">
        <f t="shared" si="14"/>
        <v>7074643708</v>
      </c>
      <c r="J79" s="53">
        <f t="shared" si="14"/>
        <v>37810742000</v>
      </c>
      <c r="K79" s="53">
        <f t="shared" si="14"/>
        <v>3662015167</v>
      </c>
      <c r="L79" s="53">
        <f t="shared" si="14"/>
        <v>58629527000</v>
      </c>
      <c r="M79" s="53">
        <f t="shared" si="14"/>
        <v>4010987284</v>
      </c>
      <c r="N79" s="53">
        <f t="shared" si="14"/>
        <v>56881286000</v>
      </c>
      <c r="O79" s="53">
        <f t="shared" si="14"/>
        <v>4865681335</v>
      </c>
      <c r="P79" s="53">
        <f t="shared" si="14"/>
        <v>313508214000</v>
      </c>
      <c r="Q79" s="53">
        <f t="shared" si="14"/>
        <v>45095212934</v>
      </c>
      <c r="R79" s="100">
        <f t="shared" si="6"/>
        <v>0.14384061061315606</v>
      </c>
      <c r="S79" s="53">
        <f>SUM(S7:S78)</f>
        <v>30296639000</v>
      </c>
      <c r="T79" s="33">
        <v>1114746000</v>
      </c>
      <c r="U79" s="33">
        <v>1114746000</v>
      </c>
      <c r="V79" s="34" t="e">
        <f t="shared" si="13"/>
        <v>#REF!</v>
      </c>
      <c r="W79" s="35" t="e">
        <f t="shared" si="10"/>
        <v>#REF!</v>
      </c>
      <c r="X79" s="15" t="e">
        <f t="shared" si="11"/>
        <v>#REF!</v>
      </c>
      <c r="Y79" s="36"/>
      <c r="Z79" s="33"/>
      <c r="AA79" s="37">
        <v>1114746000</v>
      </c>
      <c r="AB79" s="15">
        <f t="shared" si="12"/>
        <v>-29181893000</v>
      </c>
      <c r="AC79" s="38"/>
      <c r="AD79" s="39">
        <v>2980350000</v>
      </c>
      <c r="AE79" s="40"/>
      <c r="AF79" s="41"/>
      <c r="AG79" s="41"/>
      <c r="AH79" s="41"/>
      <c r="AI79" s="41"/>
    </row>
    <row r="80" spans="1:35" ht="14.25" customHeight="1" x14ac:dyDescent="0.25">
      <c r="A80" s="13"/>
      <c r="B80" s="101"/>
      <c r="C80" s="102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4"/>
      <c r="Q80" s="104"/>
      <c r="R80" s="104"/>
      <c r="S80" s="105"/>
      <c r="T80" s="103"/>
      <c r="U80" s="103"/>
      <c r="V80" s="103"/>
      <c r="W80" s="103"/>
      <c r="X80" s="15"/>
      <c r="Y80" s="15"/>
      <c r="Z80" s="15"/>
      <c r="AA80" s="15"/>
      <c r="AB80" s="15"/>
      <c r="AC80" s="38"/>
      <c r="AD80" s="39"/>
    </row>
    <row r="81" spans="1:30" ht="14.25" customHeight="1" x14ac:dyDescent="0.3">
      <c r="A81" s="13"/>
      <c r="C81" s="106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07"/>
      <c r="Q81" s="107"/>
      <c r="R81" s="107"/>
      <c r="S81" s="85"/>
      <c r="T81" s="15"/>
      <c r="U81" s="15"/>
      <c r="V81" s="15"/>
      <c r="W81" s="15"/>
      <c r="X81" s="15"/>
      <c r="Y81" s="15"/>
      <c r="Z81" s="15"/>
      <c r="AA81" s="15"/>
      <c r="AB81" s="15"/>
      <c r="AC81" s="38"/>
      <c r="AD81" s="38"/>
    </row>
    <row r="82" spans="1:30" ht="14.25" customHeight="1" x14ac:dyDescent="0.25">
      <c r="A82" s="13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07"/>
      <c r="Q82" s="107"/>
      <c r="R82" s="107"/>
      <c r="S82" s="85"/>
      <c r="T82" s="15"/>
      <c r="U82" s="15"/>
      <c r="V82" s="15"/>
      <c r="W82" s="15"/>
      <c r="X82" s="15"/>
      <c r="Y82" s="15"/>
      <c r="Z82" s="15"/>
      <c r="AA82" s="15"/>
      <c r="AB82" s="15">
        <f t="shared" ref="AB82:AB85" si="15">AA82-S82</f>
        <v>0</v>
      </c>
      <c r="AC82" s="38"/>
    </row>
    <row r="83" spans="1:30" ht="14.25" customHeight="1" x14ac:dyDescent="0.25">
      <c r="A83" s="13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07"/>
      <c r="Q83" s="107"/>
      <c r="R83" s="107"/>
      <c r="S83" s="85"/>
      <c r="T83" s="15"/>
      <c r="U83" s="15"/>
      <c r="V83" s="15"/>
      <c r="W83" s="15"/>
      <c r="X83" s="15"/>
      <c r="Y83" s="15"/>
      <c r="Z83" s="15"/>
      <c r="AA83" s="15"/>
      <c r="AB83" s="15">
        <f t="shared" si="15"/>
        <v>0</v>
      </c>
      <c r="AC83" s="38"/>
    </row>
    <row r="84" spans="1:30" ht="14.25" customHeight="1" x14ac:dyDescent="0.25">
      <c r="A84" s="13"/>
      <c r="D84" s="15"/>
      <c r="E84" s="15"/>
      <c r="F84" s="108">
        <v>3417152000</v>
      </c>
      <c r="G84" s="108" t="s">
        <v>112</v>
      </c>
      <c r="H84" s="108">
        <v>500000000</v>
      </c>
      <c r="I84" s="108" t="s">
        <v>113</v>
      </c>
      <c r="J84" s="15">
        <v>160646000</v>
      </c>
      <c r="K84" s="108" t="s">
        <v>114</v>
      </c>
      <c r="L84" s="108">
        <v>140000000</v>
      </c>
      <c r="M84" s="108" t="s">
        <v>115</v>
      </c>
      <c r="N84" s="15">
        <v>536276000</v>
      </c>
      <c r="O84" s="109" t="s">
        <v>116</v>
      </c>
      <c r="P84" s="107"/>
      <c r="Q84" s="107"/>
      <c r="R84" s="107"/>
      <c r="S84" s="85"/>
      <c r="T84" s="15"/>
      <c r="U84" s="15"/>
      <c r="V84" s="15"/>
      <c r="W84" s="15"/>
      <c r="X84" s="15"/>
      <c r="Y84" s="15"/>
      <c r="Z84" s="15"/>
      <c r="AA84" s="15"/>
      <c r="AB84" s="15">
        <f t="shared" si="15"/>
        <v>0</v>
      </c>
      <c r="AC84" s="38"/>
    </row>
    <row r="85" spans="1:30" ht="14.25" customHeight="1" x14ac:dyDescent="0.25">
      <c r="A85" s="13"/>
      <c r="D85" s="15"/>
      <c r="E85" s="15"/>
      <c r="F85" s="15">
        <v>2873300000</v>
      </c>
      <c r="G85" s="108" t="s">
        <v>117</v>
      </c>
      <c r="H85" s="108"/>
      <c r="I85" s="108"/>
      <c r="J85" s="15">
        <v>570295000</v>
      </c>
      <c r="K85" s="108" t="s">
        <v>118</v>
      </c>
      <c r="L85" s="15">
        <v>822140000</v>
      </c>
      <c r="M85" s="108" t="s">
        <v>119</v>
      </c>
      <c r="N85" s="15">
        <v>286744000</v>
      </c>
      <c r="O85" s="108" t="s">
        <v>120</v>
      </c>
      <c r="P85" s="107"/>
      <c r="Q85" s="107"/>
      <c r="R85" s="107"/>
      <c r="S85" s="85"/>
      <c r="T85" s="15"/>
      <c r="U85" s="15"/>
      <c r="V85" s="15"/>
      <c r="W85" s="15"/>
      <c r="X85" s="15"/>
      <c r="Y85" s="15"/>
      <c r="Z85" s="15"/>
      <c r="AA85" s="15"/>
      <c r="AB85" s="15">
        <f t="shared" si="15"/>
        <v>0</v>
      </c>
      <c r="AC85" s="38"/>
    </row>
    <row r="86" spans="1:30" ht="14.25" customHeight="1" x14ac:dyDescent="0.25">
      <c r="A86" s="13"/>
      <c r="D86" s="15"/>
      <c r="E86" s="15"/>
      <c r="F86" s="15">
        <v>771780000</v>
      </c>
      <c r="G86" s="108" t="s">
        <v>121</v>
      </c>
      <c r="H86" s="15">
        <v>5190207000</v>
      </c>
      <c r="I86" s="108" t="s">
        <v>122</v>
      </c>
      <c r="J86" s="15">
        <v>6628316000</v>
      </c>
      <c r="K86" s="108" t="s">
        <v>123</v>
      </c>
      <c r="L86" s="15">
        <v>6940186000</v>
      </c>
      <c r="M86" s="108" t="s">
        <v>124</v>
      </c>
      <c r="N86" s="15">
        <v>525179000</v>
      </c>
      <c r="O86" s="108" t="s">
        <v>125</v>
      </c>
      <c r="P86" s="107"/>
      <c r="Q86" s="107"/>
      <c r="R86" s="107"/>
      <c r="S86" s="85"/>
      <c r="T86" s="110"/>
      <c r="U86" s="45"/>
      <c r="V86" s="45"/>
      <c r="W86" s="15"/>
      <c r="X86" s="15"/>
      <c r="Y86" s="15"/>
      <c r="Z86" s="15"/>
      <c r="AA86" s="15"/>
      <c r="AB86" s="15"/>
    </row>
    <row r="87" spans="1:30" ht="14.25" customHeight="1" x14ac:dyDescent="0.25">
      <c r="A87" s="13"/>
      <c r="D87" s="15"/>
      <c r="E87" s="15"/>
      <c r="F87" s="15"/>
      <c r="G87" s="15"/>
      <c r="H87" s="15"/>
      <c r="I87" s="15"/>
      <c r="J87" s="15">
        <v>1505269000</v>
      </c>
      <c r="K87" s="108" t="s">
        <v>126</v>
      </c>
      <c r="L87" s="15">
        <v>60372000</v>
      </c>
      <c r="M87" s="108" t="s">
        <v>127</v>
      </c>
      <c r="N87" s="15">
        <v>61607000</v>
      </c>
      <c r="O87" s="108" t="s">
        <v>128</v>
      </c>
      <c r="P87" s="107"/>
      <c r="Q87" s="107"/>
      <c r="R87" s="107"/>
      <c r="S87" s="85"/>
      <c r="T87" s="110"/>
      <c r="U87" s="45"/>
      <c r="V87" s="45"/>
      <c r="W87" s="15"/>
      <c r="X87" s="15"/>
      <c r="Y87" s="15"/>
      <c r="Z87" s="15"/>
      <c r="AA87" s="15"/>
      <c r="AB87" s="15"/>
    </row>
    <row r="88" spans="1:30" ht="14.25" customHeight="1" x14ac:dyDescent="0.25">
      <c r="A88" s="13"/>
      <c r="D88" s="15"/>
      <c r="E88" s="15"/>
      <c r="F88" s="15"/>
      <c r="G88" s="15"/>
      <c r="H88" s="15"/>
      <c r="I88" s="15"/>
      <c r="J88" s="15">
        <v>674660000</v>
      </c>
      <c r="K88" s="15" t="s">
        <v>129</v>
      </c>
      <c r="L88" s="15">
        <v>300000000</v>
      </c>
      <c r="M88" s="108" t="s">
        <v>130</v>
      </c>
      <c r="N88" s="15">
        <v>102216000</v>
      </c>
      <c r="O88" s="108" t="s">
        <v>131</v>
      </c>
      <c r="P88" s="107"/>
      <c r="Q88" s="107"/>
      <c r="R88" s="107"/>
      <c r="S88" s="85"/>
      <c r="T88" s="110"/>
      <c r="U88" s="45"/>
      <c r="V88" s="45"/>
      <c r="W88" s="15"/>
      <c r="X88" s="15"/>
      <c r="Y88" s="15"/>
      <c r="Z88" s="15"/>
      <c r="AA88" s="15"/>
      <c r="AB88" s="15"/>
    </row>
    <row r="89" spans="1:30" ht="14.25" customHeight="1" x14ac:dyDescent="0.25">
      <c r="A89" s="13"/>
      <c r="D89" s="15"/>
      <c r="E89" s="15"/>
      <c r="F89" s="15"/>
      <c r="G89" s="15"/>
      <c r="H89" s="15"/>
      <c r="I89" s="15"/>
      <c r="J89" s="15"/>
      <c r="K89" s="15"/>
      <c r="L89" s="15">
        <v>120864000</v>
      </c>
      <c r="M89" s="108" t="s">
        <v>132</v>
      </c>
      <c r="N89" s="15">
        <v>61912000</v>
      </c>
      <c r="O89" s="108" t="s">
        <v>133</v>
      </c>
      <c r="P89" s="107"/>
      <c r="Q89" s="107"/>
      <c r="R89" s="107"/>
      <c r="S89" s="85"/>
      <c r="T89" s="15"/>
      <c r="U89" s="15"/>
      <c r="V89" s="15"/>
      <c r="W89" s="15"/>
      <c r="X89" s="15"/>
      <c r="Y89" s="15"/>
      <c r="Z89" s="15"/>
      <c r="AA89" s="15"/>
      <c r="AB89" s="15"/>
    </row>
    <row r="90" spans="1:30" ht="14.25" customHeight="1" x14ac:dyDescent="0.25">
      <c r="A90" s="13"/>
      <c r="D90" s="15"/>
      <c r="E90" s="15"/>
      <c r="F90" s="15"/>
      <c r="G90" s="15"/>
      <c r="H90" s="15"/>
      <c r="I90" s="15"/>
      <c r="J90" s="15"/>
      <c r="K90" s="15"/>
      <c r="L90" s="15">
        <v>60000000</v>
      </c>
      <c r="M90" s="108" t="s">
        <v>134</v>
      </c>
      <c r="N90" s="15">
        <v>4225009000</v>
      </c>
      <c r="O90" s="108" t="s">
        <v>135</v>
      </c>
      <c r="P90" s="107"/>
      <c r="Q90" s="107">
        <v>18526127167</v>
      </c>
      <c r="R90" s="107"/>
      <c r="S90" s="85"/>
      <c r="T90" s="15"/>
      <c r="U90" s="15"/>
      <c r="V90" s="15"/>
      <c r="W90" s="15"/>
      <c r="X90" s="15"/>
      <c r="Y90" s="15"/>
      <c r="Z90" s="15"/>
      <c r="AA90" s="15"/>
      <c r="AB90" s="15"/>
    </row>
    <row r="91" spans="1:30" ht="14.25" customHeight="1" x14ac:dyDescent="0.25">
      <c r="A91" s="13"/>
      <c r="D91" s="15"/>
      <c r="E91" s="15"/>
      <c r="F91" s="15"/>
      <c r="G91" s="15"/>
      <c r="H91" s="15"/>
      <c r="I91" s="15"/>
      <c r="J91" s="15"/>
      <c r="K91" s="15"/>
      <c r="L91" s="108">
        <v>120000000</v>
      </c>
      <c r="M91" s="108" t="s">
        <v>136</v>
      </c>
      <c r="N91" s="108">
        <v>62912000</v>
      </c>
      <c r="O91" s="108" t="s">
        <v>137</v>
      </c>
      <c r="P91" s="107"/>
      <c r="Q91" s="107">
        <f>Q90-Q10</f>
        <v>18526127167</v>
      </c>
      <c r="R91" s="107"/>
      <c r="S91" s="85"/>
      <c r="T91" s="15"/>
      <c r="U91" s="15"/>
      <c r="V91" s="15"/>
      <c r="W91" s="15"/>
      <c r="X91" s="15"/>
      <c r="Y91" s="15"/>
      <c r="Z91" s="15"/>
      <c r="AA91" s="15"/>
      <c r="AB91" s="15"/>
    </row>
    <row r="92" spans="1:30" ht="14.25" customHeight="1" x14ac:dyDescent="0.25">
      <c r="A92" s="13"/>
      <c r="D92" s="15"/>
      <c r="E92" s="15"/>
      <c r="F92" s="15"/>
      <c r="G92" s="15"/>
      <c r="H92" s="15"/>
      <c r="I92" s="15"/>
      <c r="J92" s="15"/>
      <c r="K92" s="15"/>
      <c r="L92" s="15">
        <v>120000000</v>
      </c>
      <c r="M92" s="108" t="s">
        <v>138</v>
      </c>
      <c r="N92" s="15">
        <v>123824000</v>
      </c>
      <c r="O92" s="108" t="s">
        <v>139</v>
      </c>
      <c r="P92" s="107"/>
      <c r="Q92" s="107"/>
      <c r="R92" s="107"/>
      <c r="S92" s="85"/>
      <c r="T92" s="15"/>
      <c r="U92" s="15"/>
      <c r="V92" s="15"/>
      <c r="W92" s="15"/>
      <c r="X92" s="15"/>
      <c r="Y92" s="15"/>
      <c r="Z92" s="15"/>
      <c r="AA92" s="15"/>
      <c r="AB92" s="15"/>
    </row>
    <row r="93" spans="1:30" ht="14.25" customHeight="1" x14ac:dyDescent="0.25">
      <c r="A93" s="13"/>
      <c r="D93" s="15"/>
      <c r="E93" s="15"/>
      <c r="F93" s="15"/>
      <c r="G93" s="15"/>
      <c r="H93" s="15"/>
      <c r="I93" s="15"/>
      <c r="J93" s="15"/>
      <c r="K93" s="15"/>
      <c r="L93" s="15">
        <v>667490000</v>
      </c>
      <c r="M93" s="108" t="s">
        <v>140</v>
      </c>
      <c r="N93" s="15">
        <v>21304000</v>
      </c>
      <c r="O93" s="108" t="s">
        <v>141</v>
      </c>
      <c r="P93" s="107"/>
      <c r="Q93" s="107"/>
      <c r="R93" s="107"/>
      <c r="S93" s="85"/>
      <c r="T93" s="15"/>
      <c r="U93" s="15"/>
      <c r="V93" s="15"/>
      <c r="W93" s="15"/>
      <c r="X93" s="15"/>
      <c r="Y93" s="15"/>
      <c r="Z93" s="15"/>
      <c r="AA93" s="15"/>
      <c r="AB93" s="15"/>
    </row>
    <row r="94" spans="1:30" ht="14.25" customHeight="1" x14ac:dyDescent="0.25">
      <c r="A94" s="13"/>
      <c r="D94" s="15"/>
      <c r="E94" s="15"/>
      <c r="F94" s="15"/>
      <c r="G94" s="15"/>
      <c r="H94" s="15"/>
      <c r="I94" s="15"/>
      <c r="J94" s="15"/>
      <c r="K94" s="15"/>
      <c r="L94" s="15">
        <v>933104000</v>
      </c>
      <c r="M94" s="108" t="s">
        <v>142</v>
      </c>
      <c r="N94" s="15">
        <v>286648000</v>
      </c>
      <c r="O94" s="108" t="s">
        <v>143</v>
      </c>
      <c r="P94" s="107"/>
      <c r="Q94" s="107"/>
      <c r="R94" s="107"/>
      <c r="S94" s="85"/>
      <c r="T94" s="15"/>
      <c r="U94" s="15"/>
      <c r="V94" s="15"/>
      <c r="W94" s="15"/>
      <c r="X94" s="15"/>
      <c r="Y94" s="15"/>
      <c r="Z94" s="15"/>
      <c r="AA94" s="15"/>
      <c r="AB94" s="15"/>
    </row>
    <row r="95" spans="1:30" ht="14.25" customHeight="1" x14ac:dyDescent="0.25">
      <c r="A95" s="13"/>
      <c r="D95" s="15"/>
      <c r="E95" s="15"/>
      <c r="F95" s="15"/>
      <c r="G95" s="15"/>
      <c r="H95" s="15"/>
      <c r="I95" s="15"/>
      <c r="J95" s="15"/>
      <c r="K95" s="15"/>
      <c r="L95" s="15">
        <v>90000000</v>
      </c>
      <c r="M95" s="108" t="s">
        <v>144</v>
      </c>
      <c r="N95" s="108">
        <v>21304000</v>
      </c>
      <c r="O95" s="108" t="s">
        <v>145</v>
      </c>
      <c r="P95" s="107"/>
      <c r="Q95" s="107"/>
      <c r="R95" s="107"/>
      <c r="S95" s="85"/>
      <c r="T95" s="15"/>
      <c r="U95" s="15"/>
      <c r="V95" s="15"/>
      <c r="W95" s="15"/>
      <c r="X95" s="15"/>
      <c r="Y95" s="15"/>
      <c r="Z95" s="15"/>
      <c r="AA95" s="15"/>
      <c r="AB95" s="15"/>
    </row>
    <row r="96" spans="1:30" ht="14.25" customHeight="1" x14ac:dyDescent="0.25">
      <c r="A96" s="13"/>
      <c r="D96" s="15"/>
      <c r="E96" s="15"/>
      <c r="F96" s="15"/>
      <c r="G96" s="15"/>
      <c r="H96" s="15"/>
      <c r="I96" s="15"/>
      <c r="J96" s="15"/>
      <c r="K96" s="15"/>
      <c r="L96" s="15">
        <v>460000000</v>
      </c>
      <c r="M96" s="108" t="s">
        <v>146</v>
      </c>
      <c r="N96" s="15">
        <v>103520000</v>
      </c>
      <c r="O96" s="108" t="s">
        <v>147</v>
      </c>
      <c r="P96" s="107"/>
      <c r="Q96" s="107"/>
      <c r="R96" s="107"/>
      <c r="S96" s="85"/>
      <c r="T96" s="15"/>
      <c r="U96" s="15"/>
      <c r="V96" s="15"/>
      <c r="W96" s="15"/>
      <c r="X96" s="15"/>
      <c r="Y96" s="15"/>
      <c r="Z96" s="15"/>
      <c r="AA96" s="15"/>
      <c r="AB96" s="15"/>
    </row>
    <row r="97" spans="1:31" ht="14.25" customHeight="1" x14ac:dyDescent="0.25">
      <c r="A97" s="13"/>
      <c r="D97" s="15"/>
      <c r="E97" s="15"/>
      <c r="F97" s="15"/>
      <c r="G97" s="15"/>
      <c r="H97" s="15"/>
      <c r="I97" s="15"/>
      <c r="J97" s="15"/>
      <c r="K97" s="15"/>
      <c r="L97" s="15">
        <v>91164000</v>
      </c>
      <c r="M97" s="108" t="s">
        <v>148</v>
      </c>
      <c r="N97" s="108">
        <v>61912000</v>
      </c>
      <c r="O97" s="108" t="s">
        <v>149</v>
      </c>
      <c r="P97" s="107"/>
      <c r="Q97" s="107"/>
      <c r="R97" s="107"/>
      <c r="S97" s="85"/>
      <c r="T97" s="15"/>
      <c r="U97" s="15"/>
      <c r="V97" s="15"/>
      <c r="W97" s="15"/>
      <c r="X97" s="15"/>
      <c r="Y97" s="15"/>
      <c r="Z97" s="15"/>
      <c r="AA97" s="15"/>
      <c r="AB97" s="15"/>
    </row>
    <row r="98" spans="1:31" ht="14.25" customHeight="1" x14ac:dyDescent="0.25">
      <c r="A98" s="13"/>
      <c r="D98" s="15"/>
      <c r="E98" s="15"/>
      <c r="F98" s="15"/>
      <c r="G98" s="15"/>
      <c r="H98" s="15"/>
      <c r="I98" s="15"/>
      <c r="J98" s="15"/>
      <c r="K98" s="15"/>
      <c r="L98" s="15">
        <v>150000000</v>
      </c>
      <c r="M98" s="108" t="s">
        <v>150</v>
      </c>
      <c r="N98" s="15"/>
      <c r="O98" s="15"/>
      <c r="P98" s="107"/>
      <c r="Q98" s="107"/>
      <c r="R98" s="107"/>
      <c r="S98" s="85"/>
      <c r="T98" s="15"/>
      <c r="U98" s="15"/>
      <c r="V98" s="15"/>
      <c r="W98" s="15"/>
      <c r="X98" s="15"/>
      <c r="Y98" s="15"/>
      <c r="Z98" s="15"/>
      <c r="AA98" s="15"/>
      <c r="AB98" s="15"/>
    </row>
    <row r="99" spans="1:31" ht="14.25" customHeight="1" x14ac:dyDescent="0.25">
      <c r="A99" s="13"/>
      <c r="D99" s="15"/>
      <c r="E99" s="15"/>
      <c r="F99" s="15"/>
      <c r="G99" s="15"/>
      <c r="H99" s="15"/>
      <c r="I99" s="15"/>
      <c r="J99" s="15"/>
      <c r="K99" s="15"/>
      <c r="L99" s="15">
        <v>120000000</v>
      </c>
      <c r="M99" s="108" t="s">
        <v>151</v>
      </c>
      <c r="N99" s="15"/>
      <c r="O99" s="15"/>
      <c r="P99" s="107"/>
      <c r="Q99" s="107"/>
      <c r="R99" s="107"/>
      <c r="S99" s="85"/>
      <c r="T99" s="15"/>
      <c r="U99" s="15"/>
      <c r="V99" s="15"/>
      <c r="W99" s="15"/>
      <c r="X99" s="15"/>
      <c r="Y99" s="15"/>
      <c r="Z99" s="15"/>
      <c r="AA99" s="15"/>
      <c r="AB99" s="15"/>
    </row>
    <row r="100" spans="1:31" ht="14.25" customHeight="1" x14ac:dyDescent="0.25">
      <c r="A100" s="13"/>
      <c r="D100" s="15"/>
      <c r="E100" s="15"/>
      <c r="F100" s="15"/>
      <c r="G100" s="15"/>
      <c r="H100" s="15"/>
      <c r="I100" s="15"/>
      <c r="J100" s="15"/>
      <c r="K100" s="15"/>
      <c r="L100" s="15">
        <v>60000000</v>
      </c>
      <c r="M100" s="108" t="s">
        <v>152</v>
      </c>
      <c r="N100" s="15"/>
      <c r="O100" s="15"/>
      <c r="P100" s="107"/>
      <c r="Q100" s="107"/>
      <c r="R100" s="107"/>
      <c r="S100" s="8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31" ht="14.25" customHeight="1" x14ac:dyDescent="0.25">
      <c r="A101" s="13"/>
      <c r="D101" s="15"/>
      <c r="E101" s="15"/>
      <c r="F101" s="15"/>
      <c r="G101" s="15"/>
      <c r="H101" s="15"/>
      <c r="I101" s="15"/>
      <c r="J101" s="15"/>
      <c r="K101" s="15"/>
      <c r="L101" s="15">
        <v>960238000</v>
      </c>
      <c r="M101" s="108" t="s">
        <v>153</v>
      </c>
      <c r="N101" s="15"/>
      <c r="O101" s="15"/>
      <c r="P101" s="107"/>
      <c r="Q101" s="107"/>
      <c r="R101" s="107"/>
      <c r="S101" s="8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31" ht="14.25" customHeight="1" x14ac:dyDescent="0.25">
      <c r="A102" s="13"/>
      <c r="D102" s="107"/>
      <c r="E102" s="107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31" ht="14.25" customHeight="1" x14ac:dyDescent="0.25">
      <c r="A103" s="13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31" ht="14.25" customHeight="1" x14ac:dyDescent="0.25">
      <c r="A104" s="13"/>
      <c r="D104" s="15">
        <v>72458648000</v>
      </c>
      <c r="E104" s="15"/>
      <c r="F104" s="15">
        <f>SUM(F84:F103)</f>
        <v>7062232000</v>
      </c>
      <c r="G104" s="15"/>
      <c r="H104" s="15">
        <f>SUM(H84:H103)</f>
        <v>5690207000</v>
      </c>
      <c r="I104" s="15"/>
      <c r="J104" s="15">
        <f>SUM(J84:J103)</f>
        <v>9539186000</v>
      </c>
      <c r="K104" s="15"/>
      <c r="L104" s="87"/>
      <c r="M104" s="87"/>
      <c r="N104" s="87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D104" s="111"/>
      <c r="AE104" s="15"/>
    </row>
    <row r="105" spans="1:31" ht="14.25" customHeight="1" x14ac:dyDescent="0.25">
      <c r="A105" s="13"/>
      <c r="D105" s="15"/>
      <c r="E105" s="15"/>
      <c r="F105" s="15"/>
      <c r="G105" s="15"/>
      <c r="H105" s="15"/>
      <c r="I105" s="15"/>
      <c r="J105" s="15"/>
      <c r="K105" s="15"/>
      <c r="L105" s="87"/>
      <c r="M105" s="87"/>
      <c r="N105" s="87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31" ht="14.25" customHeight="1" x14ac:dyDescent="0.25">
      <c r="A106" s="13"/>
      <c r="D106" s="107">
        <f>790000000+814890000+1410712000+54475014000+649087000+10796582000+1041660000+252340000+1198351000+635800000</f>
        <v>72064436000</v>
      </c>
      <c r="E106" s="107"/>
      <c r="F106" s="107">
        <f>1681390000+1740762000+2888300000+776780000</f>
        <v>7087232000</v>
      </c>
      <c r="G106" s="107"/>
      <c r="H106" s="107">
        <f>500000000+4965207000</f>
        <v>5465207000</v>
      </c>
      <c r="I106" s="107"/>
      <c r="J106" s="107">
        <f>160646000+699660000+570295000+6295322000+367906000+855269000</f>
        <v>8949098000</v>
      </c>
      <c r="K106" s="107"/>
      <c r="L106" s="112"/>
      <c r="M106" s="112"/>
      <c r="N106" s="113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31" ht="14.25" customHeight="1" x14ac:dyDescent="0.25">
      <c r="A107" s="13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31" ht="14.25" customHeight="1" x14ac:dyDescent="0.25">
      <c r="A108" s="13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31" ht="14.25" customHeight="1" x14ac:dyDescent="0.25">
      <c r="A109" s="13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31" ht="14.25" customHeight="1" x14ac:dyDescent="0.25">
      <c r="A110" s="13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31" ht="14.25" customHeight="1" x14ac:dyDescent="0.25">
      <c r="A111" s="13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31" ht="14.25" customHeight="1" x14ac:dyDescent="0.25">
      <c r="A112" s="13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ht="14.25" customHeight="1" x14ac:dyDescent="0.25">
      <c r="A113" s="13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ht="14.25" customHeight="1" x14ac:dyDescent="0.25">
      <c r="A114" s="13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ht="14.25" customHeight="1" x14ac:dyDescent="0.25">
      <c r="A115" s="13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ht="14.25" customHeight="1" x14ac:dyDescent="0.25">
      <c r="A116" s="13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ht="14.25" customHeight="1" x14ac:dyDescent="0.25">
      <c r="A117" s="13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ht="14.25" customHeight="1" x14ac:dyDescent="0.25">
      <c r="A118" s="13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ht="14.25" customHeight="1" x14ac:dyDescent="0.25">
      <c r="A119" s="13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ht="14.25" customHeight="1" x14ac:dyDescent="0.25">
      <c r="A120" s="13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ht="14.25" customHeight="1" x14ac:dyDescent="0.25">
      <c r="A121" s="13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ht="14.25" customHeight="1" x14ac:dyDescent="0.25">
      <c r="A122" s="13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ht="14.25" customHeight="1" x14ac:dyDescent="0.25">
      <c r="A123" s="13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ht="14.25" customHeight="1" x14ac:dyDescent="0.25">
      <c r="A124" s="13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ht="14.25" customHeight="1" x14ac:dyDescent="0.25">
      <c r="A125" s="13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ht="14.25" customHeight="1" x14ac:dyDescent="0.25">
      <c r="A126" s="13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ht="14.25" customHeight="1" x14ac:dyDescent="0.25">
      <c r="A127" s="13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ht="14.25" customHeight="1" x14ac:dyDescent="0.25">
      <c r="A128" s="13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ht="14.25" customHeight="1" x14ac:dyDescent="0.25">
      <c r="A129" s="13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ht="14.25" customHeight="1" x14ac:dyDescent="0.25">
      <c r="A130" s="13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ht="14.25" customHeight="1" x14ac:dyDescent="0.25">
      <c r="A131" s="13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ht="14.25" customHeight="1" x14ac:dyDescent="0.25">
      <c r="A132" s="13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ht="14.25" customHeight="1" x14ac:dyDescent="0.25">
      <c r="A133" s="13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ht="14.25" customHeight="1" x14ac:dyDescent="0.25">
      <c r="A134" s="13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ht="14.25" customHeight="1" x14ac:dyDescent="0.25">
      <c r="A135" s="13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t="14.25" customHeight="1" x14ac:dyDescent="0.25">
      <c r="A136" s="13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14.25" customHeight="1" x14ac:dyDescent="0.25">
      <c r="A137" s="13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14.25" customHeight="1" x14ac:dyDescent="0.25">
      <c r="A138" s="13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14.25" customHeight="1" x14ac:dyDescent="0.25">
      <c r="A139" s="13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ht="14.25" customHeight="1" x14ac:dyDescent="0.25">
      <c r="A140" s="13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ht="14.25" customHeight="1" x14ac:dyDescent="0.25">
      <c r="A141" s="13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ht="14.25" customHeight="1" x14ac:dyDescent="0.25">
      <c r="A142" s="13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ht="14.25" customHeight="1" x14ac:dyDescent="0.25">
      <c r="A143" s="13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ht="14.25" customHeight="1" x14ac:dyDescent="0.25">
      <c r="A144" s="13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ht="14.25" customHeight="1" x14ac:dyDescent="0.25">
      <c r="A145" s="13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ht="14.25" customHeight="1" x14ac:dyDescent="0.25">
      <c r="A146" s="13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ht="14.25" customHeight="1" x14ac:dyDescent="0.25">
      <c r="A147" s="13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ht="14.25" customHeight="1" x14ac:dyDescent="0.25">
      <c r="A148" s="13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ht="14.25" customHeight="1" x14ac:dyDescent="0.25">
      <c r="A149" s="13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ht="14.25" customHeight="1" x14ac:dyDescent="0.25">
      <c r="A150" s="13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ht="14.25" customHeight="1" x14ac:dyDescent="0.25">
      <c r="A151" s="13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ht="14.25" customHeight="1" x14ac:dyDescent="0.25">
      <c r="A152" s="13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ht="14.25" customHeight="1" x14ac:dyDescent="0.25">
      <c r="A153" s="13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ht="14.25" customHeight="1" x14ac:dyDescent="0.25">
      <c r="A154" s="13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ht="14.25" customHeight="1" x14ac:dyDescent="0.25">
      <c r="A155" s="13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ht="14.25" customHeight="1" x14ac:dyDescent="0.25">
      <c r="A156" s="13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ht="14.25" customHeight="1" x14ac:dyDescent="0.25">
      <c r="A157" s="13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ht="14.25" customHeight="1" x14ac:dyDescent="0.25">
      <c r="A158" s="13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ht="14.25" customHeight="1" x14ac:dyDescent="0.25">
      <c r="A159" s="13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ht="14.25" customHeight="1" x14ac:dyDescent="0.25">
      <c r="A160" s="13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ht="14.25" customHeight="1" x14ac:dyDescent="0.25">
      <c r="A161" s="13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ht="14.25" customHeight="1" x14ac:dyDescent="0.25">
      <c r="A162" s="13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ht="14.25" customHeight="1" x14ac:dyDescent="0.25">
      <c r="A163" s="13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ht="14.25" customHeight="1" x14ac:dyDescent="0.25">
      <c r="A164" s="13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ht="14.25" customHeight="1" x14ac:dyDescent="0.25">
      <c r="A165" s="13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ht="14.25" customHeight="1" x14ac:dyDescent="0.25">
      <c r="A166" s="13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ht="14.25" customHeight="1" x14ac:dyDescent="0.25">
      <c r="A167" s="13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ht="14.25" customHeight="1" x14ac:dyDescent="0.25">
      <c r="A168" s="13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ht="14.25" customHeight="1" x14ac:dyDescent="0.25">
      <c r="A169" s="13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ht="14.25" customHeight="1" x14ac:dyDescent="0.25">
      <c r="A170" s="13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ht="14.25" customHeight="1" x14ac:dyDescent="0.25">
      <c r="A171" s="13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ht="14.25" customHeight="1" x14ac:dyDescent="0.25">
      <c r="A172" s="13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ht="14.25" customHeight="1" x14ac:dyDescent="0.25">
      <c r="A173" s="13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ht="14.25" customHeight="1" x14ac:dyDescent="0.25">
      <c r="A174" s="13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ht="14.25" customHeight="1" x14ac:dyDescent="0.25">
      <c r="A175" s="13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ht="14.25" customHeight="1" x14ac:dyDescent="0.25">
      <c r="A176" s="13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ht="14.25" customHeight="1" x14ac:dyDescent="0.25">
      <c r="A177" s="13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ht="14.25" customHeight="1" x14ac:dyDescent="0.25">
      <c r="A178" s="13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ht="14.25" customHeight="1" x14ac:dyDescent="0.25">
      <c r="A179" s="13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ht="14.25" customHeight="1" x14ac:dyDescent="0.25">
      <c r="A180" s="13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ht="14.25" customHeight="1" x14ac:dyDescent="0.25">
      <c r="A181" s="13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ht="14.25" customHeight="1" x14ac:dyDescent="0.25">
      <c r="A182" s="13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ht="14.25" customHeight="1" x14ac:dyDescent="0.25">
      <c r="A183" s="13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ht="14.25" customHeight="1" x14ac:dyDescent="0.25">
      <c r="A184" s="13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ht="14.25" customHeight="1" x14ac:dyDescent="0.25">
      <c r="A185" s="13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ht="14.25" customHeight="1" x14ac:dyDescent="0.25">
      <c r="A186" s="13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ht="14.25" customHeight="1" x14ac:dyDescent="0.25">
      <c r="A187" s="13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ht="14.25" customHeight="1" x14ac:dyDescent="0.25">
      <c r="A188" s="13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ht="14.25" customHeight="1" x14ac:dyDescent="0.25">
      <c r="A189" s="13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ht="14.25" customHeight="1" x14ac:dyDescent="0.25">
      <c r="A190" s="13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ht="14.25" customHeight="1" x14ac:dyDescent="0.25">
      <c r="A191" s="13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ht="14.25" customHeight="1" x14ac:dyDescent="0.25">
      <c r="A192" s="13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ht="14.25" customHeight="1" x14ac:dyDescent="0.25">
      <c r="A193" s="13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ht="14.25" customHeight="1" x14ac:dyDescent="0.25">
      <c r="A194" s="13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ht="14.25" customHeight="1" x14ac:dyDescent="0.25">
      <c r="A195" s="13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ht="14.25" customHeight="1" x14ac:dyDescent="0.25">
      <c r="A196" s="13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ht="14.25" customHeight="1" x14ac:dyDescent="0.25">
      <c r="A197" s="13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ht="14.25" customHeight="1" x14ac:dyDescent="0.25">
      <c r="A198" s="13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ht="14.25" customHeight="1" x14ac:dyDescent="0.25">
      <c r="A199" s="13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ht="14.25" customHeight="1" x14ac:dyDescent="0.25">
      <c r="A200" s="13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ht="14.25" customHeight="1" x14ac:dyDescent="0.25">
      <c r="A201" s="13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ht="14.25" customHeight="1" x14ac:dyDescent="0.25">
      <c r="A202" s="13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ht="14.25" customHeight="1" x14ac:dyDescent="0.25">
      <c r="A203" s="13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ht="14.25" customHeight="1" x14ac:dyDescent="0.25">
      <c r="A204" s="13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1:28" ht="14.25" customHeight="1" x14ac:dyDescent="0.25">
      <c r="A205" s="13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ht="14.25" customHeight="1" x14ac:dyDescent="0.25">
      <c r="A206" s="13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1:28" ht="14.25" customHeight="1" x14ac:dyDescent="0.25">
      <c r="A207" s="13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1:28" ht="14.25" customHeight="1" x14ac:dyDescent="0.25">
      <c r="A208" s="13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1:28" ht="14.25" customHeight="1" x14ac:dyDescent="0.25">
      <c r="A209" s="13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1:28" ht="14.25" customHeight="1" x14ac:dyDescent="0.25">
      <c r="A210" s="13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1:28" ht="14.25" customHeight="1" x14ac:dyDescent="0.25">
      <c r="A211" s="13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1:28" ht="14.25" customHeight="1" x14ac:dyDescent="0.25">
      <c r="A212" s="13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ht="14.25" customHeight="1" x14ac:dyDescent="0.25">
      <c r="A213" s="13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ht="14.25" customHeight="1" x14ac:dyDescent="0.25">
      <c r="A214" s="13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ht="14.25" customHeight="1" x14ac:dyDescent="0.25">
      <c r="A215" s="13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1:28" ht="14.25" customHeight="1" x14ac:dyDescent="0.25">
      <c r="A216" s="13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1:28" ht="14.25" customHeight="1" x14ac:dyDescent="0.25">
      <c r="A217" s="13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1:28" ht="14.25" customHeight="1" x14ac:dyDescent="0.25">
      <c r="A218" s="13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1:28" ht="14.25" customHeight="1" x14ac:dyDescent="0.25">
      <c r="A219" s="13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1:28" ht="14.25" customHeight="1" x14ac:dyDescent="0.25">
      <c r="A220" s="13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28" ht="14.25" customHeight="1" x14ac:dyDescent="0.25">
      <c r="A221" s="13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1:28" ht="14.25" customHeight="1" x14ac:dyDescent="0.25">
      <c r="A222" s="13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1:28" ht="14.25" customHeight="1" x14ac:dyDescent="0.25">
      <c r="A223" s="13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ht="14.25" customHeight="1" x14ac:dyDescent="0.25">
      <c r="A224" s="13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1:28" ht="14.25" customHeight="1" x14ac:dyDescent="0.25">
      <c r="A225" s="13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1:28" ht="14.25" customHeight="1" x14ac:dyDescent="0.25">
      <c r="A226" s="13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1:28" ht="14.25" customHeight="1" x14ac:dyDescent="0.25">
      <c r="A227" s="13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ht="14.25" customHeight="1" x14ac:dyDescent="0.25">
      <c r="A228" s="13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1:28" ht="14.25" customHeight="1" x14ac:dyDescent="0.25">
      <c r="A229" s="13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1:28" ht="14.25" customHeight="1" x14ac:dyDescent="0.25">
      <c r="A230" s="13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1:28" ht="14.25" customHeight="1" x14ac:dyDescent="0.25">
      <c r="A231" s="13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1:28" ht="14.25" customHeight="1" x14ac:dyDescent="0.25">
      <c r="A232" s="13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1:28" ht="14.25" customHeight="1" x14ac:dyDescent="0.25">
      <c r="A233" s="13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1:28" ht="14.25" customHeight="1" x14ac:dyDescent="0.25">
      <c r="A234" s="13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ht="14.25" customHeight="1" x14ac:dyDescent="0.25">
      <c r="A235" s="13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ht="14.25" customHeight="1" x14ac:dyDescent="0.25">
      <c r="A236" s="13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1:28" ht="14.25" customHeight="1" x14ac:dyDescent="0.25">
      <c r="A237" s="13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1:28" ht="14.25" customHeight="1" x14ac:dyDescent="0.25">
      <c r="A238" s="13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1:28" ht="14.25" customHeight="1" x14ac:dyDescent="0.25">
      <c r="A239" s="13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ht="14.25" customHeight="1" x14ac:dyDescent="0.25">
      <c r="A240" s="13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1:28" ht="14.25" customHeight="1" x14ac:dyDescent="0.25">
      <c r="A241" s="13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1:28" ht="14.25" customHeight="1" x14ac:dyDescent="0.25">
      <c r="A242" s="13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1:28" ht="14.25" customHeight="1" x14ac:dyDescent="0.25">
      <c r="A243" s="13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1:28" ht="14.25" customHeight="1" x14ac:dyDescent="0.25">
      <c r="A244" s="13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1:28" ht="14.25" customHeight="1" x14ac:dyDescent="0.25">
      <c r="A245" s="13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ht="14.25" customHeight="1" x14ac:dyDescent="0.25">
      <c r="A246" s="13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spans="1:28" ht="14.25" customHeight="1" x14ac:dyDescent="0.25">
      <c r="A247" s="13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spans="1:28" ht="14.25" customHeight="1" x14ac:dyDescent="0.25">
      <c r="A248" s="13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1:28" ht="14.25" customHeight="1" x14ac:dyDescent="0.25">
      <c r="A249" s="13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spans="1:28" ht="14.25" customHeight="1" x14ac:dyDescent="0.25">
      <c r="A250" s="13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1:28" ht="14.25" customHeight="1" x14ac:dyDescent="0.25">
      <c r="A251" s="13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spans="1:28" ht="14.25" customHeight="1" x14ac:dyDescent="0.25">
      <c r="A252" s="13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spans="1:28" ht="14.25" customHeight="1" x14ac:dyDescent="0.25">
      <c r="A253" s="13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spans="1:28" ht="14.25" customHeight="1" x14ac:dyDescent="0.25">
      <c r="A254" s="13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1:28" ht="14.25" customHeight="1" x14ac:dyDescent="0.25">
      <c r="A255" s="13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spans="1:28" ht="14.25" customHeight="1" x14ac:dyDescent="0.25">
      <c r="A256" s="13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ht="14.25" customHeight="1" x14ac:dyDescent="0.25">
      <c r="A257" s="13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spans="1:28" ht="14.25" customHeight="1" x14ac:dyDescent="0.25">
      <c r="A258" s="13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spans="1:28" ht="14.25" customHeight="1" x14ac:dyDescent="0.25">
      <c r="A259" s="13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spans="1:28" ht="14.25" customHeight="1" x14ac:dyDescent="0.25">
      <c r="A260" s="13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spans="1:28" ht="14.25" customHeight="1" x14ac:dyDescent="0.25">
      <c r="A261" s="13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spans="1:28" ht="14.25" customHeight="1" x14ac:dyDescent="0.25">
      <c r="A262" s="13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spans="1:28" ht="14.25" customHeight="1" x14ac:dyDescent="0.25">
      <c r="A263" s="13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spans="1:28" ht="14.25" customHeight="1" x14ac:dyDescent="0.25">
      <c r="A264" s="13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spans="1:28" ht="14.25" customHeight="1" x14ac:dyDescent="0.25">
      <c r="A265" s="13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spans="1:28" ht="14.25" customHeight="1" x14ac:dyDescent="0.25">
      <c r="A266" s="13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spans="1:28" ht="14.25" customHeight="1" x14ac:dyDescent="0.25">
      <c r="A267" s="13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1:28" ht="14.25" customHeight="1" x14ac:dyDescent="0.25">
      <c r="A268" s="13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spans="1:28" ht="14.25" customHeight="1" x14ac:dyDescent="0.25">
      <c r="A269" s="13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spans="1:28" ht="14.25" customHeight="1" x14ac:dyDescent="0.25">
      <c r="A270" s="13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spans="1:28" ht="14.25" customHeight="1" x14ac:dyDescent="0.25">
      <c r="A271" s="13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spans="1:28" ht="14.25" customHeight="1" x14ac:dyDescent="0.25">
      <c r="A272" s="13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spans="1:28" ht="14.25" customHeight="1" x14ac:dyDescent="0.25">
      <c r="A273" s="13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spans="1:28" ht="14.25" customHeight="1" x14ac:dyDescent="0.25">
      <c r="A274" s="13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spans="1:28" ht="14.25" customHeight="1" x14ac:dyDescent="0.25">
      <c r="A275" s="13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spans="1:28" ht="14.25" customHeight="1" x14ac:dyDescent="0.25">
      <c r="A276" s="13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spans="1:28" ht="14.25" customHeight="1" x14ac:dyDescent="0.25">
      <c r="A277" s="13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spans="1:28" ht="14.25" customHeight="1" x14ac:dyDescent="0.25">
      <c r="A278" s="13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1:28" ht="14.25" customHeight="1" x14ac:dyDescent="0.25">
      <c r="A279" s="13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spans="1:28" ht="14.25" customHeight="1" x14ac:dyDescent="0.25">
      <c r="A280" s="13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spans="1:28" ht="14.25" customHeight="1" x14ac:dyDescent="0.25">
      <c r="A281" s="13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spans="1:28" ht="14.25" customHeight="1" x14ac:dyDescent="0.25">
      <c r="A282" s="13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spans="1:28" ht="14.25" customHeight="1" x14ac:dyDescent="0.25">
      <c r="A283" s="13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spans="1:28" ht="14.25" customHeight="1" x14ac:dyDescent="0.25">
      <c r="A284" s="13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spans="1:28" ht="14.25" customHeight="1" x14ac:dyDescent="0.25">
      <c r="A285" s="13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1:28" ht="14.25" customHeight="1" x14ac:dyDescent="0.25">
      <c r="A286" s="13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spans="1:28" ht="14.25" customHeight="1" x14ac:dyDescent="0.25">
      <c r="A287" s="13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spans="1:28" ht="14.25" customHeight="1" x14ac:dyDescent="0.25">
      <c r="A288" s="13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1:28" ht="14.25" customHeight="1" x14ac:dyDescent="0.25">
      <c r="A289" s="13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ht="14.25" customHeight="1" x14ac:dyDescent="0.25">
      <c r="A290" s="13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spans="1:28" ht="14.25" customHeight="1" x14ac:dyDescent="0.25">
      <c r="A291" s="13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spans="1:28" ht="14.25" customHeight="1" x14ac:dyDescent="0.25">
      <c r="A292" s="13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spans="1:28" ht="14.25" customHeight="1" x14ac:dyDescent="0.25">
      <c r="A293" s="13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spans="1:28" ht="14.25" customHeight="1" x14ac:dyDescent="0.25">
      <c r="A294" s="13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1:28" ht="14.25" customHeight="1" x14ac:dyDescent="0.25">
      <c r="A295" s="13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1:28" ht="14.25" customHeight="1" x14ac:dyDescent="0.25">
      <c r="A296" s="13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spans="1:28" ht="14.25" customHeight="1" x14ac:dyDescent="0.25">
      <c r="A297" s="13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spans="1:28" ht="14.25" customHeight="1" x14ac:dyDescent="0.25">
      <c r="A298" s="13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spans="1:28" ht="14.25" customHeight="1" x14ac:dyDescent="0.25">
      <c r="A299" s="13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spans="1:28" ht="14.25" customHeight="1" x14ac:dyDescent="0.25">
      <c r="A300" s="13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ht="14.25" customHeight="1" x14ac:dyDescent="0.25">
      <c r="A301" s="13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spans="1:28" ht="14.25" customHeight="1" x14ac:dyDescent="0.25">
      <c r="A302" s="13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spans="1:28" ht="14.25" customHeight="1" x14ac:dyDescent="0.25">
      <c r="A303" s="13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spans="1:28" ht="14.25" customHeight="1" x14ac:dyDescent="0.25">
      <c r="A304" s="13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spans="1:28" ht="14.25" customHeight="1" x14ac:dyDescent="0.25">
      <c r="A305" s="13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spans="1:28" ht="14.25" customHeight="1" x14ac:dyDescent="0.25">
      <c r="A306" s="13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spans="1:28" ht="14.25" customHeight="1" x14ac:dyDescent="0.25">
      <c r="A307" s="13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spans="1:28" ht="14.25" customHeight="1" x14ac:dyDescent="0.25">
      <c r="A308" s="13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spans="1:28" ht="14.25" customHeight="1" x14ac:dyDescent="0.25">
      <c r="A309" s="13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spans="1:28" ht="14.25" customHeight="1" x14ac:dyDescent="0.25">
      <c r="A310" s="13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spans="1:28" ht="14.25" customHeight="1" x14ac:dyDescent="0.25">
      <c r="A311" s="13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spans="1:28" ht="14.25" customHeight="1" x14ac:dyDescent="0.25">
      <c r="A312" s="13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spans="1:28" ht="14.25" customHeight="1" x14ac:dyDescent="0.25">
      <c r="A313" s="13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spans="1:28" ht="14.25" customHeight="1" x14ac:dyDescent="0.25">
      <c r="A314" s="13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spans="1:28" ht="14.25" customHeight="1" x14ac:dyDescent="0.25">
      <c r="A315" s="13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spans="1:28" ht="14.25" customHeight="1" x14ac:dyDescent="0.25">
      <c r="A316" s="13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spans="1:28" ht="14.25" customHeight="1" x14ac:dyDescent="0.25">
      <c r="A317" s="13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spans="1:28" ht="14.25" customHeight="1" x14ac:dyDescent="0.25">
      <c r="A318" s="13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spans="1:28" ht="14.25" customHeight="1" x14ac:dyDescent="0.25">
      <c r="A319" s="13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spans="1:28" ht="14.25" customHeight="1" x14ac:dyDescent="0.25">
      <c r="A320" s="13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spans="1:28" ht="14.25" customHeight="1" x14ac:dyDescent="0.25">
      <c r="A321" s="13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spans="1:28" ht="14.25" customHeight="1" x14ac:dyDescent="0.25">
      <c r="A322" s="13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spans="1:28" ht="14.25" customHeight="1" x14ac:dyDescent="0.25">
      <c r="A323" s="13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spans="1:28" ht="14.25" customHeight="1" x14ac:dyDescent="0.25">
      <c r="A324" s="13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spans="1:28" ht="14.25" customHeight="1" x14ac:dyDescent="0.25">
      <c r="A325" s="13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spans="1:28" ht="14.25" customHeight="1" x14ac:dyDescent="0.25">
      <c r="A326" s="13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spans="1:28" ht="14.25" customHeight="1" x14ac:dyDescent="0.25">
      <c r="A327" s="13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spans="1:28" ht="14.25" customHeight="1" x14ac:dyDescent="0.25">
      <c r="A328" s="13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spans="1:28" ht="14.25" customHeight="1" x14ac:dyDescent="0.25">
      <c r="A329" s="13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spans="1:28" ht="14.25" customHeight="1" x14ac:dyDescent="0.25">
      <c r="A330" s="13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spans="1:28" ht="14.25" customHeight="1" x14ac:dyDescent="0.25">
      <c r="A331" s="13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spans="1:28" ht="14.25" customHeight="1" x14ac:dyDescent="0.25">
      <c r="A332" s="13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spans="1:28" ht="14.25" customHeight="1" x14ac:dyDescent="0.25">
      <c r="A333" s="13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spans="1:28" ht="14.25" customHeight="1" x14ac:dyDescent="0.25">
      <c r="A334" s="13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spans="1:28" ht="14.25" customHeight="1" x14ac:dyDescent="0.25">
      <c r="A335" s="13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spans="1:28" ht="14.25" customHeight="1" x14ac:dyDescent="0.25">
      <c r="A336" s="13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spans="1:28" ht="14.25" customHeight="1" x14ac:dyDescent="0.25">
      <c r="A337" s="13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spans="1:28" ht="14.25" customHeight="1" x14ac:dyDescent="0.25">
      <c r="A338" s="13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spans="1:28" ht="14.25" customHeight="1" x14ac:dyDescent="0.25">
      <c r="A339" s="13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spans="1:28" ht="14.25" customHeight="1" x14ac:dyDescent="0.25">
      <c r="A340" s="13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spans="1:28" ht="14.25" customHeight="1" x14ac:dyDescent="0.25">
      <c r="A341" s="13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spans="1:28" ht="14.25" customHeight="1" x14ac:dyDescent="0.25">
      <c r="A342" s="13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spans="1:28" ht="14.25" customHeight="1" x14ac:dyDescent="0.25">
      <c r="A343" s="13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spans="1:28" ht="14.25" customHeight="1" x14ac:dyDescent="0.25">
      <c r="A344" s="13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spans="1:28" ht="14.25" customHeight="1" x14ac:dyDescent="0.25">
      <c r="A345" s="13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spans="1:28" ht="14.25" customHeight="1" x14ac:dyDescent="0.25">
      <c r="A346" s="13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spans="1:28" ht="14.25" customHeight="1" x14ac:dyDescent="0.25">
      <c r="A347" s="13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spans="1:28" ht="14.25" customHeight="1" x14ac:dyDescent="0.25">
      <c r="A348" s="13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spans="1:28" ht="14.25" customHeight="1" x14ac:dyDescent="0.25">
      <c r="A349" s="13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spans="1:28" ht="14.25" customHeight="1" x14ac:dyDescent="0.25">
      <c r="A350" s="13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spans="1:28" ht="14.25" customHeight="1" x14ac:dyDescent="0.25">
      <c r="A351" s="13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spans="1:28" ht="14.25" customHeight="1" x14ac:dyDescent="0.25">
      <c r="A352" s="13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spans="1:28" ht="14.25" customHeight="1" x14ac:dyDescent="0.25">
      <c r="A353" s="13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spans="1:28" ht="14.25" customHeight="1" x14ac:dyDescent="0.25">
      <c r="A354" s="13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spans="1:28" ht="14.25" customHeight="1" x14ac:dyDescent="0.25">
      <c r="A355" s="13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spans="1:28" ht="14.25" customHeight="1" x14ac:dyDescent="0.25">
      <c r="A356" s="13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spans="1:28" ht="14.25" customHeight="1" x14ac:dyDescent="0.25">
      <c r="A357" s="13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spans="1:28" ht="14.25" customHeight="1" x14ac:dyDescent="0.25">
      <c r="A358" s="13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spans="1:28" ht="14.25" customHeight="1" x14ac:dyDescent="0.25">
      <c r="A359" s="13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spans="1:28" ht="14.25" customHeight="1" x14ac:dyDescent="0.25">
      <c r="A360" s="13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spans="1:28" ht="14.25" customHeight="1" x14ac:dyDescent="0.25">
      <c r="A361" s="13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spans="1:28" ht="14.25" customHeight="1" x14ac:dyDescent="0.25">
      <c r="A362" s="13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spans="1:28" ht="14.25" customHeight="1" x14ac:dyDescent="0.25">
      <c r="A363" s="13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spans="1:28" ht="14.25" customHeight="1" x14ac:dyDescent="0.25">
      <c r="A364" s="13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spans="1:28" ht="14.25" customHeight="1" x14ac:dyDescent="0.25">
      <c r="A365" s="13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spans="1:28" ht="14.25" customHeight="1" x14ac:dyDescent="0.25">
      <c r="A366" s="13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spans="1:28" ht="14.25" customHeight="1" x14ac:dyDescent="0.25">
      <c r="A367" s="13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spans="1:28" ht="14.25" customHeight="1" x14ac:dyDescent="0.25">
      <c r="A368" s="13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spans="1:28" ht="14.25" customHeight="1" x14ac:dyDescent="0.25">
      <c r="A369" s="13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spans="1:28" ht="14.25" customHeight="1" x14ac:dyDescent="0.25">
      <c r="A370" s="13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spans="1:28" ht="14.25" customHeight="1" x14ac:dyDescent="0.25">
      <c r="A371" s="13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spans="1:28" ht="14.25" customHeight="1" x14ac:dyDescent="0.25">
      <c r="A372" s="13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spans="1:28" ht="14.25" customHeight="1" x14ac:dyDescent="0.25">
      <c r="A373" s="13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spans="1:28" ht="14.25" customHeight="1" x14ac:dyDescent="0.25">
      <c r="A374" s="13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spans="1:28" ht="14.25" customHeight="1" x14ac:dyDescent="0.25">
      <c r="A375" s="13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spans="1:28" ht="14.25" customHeight="1" x14ac:dyDescent="0.25">
      <c r="A376" s="13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spans="1:28" ht="14.25" customHeight="1" x14ac:dyDescent="0.25">
      <c r="A377" s="13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spans="1:28" ht="14.25" customHeight="1" x14ac:dyDescent="0.25">
      <c r="A378" s="13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spans="1:28" ht="14.25" customHeight="1" x14ac:dyDescent="0.25">
      <c r="A379" s="13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spans="1:28" ht="14.25" customHeight="1" x14ac:dyDescent="0.25">
      <c r="A380" s="13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spans="1:28" ht="14.25" customHeight="1" x14ac:dyDescent="0.25">
      <c r="A381" s="13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spans="1:28" ht="14.25" customHeight="1" x14ac:dyDescent="0.25">
      <c r="A382" s="13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spans="1:28" ht="14.25" customHeight="1" x14ac:dyDescent="0.25">
      <c r="A383" s="13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spans="1:28" ht="14.25" customHeight="1" x14ac:dyDescent="0.25">
      <c r="A384" s="13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spans="1:28" ht="14.25" customHeight="1" x14ac:dyDescent="0.25">
      <c r="A385" s="13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spans="1:28" ht="14.25" customHeight="1" x14ac:dyDescent="0.25">
      <c r="A386" s="13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spans="1:28" ht="14.25" customHeight="1" x14ac:dyDescent="0.25">
      <c r="A387" s="13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spans="1:28" ht="14.25" customHeight="1" x14ac:dyDescent="0.25">
      <c r="A388" s="13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spans="1:28" ht="14.25" customHeight="1" x14ac:dyDescent="0.25">
      <c r="A389" s="13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spans="1:28" ht="14.25" customHeight="1" x14ac:dyDescent="0.25">
      <c r="A390" s="13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1:28" ht="14.25" customHeight="1" x14ac:dyDescent="0.25">
      <c r="A391" s="13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spans="1:28" ht="14.25" customHeight="1" x14ac:dyDescent="0.25">
      <c r="A392" s="13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spans="1:28" ht="14.25" customHeight="1" x14ac:dyDescent="0.25">
      <c r="A393" s="13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spans="1:28" ht="14.25" customHeight="1" x14ac:dyDescent="0.25">
      <c r="A394" s="13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spans="1:28" ht="14.25" customHeight="1" x14ac:dyDescent="0.25">
      <c r="A395" s="13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spans="1:28" ht="14.25" customHeight="1" x14ac:dyDescent="0.25">
      <c r="A396" s="13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spans="1:28" ht="14.25" customHeight="1" x14ac:dyDescent="0.25">
      <c r="A397" s="13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spans="1:28" ht="14.25" customHeight="1" x14ac:dyDescent="0.25">
      <c r="A398" s="13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spans="1:28" ht="14.25" customHeight="1" x14ac:dyDescent="0.25">
      <c r="A399" s="13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spans="1:28" ht="14.25" customHeight="1" x14ac:dyDescent="0.25">
      <c r="A400" s="13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spans="1:28" ht="14.25" customHeight="1" x14ac:dyDescent="0.25">
      <c r="A401" s="13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spans="1:28" ht="14.25" customHeight="1" x14ac:dyDescent="0.25">
      <c r="A402" s="13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spans="1:28" ht="14.25" customHeight="1" x14ac:dyDescent="0.25">
      <c r="A403" s="13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spans="1:28" ht="14.25" customHeight="1" x14ac:dyDescent="0.25">
      <c r="A404" s="13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spans="1:28" ht="14.25" customHeight="1" x14ac:dyDescent="0.25">
      <c r="A405" s="13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spans="1:28" ht="14.25" customHeight="1" x14ac:dyDescent="0.25">
      <c r="A406" s="13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spans="1:28" ht="14.25" customHeight="1" x14ac:dyDescent="0.25">
      <c r="A407" s="13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spans="1:28" ht="14.25" customHeight="1" x14ac:dyDescent="0.25">
      <c r="A408" s="13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spans="1:28" ht="14.25" customHeight="1" x14ac:dyDescent="0.25">
      <c r="A409" s="13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spans="1:28" ht="14.25" customHeight="1" x14ac:dyDescent="0.25">
      <c r="A410" s="13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spans="1:28" ht="14.25" customHeight="1" x14ac:dyDescent="0.25">
      <c r="A411" s="13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spans="1:28" ht="14.25" customHeight="1" x14ac:dyDescent="0.25">
      <c r="A412" s="13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spans="1:28" ht="14.25" customHeight="1" x14ac:dyDescent="0.25">
      <c r="A413" s="13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spans="1:28" ht="14.25" customHeight="1" x14ac:dyDescent="0.25">
      <c r="A414" s="13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spans="1:28" ht="14.25" customHeight="1" x14ac:dyDescent="0.25">
      <c r="A415" s="13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spans="1:28" ht="14.25" customHeight="1" x14ac:dyDescent="0.25">
      <c r="A416" s="13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spans="1:28" ht="14.25" customHeight="1" x14ac:dyDescent="0.25">
      <c r="A417" s="13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spans="1:28" ht="14.25" customHeight="1" x14ac:dyDescent="0.25">
      <c r="A418" s="13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spans="1:28" ht="14.25" customHeight="1" x14ac:dyDescent="0.25">
      <c r="A419" s="13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spans="1:28" ht="14.25" customHeight="1" x14ac:dyDescent="0.25">
      <c r="A420" s="13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spans="1:28" ht="14.25" customHeight="1" x14ac:dyDescent="0.25">
      <c r="A421" s="13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spans="1:28" ht="14.25" customHeight="1" x14ac:dyDescent="0.25">
      <c r="A422" s="13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spans="1:28" ht="14.25" customHeight="1" x14ac:dyDescent="0.25">
      <c r="A423" s="13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spans="1:28" ht="14.25" customHeight="1" x14ac:dyDescent="0.25">
      <c r="A424" s="13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spans="1:28" ht="14.25" customHeight="1" x14ac:dyDescent="0.25">
      <c r="A425" s="13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spans="1:28" ht="14.25" customHeight="1" x14ac:dyDescent="0.25">
      <c r="A426" s="13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spans="1:28" ht="14.25" customHeight="1" x14ac:dyDescent="0.25">
      <c r="A427" s="13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spans="1:28" ht="14.25" customHeight="1" x14ac:dyDescent="0.25">
      <c r="A428" s="13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spans="1:28" ht="14.25" customHeight="1" x14ac:dyDescent="0.25">
      <c r="A429" s="13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spans="1:28" ht="14.25" customHeight="1" x14ac:dyDescent="0.25">
      <c r="A430" s="13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spans="1:28" ht="14.25" customHeight="1" x14ac:dyDescent="0.25">
      <c r="A431" s="13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spans="1:28" ht="14.25" customHeight="1" x14ac:dyDescent="0.25">
      <c r="A432" s="13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spans="1:28" ht="14.25" customHeight="1" x14ac:dyDescent="0.25">
      <c r="A433" s="13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spans="1:28" ht="14.25" customHeight="1" x14ac:dyDescent="0.25">
      <c r="A434" s="13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spans="1:28" ht="14.25" customHeight="1" x14ac:dyDescent="0.25">
      <c r="A435" s="13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spans="1:28" ht="14.25" customHeight="1" x14ac:dyDescent="0.25">
      <c r="A436" s="13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spans="1:28" ht="14.25" customHeight="1" x14ac:dyDescent="0.25">
      <c r="A437" s="13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spans="1:28" ht="14.25" customHeight="1" x14ac:dyDescent="0.25">
      <c r="A438" s="13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spans="1:28" ht="14.25" customHeight="1" x14ac:dyDescent="0.25">
      <c r="A439" s="13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spans="1:28" ht="14.25" customHeight="1" x14ac:dyDescent="0.25">
      <c r="A440" s="13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spans="1:28" ht="14.25" customHeight="1" x14ac:dyDescent="0.25">
      <c r="A441" s="13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spans="1:28" ht="14.25" customHeight="1" x14ac:dyDescent="0.25">
      <c r="A442" s="13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spans="1:28" ht="14.25" customHeight="1" x14ac:dyDescent="0.25">
      <c r="A443" s="13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spans="1:28" ht="14.25" customHeight="1" x14ac:dyDescent="0.25">
      <c r="A444" s="13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spans="1:28" ht="14.25" customHeight="1" x14ac:dyDescent="0.25">
      <c r="A445" s="13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spans="1:28" ht="14.25" customHeight="1" x14ac:dyDescent="0.25">
      <c r="A446" s="13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spans="1:28" ht="14.25" customHeight="1" x14ac:dyDescent="0.25">
      <c r="A447" s="13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spans="1:28" ht="14.25" customHeight="1" x14ac:dyDescent="0.25">
      <c r="A448" s="13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spans="1:28" ht="14.25" customHeight="1" x14ac:dyDescent="0.25">
      <c r="A449" s="13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spans="1:28" ht="14.25" customHeight="1" x14ac:dyDescent="0.25">
      <c r="A450" s="13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spans="1:28" ht="14.25" customHeight="1" x14ac:dyDescent="0.25">
      <c r="A451" s="13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spans="1:28" ht="14.25" customHeight="1" x14ac:dyDescent="0.25">
      <c r="A452" s="13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spans="1:28" ht="14.25" customHeight="1" x14ac:dyDescent="0.25">
      <c r="A453" s="13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spans="1:28" ht="14.25" customHeight="1" x14ac:dyDescent="0.25">
      <c r="A454" s="13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spans="1:28" ht="14.25" customHeight="1" x14ac:dyDescent="0.25">
      <c r="A455" s="13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spans="1:28" ht="14.25" customHeight="1" x14ac:dyDescent="0.25">
      <c r="A456" s="13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spans="1:28" ht="14.25" customHeight="1" x14ac:dyDescent="0.25">
      <c r="A457" s="13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spans="1:28" ht="14.25" customHeight="1" x14ac:dyDescent="0.25">
      <c r="A458" s="13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spans="1:28" ht="14.25" customHeight="1" x14ac:dyDescent="0.25">
      <c r="A459" s="13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spans="1:28" ht="14.25" customHeight="1" x14ac:dyDescent="0.25">
      <c r="A460" s="13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spans="1:28" ht="14.25" customHeight="1" x14ac:dyDescent="0.25">
      <c r="A461" s="13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spans="1:28" ht="14.25" customHeight="1" x14ac:dyDescent="0.25">
      <c r="A462" s="13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spans="1:28" ht="14.25" customHeight="1" x14ac:dyDescent="0.25">
      <c r="A463" s="13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spans="1:28" ht="14.25" customHeight="1" x14ac:dyDescent="0.25">
      <c r="A464" s="13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spans="1:28" ht="14.25" customHeight="1" x14ac:dyDescent="0.25">
      <c r="A465" s="13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spans="1:28" ht="14.25" customHeight="1" x14ac:dyDescent="0.25">
      <c r="A466" s="13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spans="1:28" ht="14.25" customHeight="1" x14ac:dyDescent="0.25">
      <c r="A467" s="13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spans="1:28" ht="14.25" customHeight="1" x14ac:dyDescent="0.25">
      <c r="A468" s="13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spans="1:28" ht="14.25" customHeight="1" x14ac:dyDescent="0.25">
      <c r="A469" s="13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spans="1:28" ht="14.25" customHeight="1" x14ac:dyDescent="0.25">
      <c r="A470" s="13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spans="1:28" ht="14.25" customHeight="1" x14ac:dyDescent="0.25">
      <c r="A471" s="13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spans="1:28" ht="14.25" customHeight="1" x14ac:dyDescent="0.25">
      <c r="A472" s="13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spans="1:28" ht="14.25" customHeight="1" x14ac:dyDescent="0.25">
      <c r="A473" s="13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spans="1:28" ht="14.25" customHeight="1" x14ac:dyDescent="0.25">
      <c r="A474" s="13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spans="1:28" ht="14.25" customHeight="1" x14ac:dyDescent="0.25">
      <c r="A475" s="13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spans="1:28" ht="14.25" customHeight="1" x14ac:dyDescent="0.25">
      <c r="A476" s="13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spans="1:28" ht="14.25" customHeight="1" x14ac:dyDescent="0.25">
      <c r="A477" s="13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spans="1:28" ht="14.25" customHeight="1" x14ac:dyDescent="0.25">
      <c r="A478" s="13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spans="1:28" ht="14.25" customHeight="1" x14ac:dyDescent="0.25">
      <c r="A479" s="13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spans="1:28" ht="14.25" customHeight="1" x14ac:dyDescent="0.25">
      <c r="A480" s="13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spans="1:28" ht="14.25" customHeight="1" x14ac:dyDescent="0.25">
      <c r="A481" s="13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spans="1:28" ht="14.25" customHeight="1" x14ac:dyDescent="0.25">
      <c r="A482" s="13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spans="1:28" ht="14.25" customHeight="1" x14ac:dyDescent="0.25">
      <c r="A483" s="13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spans="1:28" ht="14.25" customHeight="1" x14ac:dyDescent="0.25">
      <c r="A484" s="13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spans="1:28" ht="14.25" customHeight="1" x14ac:dyDescent="0.25">
      <c r="A485" s="13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spans="1:28" ht="14.25" customHeight="1" x14ac:dyDescent="0.25">
      <c r="A486" s="13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spans="1:28" ht="14.25" customHeight="1" x14ac:dyDescent="0.25">
      <c r="A487" s="13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spans="1:28" ht="14.25" customHeight="1" x14ac:dyDescent="0.25">
      <c r="A488" s="13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spans="1:28" ht="14.25" customHeight="1" x14ac:dyDescent="0.25">
      <c r="A489" s="13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spans="1:28" ht="14.25" customHeight="1" x14ac:dyDescent="0.25">
      <c r="A490" s="13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spans="1:28" ht="14.25" customHeight="1" x14ac:dyDescent="0.25">
      <c r="A491" s="13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spans="1:28" ht="14.25" customHeight="1" x14ac:dyDescent="0.25">
      <c r="A492" s="13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spans="1:28" ht="14.25" customHeight="1" x14ac:dyDescent="0.25">
      <c r="A493" s="13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spans="1:28" ht="14.25" customHeight="1" x14ac:dyDescent="0.25">
      <c r="A494" s="13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spans="1:28" ht="14.25" customHeight="1" x14ac:dyDescent="0.25">
      <c r="A495" s="13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spans="1:28" ht="14.25" customHeight="1" x14ac:dyDescent="0.25">
      <c r="A496" s="13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spans="1:28" ht="14.25" customHeight="1" x14ac:dyDescent="0.25">
      <c r="A497" s="13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spans="1:28" ht="14.25" customHeight="1" x14ac:dyDescent="0.25">
      <c r="A498" s="13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spans="1:28" ht="14.25" customHeight="1" x14ac:dyDescent="0.25">
      <c r="A499" s="13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spans="1:28" ht="14.25" customHeight="1" x14ac:dyDescent="0.25">
      <c r="A500" s="13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spans="1:28" ht="14.25" customHeight="1" x14ac:dyDescent="0.25">
      <c r="A501" s="13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spans="1:28" ht="14.25" customHeight="1" x14ac:dyDescent="0.25">
      <c r="A502" s="13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spans="1:28" ht="14.25" customHeight="1" x14ac:dyDescent="0.25">
      <c r="A503" s="13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spans="1:28" ht="14.25" customHeight="1" x14ac:dyDescent="0.25">
      <c r="A504" s="13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spans="1:28" ht="14.25" customHeight="1" x14ac:dyDescent="0.25">
      <c r="A505" s="13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spans="1:28" ht="14.25" customHeight="1" x14ac:dyDescent="0.25">
      <c r="A506" s="13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spans="1:28" ht="14.25" customHeight="1" x14ac:dyDescent="0.25">
      <c r="A507" s="13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spans="1:28" ht="14.25" customHeight="1" x14ac:dyDescent="0.25">
      <c r="A508" s="13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spans="1:28" ht="14.25" customHeight="1" x14ac:dyDescent="0.25">
      <c r="A509" s="13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spans="1:28" ht="14.25" customHeight="1" x14ac:dyDescent="0.25">
      <c r="A510" s="13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spans="1:28" ht="14.25" customHeight="1" x14ac:dyDescent="0.25">
      <c r="A511" s="13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spans="1:28" ht="14.25" customHeight="1" x14ac:dyDescent="0.25">
      <c r="A512" s="13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spans="1:28" ht="14.25" customHeight="1" x14ac:dyDescent="0.25">
      <c r="A513" s="13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spans="1:28" ht="14.25" customHeight="1" x14ac:dyDescent="0.25">
      <c r="A514" s="13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spans="1:28" ht="14.25" customHeight="1" x14ac:dyDescent="0.25">
      <c r="A515" s="13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spans="1:28" ht="14.25" customHeight="1" x14ac:dyDescent="0.25">
      <c r="A516" s="13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spans="1:28" ht="14.25" customHeight="1" x14ac:dyDescent="0.25">
      <c r="A517" s="13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spans="1:28" ht="14.25" customHeight="1" x14ac:dyDescent="0.25">
      <c r="A518" s="13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spans="1:28" ht="14.25" customHeight="1" x14ac:dyDescent="0.25">
      <c r="A519" s="13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spans="1:28" ht="14.25" customHeight="1" x14ac:dyDescent="0.25">
      <c r="A520" s="13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spans="1:28" ht="14.25" customHeight="1" x14ac:dyDescent="0.25">
      <c r="A521" s="13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spans="1:28" ht="14.25" customHeight="1" x14ac:dyDescent="0.25">
      <c r="A522" s="13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spans="1:28" ht="14.25" customHeight="1" x14ac:dyDescent="0.25">
      <c r="A523" s="13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spans="1:28" ht="14.25" customHeight="1" x14ac:dyDescent="0.25">
      <c r="A524" s="13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spans="1:28" ht="14.25" customHeight="1" x14ac:dyDescent="0.25">
      <c r="A525" s="13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spans="1:28" ht="14.25" customHeight="1" x14ac:dyDescent="0.25">
      <c r="A526" s="13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spans="1:28" ht="14.25" customHeight="1" x14ac:dyDescent="0.25">
      <c r="A527" s="13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spans="1:28" ht="14.25" customHeight="1" x14ac:dyDescent="0.25">
      <c r="A528" s="13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spans="1:28" ht="14.25" customHeight="1" x14ac:dyDescent="0.25">
      <c r="A529" s="13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spans="1:28" ht="14.25" customHeight="1" x14ac:dyDescent="0.25">
      <c r="A530" s="13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spans="1:28" ht="14.25" customHeight="1" x14ac:dyDescent="0.25">
      <c r="A531" s="13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spans="1:28" ht="14.25" customHeight="1" x14ac:dyDescent="0.25">
      <c r="A532" s="13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spans="1:28" ht="14.25" customHeight="1" x14ac:dyDescent="0.25">
      <c r="A533" s="13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spans="1:28" ht="14.25" customHeight="1" x14ac:dyDescent="0.25">
      <c r="A534" s="13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spans="1:28" ht="14.25" customHeight="1" x14ac:dyDescent="0.25">
      <c r="A535" s="13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spans="1:28" ht="14.25" customHeight="1" x14ac:dyDescent="0.25">
      <c r="A536" s="13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spans="1:28" ht="14.25" customHeight="1" x14ac:dyDescent="0.25">
      <c r="A537" s="13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spans="1:28" ht="14.25" customHeight="1" x14ac:dyDescent="0.25">
      <c r="A538" s="13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spans="1:28" ht="14.25" customHeight="1" x14ac:dyDescent="0.25">
      <c r="A539" s="13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spans="1:28" ht="14.25" customHeight="1" x14ac:dyDescent="0.25">
      <c r="A540" s="13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spans="1:28" ht="14.25" customHeight="1" x14ac:dyDescent="0.25">
      <c r="A541" s="13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spans="1:28" ht="14.25" customHeight="1" x14ac:dyDescent="0.25">
      <c r="A542" s="13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spans="1:28" ht="14.25" customHeight="1" x14ac:dyDescent="0.25">
      <c r="A543" s="13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spans="1:28" ht="14.25" customHeight="1" x14ac:dyDescent="0.25">
      <c r="A544" s="13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spans="1:28" ht="14.25" customHeight="1" x14ac:dyDescent="0.25">
      <c r="A545" s="13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spans="1:28" ht="14.25" customHeight="1" x14ac:dyDescent="0.25">
      <c r="A546" s="13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spans="1:28" ht="14.25" customHeight="1" x14ac:dyDescent="0.25">
      <c r="A547" s="13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spans="1:28" ht="14.25" customHeight="1" x14ac:dyDescent="0.25">
      <c r="A548" s="13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spans="1:28" ht="14.25" customHeight="1" x14ac:dyDescent="0.25">
      <c r="A549" s="13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spans="1:28" ht="14.25" customHeight="1" x14ac:dyDescent="0.25">
      <c r="A550" s="13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spans="1:28" ht="14.25" customHeight="1" x14ac:dyDescent="0.25">
      <c r="A551" s="13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spans="1:28" ht="14.25" customHeight="1" x14ac:dyDescent="0.25">
      <c r="A552" s="13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spans="1:28" ht="14.25" customHeight="1" x14ac:dyDescent="0.25">
      <c r="A553" s="13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spans="1:28" ht="14.25" customHeight="1" x14ac:dyDescent="0.25">
      <c r="A554" s="13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spans="1:28" ht="14.25" customHeight="1" x14ac:dyDescent="0.25">
      <c r="A555" s="13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spans="1:28" ht="14.25" customHeight="1" x14ac:dyDescent="0.25">
      <c r="A556" s="13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spans="1:28" ht="14.25" customHeight="1" x14ac:dyDescent="0.25">
      <c r="A557" s="13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spans="1:28" ht="14.25" customHeight="1" x14ac:dyDescent="0.25">
      <c r="A558" s="13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spans="1:28" ht="14.25" customHeight="1" x14ac:dyDescent="0.25">
      <c r="A559" s="13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spans="1:28" ht="14.25" customHeight="1" x14ac:dyDescent="0.25">
      <c r="A560" s="13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spans="1:28" ht="14.25" customHeight="1" x14ac:dyDescent="0.25">
      <c r="A561" s="13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spans="1:28" ht="14.25" customHeight="1" x14ac:dyDescent="0.25">
      <c r="A562" s="13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spans="1:28" ht="14.25" customHeight="1" x14ac:dyDescent="0.25">
      <c r="A563" s="13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spans="1:28" ht="14.25" customHeight="1" x14ac:dyDescent="0.25">
      <c r="A564" s="13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spans="1:28" ht="14.25" customHeight="1" x14ac:dyDescent="0.25">
      <c r="A565" s="13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spans="1:28" ht="14.25" customHeight="1" x14ac:dyDescent="0.25">
      <c r="A566" s="13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spans="1:28" ht="14.25" customHeight="1" x14ac:dyDescent="0.25">
      <c r="A567" s="13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spans="1:28" ht="14.25" customHeight="1" x14ac:dyDescent="0.25">
      <c r="A568" s="13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spans="1:28" ht="14.25" customHeight="1" x14ac:dyDescent="0.25">
      <c r="A569" s="13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spans="1:28" ht="14.25" customHeight="1" x14ac:dyDescent="0.25">
      <c r="A570" s="13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spans="1:28" ht="14.25" customHeight="1" x14ac:dyDescent="0.25">
      <c r="A571" s="13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spans="1:28" ht="14.25" customHeight="1" x14ac:dyDescent="0.25">
      <c r="A572" s="13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spans="1:28" ht="14.25" customHeight="1" x14ac:dyDescent="0.25">
      <c r="A573" s="13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spans="1:28" ht="14.25" customHeight="1" x14ac:dyDescent="0.25">
      <c r="A574" s="13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spans="1:28" ht="14.25" customHeight="1" x14ac:dyDescent="0.25">
      <c r="A575" s="13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spans="1:28" ht="14.25" customHeight="1" x14ac:dyDescent="0.25">
      <c r="A576" s="13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spans="1:28" ht="14.25" customHeight="1" x14ac:dyDescent="0.25">
      <c r="A577" s="13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spans="1:28" ht="14.25" customHeight="1" x14ac:dyDescent="0.25">
      <c r="A578" s="13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spans="1:28" ht="14.25" customHeight="1" x14ac:dyDescent="0.25">
      <c r="A579" s="13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spans="1:28" ht="14.25" customHeight="1" x14ac:dyDescent="0.25">
      <c r="A580" s="13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spans="1:28" ht="14.25" customHeight="1" x14ac:dyDescent="0.25">
      <c r="A581" s="13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spans="1:28" ht="14.25" customHeight="1" x14ac:dyDescent="0.25">
      <c r="A582" s="13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spans="1:28" ht="14.25" customHeight="1" x14ac:dyDescent="0.25">
      <c r="A583" s="13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spans="1:28" ht="14.25" customHeight="1" x14ac:dyDescent="0.25">
      <c r="A584" s="13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spans="1:28" ht="14.25" customHeight="1" x14ac:dyDescent="0.25">
      <c r="A585" s="13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spans="1:28" ht="14.25" customHeight="1" x14ac:dyDescent="0.25">
      <c r="A586" s="13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spans="1:28" ht="14.25" customHeight="1" x14ac:dyDescent="0.25">
      <c r="A587" s="13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spans="1:28" ht="14.25" customHeight="1" x14ac:dyDescent="0.25">
      <c r="A588" s="13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spans="1:28" ht="14.25" customHeight="1" x14ac:dyDescent="0.25">
      <c r="A589" s="13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spans="1:28" ht="14.25" customHeight="1" x14ac:dyDescent="0.25">
      <c r="A590" s="13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spans="1:28" ht="14.25" customHeight="1" x14ac:dyDescent="0.25">
      <c r="A591" s="13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spans="1:28" ht="14.25" customHeight="1" x14ac:dyDescent="0.25">
      <c r="A592" s="13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spans="1:28" ht="14.25" customHeight="1" x14ac:dyDescent="0.25">
      <c r="A593" s="13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spans="1:28" ht="14.25" customHeight="1" x14ac:dyDescent="0.25">
      <c r="A594" s="13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spans="1:28" ht="14.25" customHeight="1" x14ac:dyDescent="0.25">
      <c r="A595" s="13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spans="1:28" ht="14.25" customHeight="1" x14ac:dyDescent="0.25">
      <c r="A596" s="13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spans="1:28" ht="14.25" customHeight="1" x14ac:dyDescent="0.25">
      <c r="A597" s="13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spans="1:28" ht="14.25" customHeight="1" x14ac:dyDescent="0.25">
      <c r="A598" s="13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spans="1:28" ht="14.25" customHeight="1" x14ac:dyDescent="0.25">
      <c r="A599" s="13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spans="1:28" ht="14.25" customHeight="1" x14ac:dyDescent="0.25">
      <c r="A600" s="13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spans="1:28" ht="14.25" customHeight="1" x14ac:dyDescent="0.25">
      <c r="A601" s="13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spans="1:28" ht="14.25" customHeight="1" x14ac:dyDescent="0.25">
      <c r="A602" s="13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spans="1:28" ht="14.25" customHeight="1" x14ac:dyDescent="0.25">
      <c r="A603" s="13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spans="1:28" ht="14.25" customHeight="1" x14ac:dyDescent="0.25">
      <c r="A604" s="13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spans="1:28" ht="14.25" customHeight="1" x14ac:dyDescent="0.25">
      <c r="A605" s="13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spans="1:28" ht="14.25" customHeight="1" x14ac:dyDescent="0.25">
      <c r="A606" s="13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spans="1:28" ht="14.25" customHeight="1" x14ac:dyDescent="0.25">
      <c r="A607" s="13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spans="1:28" ht="14.25" customHeight="1" x14ac:dyDescent="0.25">
      <c r="A608" s="13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spans="1:28" ht="14.25" customHeight="1" x14ac:dyDescent="0.25">
      <c r="A609" s="13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spans="1:28" ht="14.25" customHeight="1" x14ac:dyDescent="0.25">
      <c r="A610" s="13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spans="1:28" ht="14.25" customHeight="1" x14ac:dyDescent="0.25">
      <c r="A611" s="13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spans="1:28" ht="14.25" customHeight="1" x14ac:dyDescent="0.25">
      <c r="A612" s="13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spans="1:28" ht="14.25" customHeight="1" x14ac:dyDescent="0.25">
      <c r="A613" s="13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spans="1:28" ht="14.25" customHeight="1" x14ac:dyDescent="0.25">
      <c r="A614" s="13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spans="1:28" ht="14.25" customHeight="1" x14ac:dyDescent="0.25">
      <c r="A615" s="13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spans="1:28" ht="14.25" customHeight="1" x14ac:dyDescent="0.25">
      <c r="A616" s="13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spans="1:28" ht="14.25" customHeight="1" x14ac:dyDescent="0.25">
      <c r="A617" s="13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spans="1:28" ht="14.25" customHeight="1" x14ac:dyDescent="0.25">
      <c r="A618" s="13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spans="1:28" ht="14.25" customHeight="1" x14ac:dyDescent="0.25">
      <c r="A619" s="13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spans="1:28" ht="14.25" customHeight="1" x14ac:dyDescent="0.25">
      <c r="A620" s="13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spans="1:28" ht="14.25" customHeight="1" x14ac:dyDescent="0.25">
      <c r="A621" s="13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spans="1:28" ht="14.25" customHeight="1" x14ac:dyDescent="0.25">
      <c r="A622" s="13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spans="1:28" ht="14.25" customHeight="1" x14ac:dyDescent="0.25">
      <c r="A623" s="13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spans="1:28" ht="14.25" customHeight="1" x14ac:dyDescent="0.25">
      <c r="A624" s="13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spans="1:28" ht="14.25" customHeight="1" x14ac:dyDescent="0.25">
      <c r="A625" s="13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spans="1:28" ht="14.25" customHeight="1" x14ac:dyDescent="0.25">
      <c r="A626" s="13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spans="1:28" ht="14.25" customHeight="1" x14ac:dyDescent="0.25">
      <c r="A627" s="13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spans="1:28" ht="14.25" customHeight="1" x14ac:dyDescent="0.25">
      <c r="A628" s="13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spans="1:28" ht="14.25" customHeight="1" x14ac:dyDescent="0.25">
      <c r="A629" s="13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spans="1:28" ht="14.25" customHeight="1" x14ac:dyDescent="0.25">
      <c r="A630" s="13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spans="1:28" ht="14.25" customHeight="1" x14ac:dyDescent="0.25">
      <c r="A631" s="13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spans="1:28" ht="14.25" customHeight="1" x14ac:dyDescent="0.25">
      <c r="A632" s="13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spans="1:28" ht="14.25" customHeight="1" x14ac:dyDescent="0.25">
      <c r="A633" s="13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spans="1:28" ht="14.25" customHeight="1" x14ac:dyDescent="0.25">
      <c r="A634" s="13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spans="1:28" ht="14.25" customHeight="1" x14ac:dyDescent="0.25">
      <c r="A635" s="13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spans="1:28" ht="14.25" customHeight="1" x14ac:dyDescent="0.25">
      <c r="A636" s="13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spans="1:28" ht="14.25" customHeight="1" x14ac:dyDescent="0.25">
      <c r="A637" s="13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spans="1:28" ht="14.25" customHeight="1" x14ac:dyDescent="0.25">
      <c r="A638" s="13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spans="1:28" ht="14.25" customHeight="1" x14ac:dyDescent="0.25">
      <c r="A639" s="13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spans="1:28" ht="14.25" customHeight="1" x14ac:dyDescent="0.25">
      <c r="A640" s="13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spans="1:28" ht="14.25" customHeight="1" x14ac:dyDescent="0.25">
      <c r="A641" s="13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spans="1:28" ht="14.25" customHeight="1" x14ac:dyDescent="0.25">
      <c r="A642" s="13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spans="1:28" ht="14.25" customHeight="1" x14ac:dyDescent="0.25">
      <c r="A643" s="13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spans="1:28" ht="14.25" customHeight="1" x14ac:dyDescent="0.25">
      <c r="A644" s="13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spans="1:28" ht="14.25" customHeight="1" x14ac:dyDescent="0.25">
      <c r="A645" s="13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spans="1:28" ht="14.25" customHeight="1" x14ac:dyDescent="0.25">
      <c r="A646" s="13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spans="1:28" ht="14.25" customHeight="1" x14ac:dyDescent="0.25">
      <c r="A647" s="13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spans="1:28" ht="14.25" customHeight="1" x14ac:dyDescent="0.25">
      <c r="A648" s="13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spans="1:28" ht="14.25" customHeight="1" x14ac:dyDescent="0.25">
      <c r="A649" s="13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spans="1:28" ht="14.25" customHeight="1" x14ac:dyDescent="0.25">
      <c r="A650" s="13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spans="1:28" ht="14.25" customHeight="1" x14ac:dyDescent="0.25">
      <c r="A651" s="13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spans="1:28" ht="14.25" customHeight="1" x14ac:dyDescent="0.25">
      <c r="A652" s="13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spans="1:28" ht="14.25" customHeight="1" x14ac:dyDescent="0.25">
      <c r="A653" s="13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spans="1:28" ht="14.25" customHeight="1" x14ac:dyDescent="0.25">
      <c r="A654" s="13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spans="1:28" ht="14.25" customHeight="1" x14ac:dyDescent="0.25">
      <c r="A655" s="13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spans="1:28" ht="14.25" customHeight="1" x14ac:dyDescent="0.25">
      <c r="A656" s="13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spans="1:28" ht="14.25" customHeight="1" x14ac:dyDescent="0.25">
      <c r="A657" s="13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spans="1:28" ht="14.25" customHeight="1" x14ac:dyDescent="0.25">
      <c r="A658" s="13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spans="1:28" ht="14.25" customHeight="1" x14ac:dyDescent="0.25">
      <c r="A659" s="13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spans="1:28" ht="14.25" customHeight="1" x14ac:dyDescent="0.25">
      <c r="A660" s="13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spans="1:28" ht="14.25" customHeight="1" x14ac:dyDescent="0.25">
      <c r="A661" s="13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spans="1:28" ht="14.25" customHeight="1" x14ac:dyDescent="0.25">
      <c r="A662" s="13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spans="1:28" ht="14.25" customHeight="1" x14ac:dyDescent="0.25">
      <c r="A663" s="13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spans="1:28" ht="14.25" customHeight="1" x14ac:dyDescent="0.25">
      <c r="A664" s="13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spans="1:28" ht="14.25" customHeight="1" x14ac:dyDescent="0.25">
      <c r="A665" s="13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spans="1:28" ht="14.25" customHeight="1" x14ac:dyDescent="0.25">
      <c r="A666" s="13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spans="1:28" ht="14.25" customHeight="1" x14ac:dyDescent="0.25">
      <c r="A667" s="13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spans="1:28" ht="14.25" customHeight="1" x14ac:dyDescent="0.25">
      <c r="A668" s="13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spans="1:28" ht="14.25" customHeight="1" x14ac:dyDescent="0.25">
      <c r="A669" s="13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spans="1:28" ht="14.25" customHeight="1" x14ac:dyDescent="0.25">
      <c r="A670" s="13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spans="1:28" ht="14.25" customHeight="1" x14ac:dyDescent="0.25">
      <c r="A671" s="13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spans="1:28" ht="14.25" customHeight="1" x14ac:dyDescent="0.25">
      <c r="A672" s="13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spans="1:28" ht="14.25" customHeight="1" x14ac:dyDescent="0.25">
      <c r="A673" s="13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spans="1:28" ht="14.25" customHeight="1" x14ac:dyDescent="0.25">
      <c r="A674" s="13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spans="1:28" ht="14.25" customHeight="1" x14ac:dyDescent="0.25">
      <c r="A675" s="13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spans="1:28" ht="14.25" customHeight="1" x14ac:dyDescent="0.25">
      <c r="A676" s="13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spans="1:28" ht="14.25" customHeight="1" x14ac:dyDescent="0.25">
      <c r="A677" s="13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spans="1:28" ht="14.25" customHeight="1" x14ac:dyDescent="0.25">
      <c r="A678" s="13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spans="1:28" ht="14.25" customHeight="1" x14ac:dyDescent="0.25">
      <c r="A679" s="13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spans="1:28" ht="14.25" customHeight="1" x14ac:dyDescent="0.25">
      <c r="A680" s="13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spans="1:28" ht="14.25" customHeight="1" x14ac:dyDescent="0.25">
      <c r="A681" s="13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spans="1:28" ht="14.25" customHeight="1" x14ac:dyDescent="0.25">
      <c r="A682" s="13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spans="1:28" ht="14.25" customHeight="1" x14ac:dyDescent="0.25">
      <c r="A683" s="13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spans="1:28" ht="14.25" customHeight="1" x14ac:dyDescent="0.25">
      <c r="A684" s="13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spans="1:28" ht="14.25" customHeight="1" x14ac:dyDescent="0.25">
      <c r="A685" s="13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spans="1:28" ht="14.25" customHeight="1" x14ac:dyDescent="0.25">
      <c r="A686" s="13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spans="1:28" ht="14.25" customHeight="1" x14ac:dyDescent="0.25">
      <c r="A687" s="13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spans="1:28" ht="14.25" customHeight="1" x14ac:dyDescent="0.25">
      <c r="A688" s="13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spans="1:28" ht="14.25" customHeight="1" x14ac:dyDescent="0.25">
      <c r="A689" s="13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spans="1:28" ht="14.25" customHeight="1" x14ac:dyDescent="0.25">
      <c r="A690" s="13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spans="1:28" ht="14.25" customHeight="1" x14ac:dyDescent="0.25">
      <c r="A691" s="13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spans="1:28" ht="14.25" customHeight="1" x14ac:dyDescent="0.25">
      <c r="A692" s="13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spans="1:28" ht="14.25" customHeight="1" x14ac:dyDescent="0.25">
      <c r="A693" s="13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spans="1:28" ht="14.25" customHeight="1" x14ac:dyDescent="0.25">
      <c r="A694" s="13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spans="1:28" ht="14.25" customHeight="1" x14ac:dyDescent="0.25">
      <c r="A695" s="13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spans="1:28" ht="14.25" customHeight="1" x14ac:dyDescent="0.25">
      <c r="A696" s="13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spans="1:28" ht="14.25" customHeight="1" x14ac:dyDescent="0.25">
      <c r="A697" s="13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spans="1:28" ht="14.25" customHeight="1" x14ac:dyDescent="0.25">
      <c r="A698" s="13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spans="1:28" ht="14.25" customHeight="1" x14ac:dyDescent="0.25">
      <c r="A699" s="13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spans="1:28" ht="14.25" customHeight="1" x14ac:dyDescent="0.25">
      <c r="A700" s="13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spans="1:28" ht="14.25" customHeight="1" x14ac:dyDescent="0.25">
      <c r="A701" s="13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spans="1:28" ht="14.25" customHeight="1" x14ac:dyDescent="0.25">
      <c r="A702" s="13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spans="1:28" ht="14.25" customHeight="1" x14ac:dyDescent="0.25">
      <c r="A703" s="13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spans="1:28" ht="14.25" customHeight="1" x14ac:dyDescent="0.25">
      <c r="A704" s="13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spans="1:28" ht="14.25" customHeight="1" x14ac:dyDescent="0.25">
      <c r="A705" s="13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spans="1:28" ht="14.25" customHeight="1" x14ac:dyDescent="0.25">
      <c r="A706" s="13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spans="1:28" ht="14.25" customHeight="1" x14ac:dyDescent="0.25">
      <c r="A707" s="13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spans="1:28" ht="14.25" customHeight="1" x14ac:dyDescent="0.25">
      <c r="A708" s="13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spans="1:28" ht="14.25" customHeight="1" x14ac:dyDescent="0.25">
      <c r="A709" s="13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spans="1:28" ht="14.25" customHeight="1" x14ac:dyDescent="0.25">
      <c r="A710" s="13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spans="1:28" ht="14.25" customHeight="1" x14ac:dyDescent="0.25">
      <c r="A711" s="13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spans="1:28" ht="14.25" customHeight="1" x14ac:dyDescent="0.25">
      <c r="A712" s="13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spans="1:28" ht="14.25" customHeight="1" x14ac:dyDescent="0.25">
      <c r="A713" s="13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spans="1:28" ht="14.25" customHeight="1" x14ac:dyDescent="0.25">
      <c r="A714" s="13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spans="1:28" ht="14.25" customHeight="1" x14ac:dyDescent="0.25">
      <c r="A715" s="13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spans="1:28" ht="14.25" customHeight="1" x14ac:dyDescent="0.25">
      <c r="A716" s="13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spans="1:28" ht="14.25" customHeight="1" x14ac:dyDescent="0.25">
      <c r="A717" s="13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spans="1:28" ht="14.25" customHeight="1" x14ac:dyDescent="0.25">
      <c r="A718" s="13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spans="1:28" ht="14.25" customHeight="1" x14ac:dyDescent="0.25">
      <c r="A719" s="13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spans="1:28" ht="14.25" customHeight="1" x14ac:dyDescent="0.25">
      <c r="A720" s="13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spans="1:28" ht="14.25" customHeight="1" x14ac:dyDescent="0.25">
      <c r="A721" s="13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spans="1:28" ht="14.25" customHeight="1" x14ac:dyDescent="0.25">
      <c r="A722" s="13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spans="1:28" ht="14.25" customHeight="1" x14ac:dyDescent="0.25">
      <c r="A723" s="13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spans="1:28" ht="14.25" customHeight="1" x14ac:dyDescent="0.25">
      <c r="A724" s="13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spans="1:28" ht="14.25" customHeight="1" x14ac:dyDescent="0.25">
      <c r="A725" s="13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spans="1:28" ht="14.25" customHeight="1" x14ac:dyDescent="0.25">
      <c r="A726" s="13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spans="1:28" ht="14.25" customHeight="1" x14ac:dyDescent="0.25">
      <c r="A727" s="13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spans="1:28" ht="14.25" customHeight="1" x14ac:dyDescent="0.25">
      <c r="A728" s="13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spans="1:28" ht="14.25" customHeight="1" x14ac:dyDescent="0.25">
      <c r="A729" s="13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spans="1:28" ht="14.25" customHeight="1" x14ac:dyDescent="0.25">
      <c r="A730" s="13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spans="1:28" ht="14.25" customHeight="1" x14ac:dyDescent="0.25">
      <c r="A731" s="13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spans="1:28" ht="14.25" customHeight="1" x14ac:dyDescent="0.25">
      <c r="A732" s="13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spans="1:28" ht="14.25" customHeight="1" x14ac:dyDescent="0.25">
      <c r="A733" s="13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spans="1:28" ht="14.25" customHeight="1" x14ac:dyDescent="0.25">
      <c r="A734" s="13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spans="1:28" ht="14.25" customHeight="1" x14ac:dyDescent="0.25">
      <c r="A735" s="13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spans="1:28" ht="14.25" customHeight="1" x14ac:dyDescent="0.25">
      <c r="A736" s="13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spans="1:28" ht="14.25" customHeight="1" x14ac:dyDescent="0.25">
      <c r="A737" s="13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spans="1:28" ht="14.25" customHeight="1" x14ac:dyDescent="0.25">
      <c r="A738" s="13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spans="1:28" ht="14.25" customHeight="1" x14ac:dyDescent="0.25">
      <c r="A739" s="13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spans="1:28" ht="14.25" customHeight="1" x14ac:dyDescent="0.25">
      <c r="A740" s="13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spans="1:28" ht="14.25" customHeight="1" x14ac:dyDescent="0.25">
      <c r="A741" s="13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spans="1:28" ht="14.25" customHeight="1" x14ac:dyDescent="0.25">
      <c r="A742" s="13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spans="1:28" ht="14.25" customHeight="1" x14ac:dyDescent="0.25">
      <c r="A743" s="13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spans="1:28" ht="14.25" customHeight="1" x14ac:dyDescent="0.25">
      <c r="A744" s="13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spans="1:28" ht="14.25" customHeight="1" x14ac:dyDescent="0.25">
      <c r="A745" s="13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spans="1:28" ht="14.25" customHeight="1" x14ac:dyDescent="0.25">
      <c r="A746" s="13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spans="1:28" ht="14.25" customHeight="1" x14ac:dyDescent="0.25">
      <c r="A747" s="13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spans="1:28" ht="14.25" customHeight="1" x14ac:dyDescent="0.25">
      <c r="A748" s="13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spans="1:28" ht="14.25" customHeight="1" x14ac:dyDescent="0.25">
      <c r="A749" s="13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spans="1:28" ht="14.25" customHeight="1" x14ac:dyDescent="0.25">
      <c r="A750" s="13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spans="1:28" ht="14.25" customHeight="1" x14ac:dyDescent="0.25">
      <c r="A751" s="13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spans="1:28" ht="14.25" customHeight="1" x14ac:dyDescent="0.25">
      <c r="A752" s="13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spans="1:28" ht="14.25" customHeight="1" x14ac:dyDescent="0.25">
      <c r="A753" s="13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spans="1:28" ht="14.25" customHeight="1" x14ac:dyDescent="0.25">
      <c r="A754" s="13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spans="1:28" ht="14.25" customHeight="1" x14ac:dyDescent="0.25">
      <c r="A755" s="13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spans="1:28" ht="14.25" customHeight="1" x14ac:dyDescent="0.25">
      <c r="A756" s="13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spans="1:28" ht="14.25" customHeight="1" x14ac:dyDescent="0.25">
      <c r="A757" s="13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spans="1:28" ht="14.25" customHeight="1" x14ac:dyDescent="0.25">
      <c r="A758" s="13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spans="1:28" ht="14.25" customHeight="1" x14ac:dyDescent="0.25">
      <c r="A759" s="13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spans="1:28" ht="14.25" customHeight="1" x14ac:dyDescent="0.25">
      <c r="A760" s="13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spans="1:28" ht="14.25" customHeight="1" x14ac:dyDescent="0.25">
      <c r="A761" s="13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spans="1:28" ht="14.25" customHeight="1" x14ac:dyDescent="0.25">
      <c r="A762" s="13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spans="1:28" ht="14.25" customHeight="1" x14ac:dyDescent="0.25">
      <c r="A763" s="13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spans="1:28" ht="14.25" customHeight="1" x14ac:dyDescent="0.25">
      <c r="A764" s="13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spans="1:28" ht="14.25" customHeight="1" x14ac:dyDescent="0.25">
      <c r="A765" s="13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spans="1:28" ht="14.25" customHeight="1" x14ac:dyDescent="0.25">
      <c r="A766" s="13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spans="1:28" ht="14.25" customHeight="1" x14ac:dyDescent="0.25">
      <c r="A767" s="13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spans="1:28" ht="14.25" customHeight="1" x14ac:dyDescent="0.25">
      <c r="A768" s="13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spans="1:28" ht="14.25" customHeight="1" x14ac:dyDescent="0.25">
      <c r="A769" s="13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spans="1:28" ht="14.25" customHeight="1" x14ac:dyDescent="0.25">
      <c r="A770" s="13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spans="1:28" ht="14.25" customHeight="1" x14ac:dyDescent="0.25">
      <c r="A771" s="13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spans="1:28" ht="14.25" customHeight="1" x14ac:dyDescent="0.25">
      <c r="A772" s="13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spans="1:28" ht="14.25" customHeight="1" x14ac:dyDescent="0.25">
      <c r="A773" s="13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spans="1:28" ht="14.25" customHeight="1" x14ac:dyDescent="0.25">
      <c r="A774" s="13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spans="1:28" ht="14.25" customHeight="1" x14ac:dyDescent="0.25">
      <c r="A775" s="13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spans="1:28" ht="14.25" customHeight="1" x14ac:dyDescent="0.25">
      <c r="A776" s="13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spans="1:28" ht="14.25" customHeight="1" x14ac:dyDescent="0.25">
      <c r="A777" s="13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spans="1:28" ht="14.25" customHeight="1" x14ac:dyDescent="0.25">
      <c r="A778" s="13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spans="1:28" ht="14.25" customHeight="1" x14ac:dyDescent="0.25">
      <c r="A779" s="13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spans="1:28" ht="14.25" customHeight="1" x14ac:dyDescent="0.25">
      <c r="A780" s="13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spans="1:28" ht="14.25" customHeight="1" x14ac:dyDescent="0.25">
      <c r="A781" s="13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spans="1:28" ht="14.25" customHeight="1" x14ac:dyDescent="0.25">
      <c r="A782" s="13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spans="1:28" ht="14.25" customHeight="1" x14ac:dyDescent="0.25">
      <c r="A783" s="13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spans="1:28" ht="14.25" customHeight="1" x14ac:dyDescent="0.25">
      <c r="A784" s="13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spans="1:28" ht="14.25" customHeight="1" x14ac:dyDescent="0.25">
      <c r="A785" s="13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spans="1:28" ht="14.25" customHeight="1" x14ac:dyDescent="0.25">
      <c r="A786" s="13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spans="1:28" ht="14.25" customHeight="1" x14ac:dyDescent="0.25">
      <c r="A787" s="13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spans="1:28" ht="14.25" customHeight="1" x14ac:dyDescent="0.25">
      <c r="A788" s="13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spans="1:28" ht="14.25" customHeight="1" x14ac:dyDescent="0.25">
      <c r="A789" s="13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spans="1:28" ht="14.25" customHeight="1" x14ac:dyDescent="0.25">
      <c r="A790" s="13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spans="1:28" ht="14.25" customHeight="1" x14ac:dyDescent="0.25">
      <c r="A791" s="13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spans="1:28" ht="14.25" customHeight="1" x14ac:dyDescent="0.25">
      <c r="A792" s="13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spans="1:28" ht="14.25" customHeight="1" x14ac:dyDescent="0.25">
      <c r="A793" s="13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spans="1:28" ht="14.25" customHeight="1" x14ac:dyDescent="0.25">
      <c r="A794" s="13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spans="1:28" ht="14.25" customHeight="1" x14ac:dyDescent="0.25">
      <c r="A795" s="13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spans="1:28" ht="14.25" customHeight="1" x14ac:dyDescent="0.25">
      <c r="A796" s="13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spans="1:28" ht="14.25" customHeight="1" x14ac:dyDescent="0.25">
      <c r="A797" s="13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spans="1:28" ht="14.25" customHeight="1" x14ac:dyDescent="0.25">
      <c r="A798" s="13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spans="1:28" ht="14.25" customHeight="1" x14ac:dyDescent="0.25">
      <c r="A799" s="13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spans="1:28" ht="14.25" customHeight="1" x14ac:dyDescent="0.25">
      <c r="A800" s="13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spans="1:28" ht="14.25" customHeight="1" x14ac:dyDescent="0.25">
      <c r="A801" s="13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spans="1:28" ht="14.25" customHeight="1" x14ac:dyDescent="0.25">
      <c r="A802" s="13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spans="1:28" ht="14.25" customHeight="1" x14ac:dyDescent="0.25">
      <c r="A803" s="13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spans="1:28" ht="14.25" customHeight="1" x14ac:dyDescent="0.25">
      <c r="A804" s="13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spans="1:28" ht="14.25" customHeight="1" x14ac:dyDescent="0.25">
      <c r="A805" s="13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spans="1:28" ht="14.25" customHeight="1" x14ac:dyDescent="0.25">
      <c r="A806" s="13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spans="1:28" ht="14.25" customHeight="1" x14ac:dyDescent="0.25">
      <c r="A807" s="13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spans="1:28" ht="14.25" customHeight="1" x14ac:dyDescent="0.25">
      <c r="A808" s="13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spans="1:28" ht="14.25" customHeight="1" x14ac:dyDescent="0.25">
      <c r="A809" s="13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spans="1:28" ht="14.25" customHeight="1" x14ac:dyDescent="0.25">
      <c r="A810" s="13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spans="1:28" ht="14.25" customHeight="1" x14ac:dyDescent="0.25">
      <c r="A811" s="13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spans="1:28" ht="14.25" customHeight="1" x14ac:dyDescent="0.25">
      <c r="A812" s="13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spans="1:28" ht="14.25" customHeight="1" x14ac:dyDescent="0.25">
      <c r="A813" s="13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spans="1:28" ht="14.25" customHeight="1" x14ac:dyDescent="0.25">
      <c r="A814" s="13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spans="1:28" ht="14.25" customHeight="1" x14ac:dyDescent="0.25">
      <c r="A815" s="13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spans="1:28" ht="14.25" customHeight="1" x14ac:dyDescent="0.25">
      <c r="A816" s="13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spans="1:28" ht="14.25" customHeight="1" x14ac:dyDescent="0.25">
      <c r="A817" s="13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spans="1:28" ht="14.25" customHeight="1" x14ac:dyDescent="0.25">
      <c r="A818" s="13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spans="1:28" ht="14.25" customHeight="1" x14ac:dyDescent="0.25">
      <c r="A819" s="13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spans="1:28" ht="14.25" customHeight="1" x14ac:dyDescent="0.25">
      <c r="A820" s="13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spans="1:28" ht="14.25" customHeight="1" x14ac:dyDescent="0.25">
      <c r="A821" s="13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spans="1:28" ht="14.25" customHeight="1" x14ac:dyDescent="0.25">
      <c r="A822" s="13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spans="1:28" ht="14.25" customHeight="1" x14ac:dyDescent="0.25">
      <c r="A823" s="13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spans="1:28" ht="14.25" customHeight="1" x14ac:dyDescent="0.25">
      <c r="A824" s="13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spans="1:28" ht="14.25" customHeight="1" x14ac:dyDescent="0.25">
      <c r="A825" s="13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spans="1:28" ht="14.25" customHeight="1" x14ac:dyDescent="0.25">
      <c r="A826" s="13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spans="1:28" ht="14.25" customHeight="1" x14ac:dyDescent="0.25">
      <c r="A827" s="13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spans="1:28" ht="14.25" customHeight="1" x14ac:dyDescent="0.25">
      <c r="A828" s="13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spans="1:28" ht="14.25" customHeight="1" x14ac:dyDescent="0.25">
      <c r="A829" s="13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spans="1:28" ht="14.25" customHeight="1" x14ac:dyDescent="0.25">
      <c r="A830" s="13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spans="1:28" ht="14.25" customHeight="1" x14ac:dyDescent="0.25">
      <c r="A831" s="13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spans="1:28" ht="14.25" customHeight="1" x14ac:dyDescent="0.25">
      <c r="A832" s="13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spans="1:28" ht="14.25" customHeight="1" x14ac:dyDescent="0.25">
      <c r="A833" s="13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spans="1:28" ht="14.25" customHeight="1" x14ac:dyDescent="0.25">
      <c r="A834" s="13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spans="1:28" ht="14.25" customHeight="1" x14ac:dyDescent="0.25">
      <c r="A835" s="13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spans="1:28" ht="14.25" customHeight="1" x14ac:dyDescent="0.25">
      <c r="A836" s="13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spans="1:28" ht="14.25" customHeight="1" x14ac:dyDescent="0.25">
      <c r="A837" s="13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spans="1:28" ht="14.25" customHeight="1" x14ac:dyDescent="0.25">
      <c r="A838" s="13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spans="1:28" ht="14.25" customHeight="1" x14ac:dyDescent="0.25">
      <c r="A839" s="13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spans="1:28" ht="14.25" customHeight="1" x14ac:dyDescent="0.25">
      <c r="A840" s="13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spans="1:28" ht="14.25" customHeight="1" x14ac:dyDescent="0.25">
      <c r="A841" s="13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spans="1:28" ht="14.25" customHeight="1" x14ac:dyDescent="0.25">
      <c r="A842" s="13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spans="1:28" ht="14.25" customHeight="1" x14ac:dyDescent="0.25">
      <c r="A843" s="13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spans="1:28" ht="14.25" customHeight="1" x14ac:dyDescent="0.25">
      <c r="A844" s="13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spans="1:28" ht="14.25" customHeight="1" x14ac:dyDescent="0.25">
      <c r="A845" s="13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spans="1:28" ht="14.25" customHeight="1" x14ac:dyDescent="0.25">
      <c r="A846" s="13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spans="1:28" ht="14.25" customHeight="1" x14ac:dyDescent="0.25">
      <c r="A847" s="13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spans="1:28" ht="14.25" customHeight="1" x14ac:dyDescent="0.25">
      <c r="A848" s="13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spans="1:28" ht="14.25" customHeight="1" x14ac:dyDescent="0.25">
      <c r="A849" s="13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spans="1:28" ht="14.25" customHeight="1" x14ac:dyDescent="0.25">
      <c r="A850" s="13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spans="1:28" ht="14.25" customHeight="1" x14ac:dyDescent="0.25">
      <c r="A851" s="13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spans="1:28" ht="14.25" customHeight="1" x14ac:dyDescent="0.25">
      <c r="A852" s="13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spans="1:28" ht="14.25" customHeight="1" x14ac:dyDescent="0.25">
      <c r="A853" s="13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spans="1:28" ht="14.25" customHeight="1" x14ac:dyDescent="0.25">
      <c r="A854" s="13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spans="1:28" ht="14.25" customHeight="1" x14ac:dyDescent="0.25">
      <c r="A855" s="13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spans="1:28" ht="14.25" customHeight="1" x14ac:dyDescent="0.25">
      <c r="A856" s="13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spans="1:28" ht="14.25" customHeight="1" x14ac:dyDescent="0.25">
      <c r="A857" s="13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spans="1:28" ht="14.25" customHeight="1" x14ac:dyDescent="0.25">
      <c r="A858" s="13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spans="1:28" ht="14.25" customHeight="1" x14ac:dyDescent="0.25">
      <c r="A859" s="13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spans="1:28" ht="14.25" customHeight="1" x14ac:dyDescent="0.25">
      <c r="A860" s="13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spans="1:28" ht="14.25" customHeight="1" x14ac:dyDescent="0.25">
      <c r="A861" s="13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spans="1:28" ht="14.25" customHeight="1" x14ac:dyDescent="0.25">
      <c r="A862" s="13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spans="1:28" ht="14.25" customHeight="1" x14ac:dyDescent="0.25">
      <c r="A863" s="13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spans="1:28" ht="14.25" customHeight="1" x14ac:dyDescent="0.25">
      <c r="A864" s="13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spans="1:28" ht="14.25" customHeight="1" x14ac:dyDescent="0.25">
      <c r="A865" s="13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spans="1:28" ht="14.25" customHeight="1" x14ac:dyDescent="0.25">
      <c r="A866" s="13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spans="1:28" ht="14.25" customHeight="1" x14ac:dyDescent="0.25">
      <c r="A867" s="13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spans="1:28" ht="14.25" customHeight="1" x14ac:dyDescent="0.25">
      <c r="A868" s="13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spans="1:28" ht="14.25" customHeight="1" x14ac:dyDescent="0.25">
      <c r="A869" s="13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spans="1:28" ht="14.25" customHeight="1" x14ac:dyDescent="0.25">
      <c r="A870" s="13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spans="1:28" ht="14.25" customHeight="1" x14ac:dyDescent="0.25">
      <c r="A871" s="13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spans="1:28" ht="14.25" customHeight="1" x14ac:dyDescent="0.25">
      <c r="A872" s="13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spans="1:28" ht="14.25" customHeight="1" x14ac:dyDescent="0.25">
      <c r="A873" s="13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spans="1:28" ht="14.25" customHeight="1" x14ac:dyDescent="0.25">
      <c r="A874" s="13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spans="1:28" ht="14.25" customHeight="1" x14ac:dyDescent="0.25">
      <c r="A875" s="13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spans="1:28" ht="14.25" customHeight="1" x14ac:dyDescent="0.25">
      <c r="A876" s="13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spans="1:28" ht="14.25" customHeight="1" x14ac:dyDescent="0.25">
      <c r="A877" s="13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spans="1:28" ht="14.25" customHeight="1" x14ac:dyDescent="0.25">
      <c r="A878" s="13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spans="1:28" ht="14.25" customHeight="1" x14ac:dyDescent="0.25">
      <c r="A879" s="13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spans="1:28" ht="14.25" customHeight="1" x14ac:dyDescent="0.25">
      <c r="A880" s="13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spans="1:28" ht="14.25" customHeight="1" x14ac:dyDescent="0.25">
      <c r="A881" s="13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spans="1:28" ht="14.25" customHeight="1" x14ac:dyDescent="0.25">
      <c r="A882" s="13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spans="1:28" ht="14.25" customHeight="1" x14ac:dyDescent="0.25">
      <c r="A883" s="13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spans="1:28" ht="14.25" customHeight="1" x14ac:dyDescent="0.25">
      <c r="A884" s="13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spans="1:28" ht="14.25" customHeight="1" x14ac:dyDescent="0.25">
      <c r="A885" s="13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spans="1:28" ht="14.25" customHeight="1" x14ac:dyDescent="0.25">
      <c r="A886" s="13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spans="1:28" ht="14.25" customHeight="1" x14ac:dyDescent="0.25">
      <c r="A887" s="13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spans="1:28" ht="14.25" customHeight="1" x14ac:dyDescent="0.25">
      <c r="A888" s="13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spans="1:28" ht="14.25" customHeight="1" x14ac:dyDescent="0.25">
      <c r="A889" s="13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spans="1:28" ht="14.25" customHeight="1" x14ac:dyDescent="0.25">
      <c r="A890" s="13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spans="1:28" ht="14.25" customHeight="1" x14ac:dyDescent="0.25">
      <c r="A891" s="13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spans="1:28" ht="14.25" customHeight="1" x14ac:dyDescent="0.25">
      <c r="A892" s="13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spans="1:28" ht="14.25" customHeight="1" x14ac:dyDescent="0.25">
      <c r="A893" s="13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spans="1:28" ht="14.25" customHeight="1" x14ac:dyDescent="0.25">
      <c r="A894" s="13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spans="1:28" ht="14.25" customHeight="1" x14ac:dyDescent="0.25">
      <c r="A895" s="13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spans="1:28" ht="14.25" customHeight="1" x14ac:dyDescent="0.25">
      <c r="A896" s="13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spans="1:28" ht="14.25" customHeight="1" x14ac:dyDescent="0.25">
      <c r="A897" s="13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spans="1:28" ht="14.25" customHeight="1" x14ac:dyDescent="0.25">
      <c r="A898" s="13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spans="1:28" ht="14.25" customHeight="1" x14ac:dyDescent="0.25">
      <c r="A899" s="13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spans="1:28" ht="14.25" customHeight="1" x14ac:dyDescent="0.25">
      <c r="A900" s="13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spans="1:28" ht="14.25" customHeight="1" x14ac:dyDescent="0.25">
      <c r="A901" s="13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spans="1:28" ht="14.25" customHeight="1" x14ac:dyDescent="0.25">
      <c r="A902" s="13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spans="1:28" ht="14.25" customHeight="1" x14ac:dyDescent="0.25">
      <c r="A903" s="13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spans="1:28" ht="14.25" customHeight="1" x14ac:dyDescent="0.25">
      <c r="A904" s="13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spans="1:28" ht="14.25" customHeight="1" x14ac:dyDescent="0.25">
      <c r="A905" s="13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spans="1:28" ht="14.25" customHeight="1" x14ac:dyDescent="0.25">
      <c r="A906" s="13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spans="1:28" ht="14.25" customHeight="1" x14ac:dyDescent="0.25">
      <c r="A907" s="13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spans="1:28" ht="14.25" customHeight="1" x14ac:dyDescent="0.25">
      <c r="A908" s="13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spans="1:28" ht="14.25" customHeight="1" x14ac:dyDescent="0.25">
      <c r="A909" s="13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spans="1:28" ht="14.25" customHeight="1" x14ac:dyDescent="0.25">
      <c r="A910" s="13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spans="1:28" ht="14.25" customHeight="1" x14ac:dyDescent="0.25">
      <c r="A911" s="13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spans="1:28" ht="14.25" customHeight="1" x14ac:dyDescent="0.25">
      <c r="A912" s="13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spans="1:28" ht="14.25" customHeight="1" x14ac:dyDescent="0.25">
      <c r="A913" s="13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spans="1:28" ht="14.25" customHeight="1" x14ac:dyDescent="0.25">
      <c r="A914" s="13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spans="1:28" ht="14.25" customHeight="1" x14ac:dyDescent="0.25">
      <c r="A915" s="13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spans="1:28" ht="14.25" customHeight="1" x14ac:dyDescent="0.25">
      <c r="A916" s="13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spans="1:28" ht="14.25" customHeight="1" x14ac:dyDescent="0.25">
      <c r="A917" s="13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spans="1:28" ht="14.25" customHeight="1" x14ac:dyDescent="0.25">
      <c r="A918" s="13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spans="1:28" ht="14.25" customHeight="1" x14ac:dyDescent="0.25">
      <c r="A919" s="13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spans="1:28" ht="14.25" customHeight="1" x14ac:dyDescent="0.25">
      <c r="A920" s="13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spans="1:28" ht="14.25" customHeight="1" x14ac:dyDescent="0.25">
      <c r="A921" s="13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spans="1:28" ht="14.25" customHeight="1" x14ac:dyDescent="0.25">
      <c r="A922" s="13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spans="1:28" ht="14.25" customHeight="1" x14ac:dyDescent="0.25">
      <c r="A923" s="13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spans="1:28" ht="14.25" customHeight="1" x14ac:dyDescent="0.25">
      <c r="A924" s="13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spans="1:28" ht="14.25" customHeight="1" x14ac:dyDescent="0.25">
      <c r="A925" s="13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spans="1:28" ht="14.25" customHeight="1" x14ac:dyDescent="0.25">
      <c r="A926" s="13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spans="1:28" ht="14.25" customHeight="1" x14ac:dyDescent="0.25">
      <c r="A927" s="13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spans="1:28" ht="14.25" customHeight="1" x14ac:dyDescent="0.25">
      <c r="A928" s="13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spans="1:28" ht="14.25" customHeight="1" x14ac:dyDescent="0.25">
      <c r="A929" s="13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spans="1:28" ht="14.25" customHeight="1" x14ac:dyDescent="0.25">
      <c r="A930" s="13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spans="1:28" ht="14.25" customHeight="1" x14ac:dyDescent="0.25">
      <c r="A931" s="13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spans="1:28" ht="14.25" customHeight="1" x14ac:dyDescent="0.25">
      <c r="A932" s="13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spans="1:28" ht="14.25" customHeight="1" x14ac:dyDescent="0.25">
      <c r="A933" s="13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spans="1:28" ht="14.25" customHeight="1" x14ac:dyDescent="0.25">
      <c r="A934" s="13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spans="1:28" ht="14.25" customHeight="1" x14ac:dyDescent="0.25">
      <c r="A935" s="13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spans="1:28" ht="14.25" customHeight="1" x14ac:dyDescent="0.25">
      <c r="A936" s="13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spans="1:28" ht="14.25" customHeight="1" x14ac:dyDescent="0.25">
      <c r="A937" s="13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spans="1:28" ht="14.25" customHeight="1" x14ac:dyDescent="0.25">
      <c r="A938" s="13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spans="1:28" ht="14.25" customHeight="1" x14ac:dyDescent="0.25">
      <c r="A939" s="13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spans="1:28" ht="14.25" customHeight="1" x14ac:dyDescent="0.25">
      <c r="A940" s="13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spans="1:28" ht="14.25" customHeight="1" x14ac:dyDescent="0.25">
      <c r="A941" s="13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spans="1:28" ht="14.25" customHeight="1" x14ac:dyDescent="0.25">
      <c r="A942" s="13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spans="1:28" ht="14.25" customHeight="1" x14ac:dyDescent="0.25">
      <c r="A943" s="13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spans="1:28" ht="14.25" customHeight="1" x14ac:dyDescent="0.25">
      <c r="A944" s="13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spans="1:28" ht="14.25" customHeight="1" x14ac:dyDescent="0.25">
      <c r="A945" s="13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spans="1:28" ht="14.25" customHeight="1" x14ac:dyDescent="0.25">
      <c r="A946" s="13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spans="1:28" ht="14.25" customHeight="1" x14ac:dyDescent="0.25">
      <c r="A947" s="13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spans="1:28" ht="14.25" customHeight="1" x14ac:dyDescent="0.25">
      <c r="A948" s="13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spans="1:28" ht="14.25" customHeight="1" x14ac:dyDescent="0.25">
      <c r="A949" s="13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spans="1:28" ht="14.25" customHeight="1" x14ac:dyDescent="0.25">
      <c r="A950" s="13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spans="1:28" ht="14.25" customHeight="1" x14ac:dyDescent="0.25">
      <c r="A951" s="13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spans="1:28" ht="14.25" customHeight="1" x14ac:dyDescent="0.25">
      <c r="A952" s="13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spans="1:28" ht="14.25" customHeight="1" x14ac:dyDescent="0.25">
      <c r="A953" s="13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spans="1:28" ht="14.25" customHeight="1" x14ac:dyDescent="0.25">
      <c r="A954" s="13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spans="1:28" ht="14.25" customHeight="1" x14ac:dyDescent="0.25">
      <c r="A955" s="13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spans="1:28" ht="14.25" customHeight="1" x14ac:dyDescent="0.25">
      <c r="A956" s="13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spans="1:28" ht="14.25" customHeight="1" x14ac:dyDescent="0.25">
      <c r="A957" s="13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spans="1:28" ht="14.25" customHeight="1" x14ac:dyDescent="0.25">
      <c r="A958" s="13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spans="1:28" ht="14.25" customHeight="1" x14ac:dyDescent="0.25">
      <c r="A959" s="13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spans="1:28" ht="14.25" customHeight="1" x14ac:dyDescent="0.25">
      <c r="A960" s="13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spans="1:28" ht="14.25" customHeight="1" x14ac:dyDescent="0.25">
      <c r="A961" s="13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spans="1:28" ht="14.25" customHeight="1" x14ac:dyDescent="0.25">
      <c r="A962" s="13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spans="1:28" ht="14.25" customHeight="1" x14ac:dyDescent="0.25">
      <c r="A963" s="13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spans="1:28" ht="14.25" customHeight="1" x14ac:dyDescent="0.25">
      <c r="A964" s="13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spans="1:28" ht="14.25" customHeight="1" x14ac:dyDescent="0.25">
      <c r="A965" s="13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spans="1:28" ht="14.25" customHeight="1" x14ac:dyDescent="0.25">
      <c r="A966" s="13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spans="1:28" ht="14.25" customHeight="1" x14ac:dyDescent="0.25">
      <c r="A967" s="13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spans="1:28" ht="14.25" customHeight="1" x14ac:dyDescent="0.25">
      <c r="A968" s="13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spans="1:28" ht="14.25" customHeight="1" x14ac:dyDescent="0.25">
      <c r="A969" s="13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spans="1:28" ht="14.25" customHeight="1" x14ac:dyDescent="0.25">
      <c r="A970" s="13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spans="1:28" ht="14.25" customHeight="1" x14ac:dyDescent="0.25">
      <c r="A971" s="13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spans="1:28" ht="14.25" customHeight="1" x14ac:dyDescent="0.25">
      <c r="A972" s="13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spans="1:28" ht="14.25" customHeight="1" x14ac:dyDescent="0.25">
      <c r="A973" s="13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spans="1:28" ht="14.25" customHeight="1" x14ac:dyDescent="0.25">
      <c r="A974" s="13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spans="1:28" ht="14.25" customHeight="1" x14ac:dyDescent="0.25">
      <c r="A975" s="13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spans="1:28" ht="14.25" customHeight="1" x14ac:dyDescent="0.25">
      <c r="A976" s="13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spans="1:28" ht="14.25" customHeight="1" x14ac:dyDescent="0.25">
      <c r="A977" s="13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spans="1:28" ht="14.25" customHeight="1" x14ac:dyDescent="0.25">
      <c r="A978" s="13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spans="1:28" ht="14.25" customHeight="1" x14ac:dyDescent="0.25">
      <c r="A979" s="13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spans="1:28" ht="14.25" customHeight="1" x14ac:dyDescent="0.25">
      <c r="A980" s="13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spans="1:28" ht="14.25" customHeight="1" x14ac:dyDescent="0.25">
      <c r="A981" s="13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spans="1:28" ht="14.25" customHeight="1" x14ac:dyDescent="0.25">
      <c r="A982" s="13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spans="1:28" ht="14.25" customHeight="1" x14ac:dyDescent="0.25">
      <c r="A983" s="13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spans="1:28" ht="14.25" customHeight="1" x14ac:dyDescent="0.25">
      <c r="A984" s="13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spans="1:28" ht="14.25" customHeight="1" x14ac:dyDescent="0.25">
      <c r="A985" s="13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spans="1:28" ht="14.25" customHeight="1" x14ac:dyDescent="0.25">
      <c r="A986" s="13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spans="1:28" ht="14.25" customHeight="1" x14ac:dyDescent="0.25">
      <c r="A987" s="13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spans="1:28" ht="14.25" customHeight="1" x14ac:dyDescent="0.25">
      <c r="A988" s="13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spans="1:28" ht="14.25" customHeight="1" x14ac:dyDescent="0.25">
      <c r="A989" s="13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spans="1:28" ht="14.25" customHeight="1" x14ac:dyDescent="0.25">
      <c r="A990" s="13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spans="1:28" ht="14.25" customHeight="1" x14ac:dyDescent="0.25">
      <c r="A991" s="13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spans="1:28" ht="14.25" customHeight="1" x14ac:dyDescent="0.25">
      <c r="A992" s="13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spans="1:28" ht="14.25" customHeight="1" x14ac:dyDescent="0.25">
      <c r="A993" s="13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spans="1:28" ht="14.25" customHeight="1" x14ac:dyDescent="0.25">
      <c r="A994" s="13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spans="1:28" ht="14.25" customHeight="1" x14ac:dyDescent="0.25">
      <c r="A995" s="13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spans="1:28" ht="14.25" customHeight="1" x14ac:dyDescent="0.25">
      <c r="A996" s="13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 spans="1:28" ht="14.25" customHeight="1" x14ac:dyDescent="0.25">
      <c r="A997" s="13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 spans="1:28" ht="14.25" customHeight="1" x14ac:dyDescent="0.25">
      <c r="A998" s="13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  <row r="999" spans="1:28" ht="14.25" customHeight="1" x14ac:dyDescent="0.25">
      <c r="A999" s="13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 spans="1:28" ht="14.25" customHeight="1" x14ac:dyDescent="0.25">
      <c r="A1000" s="13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</row>
  </sheetData>
  <autoFilter ref="B4:S79" xr:uid="{00000000-0009-0000-0000-000000000000}">
    <sortState xmlns:xlrd2="http://schemas.microsoft.com/office/spreadsheetml/2017/richdata2" ref="B4:S79">
      <sortCondition ref="B4:B79"/>
    </sortState>
  </autoFilter>
  <mergeCells count="3">
    <mergeCell ref="B2:S2"/>
    <mergeCell ref="B3:C3"/>
    <mergeCell ref="D4:N4"/>
  </mergeCells>
  <pageMargins left="0.70866141732283472" right="0.70866141732283472" top="0.74803149606299213" bottom="0.74803149606299213" header="0" footer="0"/>
  <pageSetup paperSize="9" scale="40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14.42578125" defaultRowHeight="15" customHeight="1" x14ac:dyDescent="0.25"/>
  <cols>
    <col min="1" max="2" width="8.7109375" customWidth="1"/>
    <col min="3" max="3" width="39.7109375" customWidth="1"/>
    <col min="4" max="5" width="22.42578125" customWidth="1"/>
    <col min="6" max="6" width="23.5703125" customWidth="1"/>
    <col min="7" max="7" width="24.42578125" customWidth="1"/>
    <col min="8" max="8" width="25.42578125" customWidth="1"/>
    <col min="9" max="9" width="26.28515625" customWidth="1"/>
    <col min="10" max="11" width="22.7109375" customWidth="1"/>
    <col min="12" max="12" width="11" customWidth="1"/>
    <col min="13" max="26" width="8.7109375" customWidth="1"/>
  </cols>
  <sheetData>
    <row r="1" spans="1:26" ht="13.5" customHeight="1" x14ac:dyDescent="0.25">
      <c r="A1" s="1"/>
      <c r="B1" s="2"/>
      <c r="C1" s="3"/>
      <c r="D1" s="4"/>
      <c r="E1" s="4"/>
      <c r="F1" s="4"/>
      <c r="G1" s="4"/>
      <c r="H1" s="4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2"/>
      <c r="C2" s="3"/>
      <c r="D2" s="4"/>
      <c r="E2" s="4"/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6" customHeight="1" x14ac:dyDescent="0.25">
      <c r="A3" s="1"/>
      <c r="B3" s="217" t="s">
        <v>154</v>
      </c>
      <c r="C3" s="218"/>
      <c r="D3" s="218"/>
      <c r="E3" s="218"/>
      <c r="F3" s="218"/>
      <c r="G3" s="218"/>
      <c r="H3" s="218"/>
      <c r="I3" s="218"/>
      <c r="J3" s="218"/>
      <c r="K3" s="21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114" t="s">
        <v>155</v>
      </c>
      <c r="C4" s="3"/>
      <c r="D4" s="4"/>
      <c r="E4" s="4"/>
      <c r="F4" s="4"/>
      <c r="G4" s="4"/>
      <c r="H4" s="4"/>
      <c r="I4" s="4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5">
      <c r="A5" s="5"/>
      <c r="B5" s="225" t="s">
        <v>0</v>
      </c>
      <c r="C5" s="225" t="s">
        <v>1</v>
      </c>
      <c r="D5" s="227" t="s">
        <v>2</v>
      </c>
      <c r="E5" s="222"/>
      <c r="F5" s="222"/>
      <c r="G5" s="222"/>
      <c r="H5" s="222"/>
      <c r="I5" s="223"/>
      <c r="J5" s="228" t="s">
        <v>156</v>
      </c>
      <c r="K5" s="225" t="s">
        <v>157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25">
      <c r="A6" s="5"/>
      <c r="B6" s="226"/>
      <c r="C6" s="226"/>
      <c r="D6" s="115" t="s">
        <v>81</v>
      </c>
      <c r="E6" s="115" t="s">
        <v>158</v>
      </c>
      <c r="F6" s="115" t="s">
        <v>6</v>
      </c>
      <c r="G6" s="115" t="s">
        <v>159</v>
      </c>
      <c r="H6" s="115" t="s">
        <v>8</v>
      </c>
      <c r="I6" s="115" t="s">
        <v>160</v>
      </c>
      <c r="J6" s="226"/>
      <c r="K6" s="22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25">
      <c r="A7" s="5"/>
      <c r="B7" s="6"/>
      <c r="C7" s="6"/>
      <c r="D7" s="8"/>
      <c r="E7" s="8"/>
      <c r="F7" s="8"/>
      <c r="G7" s="8"/>
      <c r="H7" s="8"/>
      <c r="I7" s="8"/>
      <c r="J7" s="116"/>
      <c r="K7" s="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2.5" customHeight="1" x14ac:dyDescent="0.25">
      <c r="A8" s="9"/>
      <c r="B8" s="10">
        <v>1</v>
      </c>
      <c r="C8" s="117" t="s">
        <v>9</v>
      </c>
      <c r="D8" s="11">
        <f>76502105000+4928791000</f>
        <v>81430896000</v>
      </c>
      <c r="E8" s="11">
        <f>182349000+1980793000+3656795000+6318187000</f>
        <v>12138124000</v>
      </c>
      <c r="F8" s="11">
        <f>8025985000</f>
        <v>8025985000</v>
      </c>
      <c r="G8" s="11">
        <f>632383000+250000000+11160125000+270688000</f>
        <v>12313196000</v>
      </c>
      <c r="H8" s="11">
        <f>88844000+823580000+295679000+4812459000+2520995000+6866089000</f>
        <v>15407646000</v>
      </c>
      <c r="I8" s="11">
        <f>43760000+1414819000+4607896000+117144000+728004000+230688000+78096000+228820000+19524000+824128000+158592000+356694000+19524000+335370000</f>
        <v>9163059000</v>
      </c>
      <c r="J8" s="118">
        <f t="shared" ref="J8:J77" si="0">SUM(D8:I8)</f>
        <v>138478906000</v>
      </c>
      <c r="K8" s="11">
        <f t="shared" ref="K8:K77" si="1">J8-D8</f>
        <v>57048010000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2.5" customHeight="1" x14ac:dyDescent="0.25">
      <c r="A9" s="9"/>
      <c r="B9" s="10">
        <v>2</v>
      </c>
      <c r="C9" s="7" t="s">
        <v>10</v>
      </c>
      <c r="D9" s="11">
        <v>73470000</v>
      </c>
      <c r="E9" s="11"/>
      <c r="F9" s="11"/>
      <c r="G9" s="11">
        <v>203838000</v>
      </c>
      <c r="H9" s="11"/>
      <c r="I9" s="11"/>
      <c r="J9" s="118">
        <f t="shared" si="0"/>
        <v>277308000</v>
      </c>
      <c r="K9" s="11">
        <f t="shared" si="1"/>
        <v>203838000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2.5" customHeight="1" x14ac:dyDescent="0.25">
      <c r="A10" s="9"/>
      <c r="B10" s="10">
        <v>3</v>
      </c>
      <c r="C10" s="117" t="s">
        <v>11</v>
      </c>
      <c r="D10" s="11">
        <v>206018000</v>
      </c>
      <c r="E10" s="11"/>
      <c r="F10" s="11">
        <f>194482000</f>
        <v>194482000</v>
      </c>
      <c r="G10" s="11">
        <f>69821000+163530000</f>
        <v>233351000</v>
      </c>
      <c r="H10" s="11">
        <f>38300000+293800000+1028669000+282760000+33360000</f>
        <v>1676889000</v>
      </c>
      <c r="I10" s="11"/>
      <c r="J10" s="118">
        <f t="shared" si="0"/>
        <v>2310740000</v>
      </c>
      <c r="K10" s="11">
        <f t="shared" si="1"/>
        <v>2104722000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2.5" customHeight="1" x14ac:dyDescent="0.25">
      <c r="A11" s="9"/>
      <c r="B11" s="10">
        <v>4</v>
      </c>
      <c r="C11" s="7" t="s">
        <v>12</v>
      </c>
      <c r="D11" s="11">
        <v>158684000</v>
      </c>
      <c r="E11" s="11"/>
      <c r="F11" s="11">
        <f>19668000</f>
        <v>19668000</v>
      </c>
      <c r="G11" s="11"/>
      <c r="H11" s="11">
        <f>22600000+82980000</f>
        <v>105580000</v>
      </c>
      <c r="I11" s="11">
        <v>1959850000</v>
      </c>
      <c r="J11" s="118">
        <f t="shared" si="0"/>
        <v>2243782000</v>
      </c>
      <c r="K11" s="11">
        <f t="shared" si="1"/>
        <v>2085098000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2.5" customHeight="1" x14ac:dyDescent="0.25">
      <c r="A12" s="9"/>
      <c r="B12" s="10">
        <v>5</v>
      </c>
      <c r="C12" s="7" t="s">
        <v>13</v>
      </c>
      <c r="D12" s="11">
        <v>225322000</v>
      </c>
      <c r="E12" s="11"/>
      <c r="F12" s="11">
        <f>1385560000+166942000+144493000+975736000+52606000+3186083000</f>
        <v>5911420000</v>
      </c>
      <c r="G12" s="11">
        <f>166390000</f>
        <v>166390000</v>
      </c>
      <c r="H12" s="11">
        <f>12650000+82600000+75434000+172110000</f>
        <v>342794000</v>
      </c>
      <c r="I12" s="11">
        <f>930789000</f>
        <v>930789000</v>
      </c>
      <c r="J12" s="118">
        <f t="shared" si="0"/>
        <v>7576715000</v>
      </c>
      <c r="K12" s="11">
        <f t="shared" si="1"/>
        <v>7351393000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2.5" customHeight="1" x14ac:dyDescent="0.25">
      <c r="A13" s="9"/>
      <c r="B13" s="10">
        <v>6</v>
      </c>
      <c r="C13" s="7" t="s">
        <v>14</v>
      </c>
      <c r="D13" s="11">
        <v>146404000</v>
      </c>
      <c r="E13" s="11"/>
      <c r="F13" s="11">
        <v>400000000</v>
      </c>
      <c r="G13" s="11"/>
      <c r="H13" s="11">
        <f>22600000+86480000</f>
        <v>109080000</v>
      </c>
      <c r="I13" s="11"/>
      <c r="J13" s="118">
        <f t="shared" si="0"/>
        <v>655484000</v>
      </c>
      <c r="K13" s="11">
        <f t="shared" si="1"/>
        <v>509080000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2.5" customHeight="1" x14ac:dyDescent="0.25">
      <c r="A14" s="9"/>
      <c r="B14" s="10">
        <v>7</v>
      </c>
      <c r="C14" s="7" t="s">
        <v>15</v>
      </c>
      <c r="D14" s="11">
        <v>158218000</v>
      </c>
      <c r="E14" s="11"/>
      <c r="F14" s="11"/>
      <c r="G14" s="11"/>
      <c r="H14" s="11">
        <v>285254000</v>
      </c>
      <c r="I14" s="11"/>
      <c r="J14" s="118">
        <f t="shared" si="0"/>
        <v>443472000</v>
      </c>
      <c r="K14" s="11">
        <f t="shared" si="1"/>
        <v>285254000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2.5" customHeight="1" x14ac:dyDescent="0.25">
      <c r="A15" s="9"/>
      <c r="B15" s="10">
        <v>8</v>
      </c>
      <c r="C15" s="7" t="s">
        <v>16</v>
      </c>
      <c r="D15" s="11">
        <v>169418000</v>
      </c>
      <c r="E15" s="11"/>
      <c r="F15" s="11">
        <v>184881000</v>
      </c>
      <c r="G15" s="11"/>
      <c r="H15" s="11">
        <f>12470000+248062000+126990000+222480000</f>
        <v>610002000</v>
      </c>
      <c r="I15" s="11"/>
      <c r="J15" s="118">
        <f t="shared" si="0"/>
        <v>964301000</v>
      </c>
      <c r="K15" s="11">
        <f t="shared" si="1"/>
        <v>794883000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2.5" customHeight="1" x14ac:dyDescent="0.25">
      <c r="A16" s="9"/>
      <c r="B16" s="10">
        <v>9</v>
      </c>
      <c r="C16" s="7" t="s">
        <v>17</v>
      </c>
      <c r="D16" s="11">
        <v>119830000</v>
      </c>
      <c r="E16" s="11"/>
      <c r="F16" s="11">
        <f>398772000+849956000</f>
        <v>1248728000</v>
      </c>
      <c r="G16" s="11"/>
      <c r="H16" s="11">
        <f>142600000+102210000</f>
        <v>244810000</v>
      </c>
      <c r="I16" s="11">
        <f>200000000</f>
        <v>200000000</v>
      </c>
      <c r="J16" s="118">
        <f t="shared" si="0"/>
        <v>1813368000</v>
      </c>
      <c r="K16" s="11">
        <f t="shared" si="1"/>
        <v>1693538000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2.5" customHeight="1" x14ac:dyDescent="0.25">
      <c r="A17" s="9"/>
      <c r="B17" s="10">
        <v>10</v>
      </c>
      <c r="C17" s="7" t="s">
        <v>18</v>
      </c>
      <c r="D17" s="11">
        <v>200910000</v>
      </c>
      <c r="E17" s="11"/>
      <c r="F17" s="11">
        <f>19396000</f>
        <v>19396000</v>
      </c>
      <c r="G17" s="11"/>
      <c r="H17" s="11">
        <f>50040000+96800000+628350000+602170000</f>
        <v>1377360000</v>
      </c>
      <c r="I17" s="11">
        <f>200000000+500000000</f>
        <v>700000000</v>
      </c>
      <c r="J17" s="118">
        <f t="shared" si="0"/>
        <v>2297666000</v>
      </c>
      <c r="K17" s="11">
        <f t="shared" si="1"/>
        <v>2096756000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2.5" customHeight="1" x14ac:dyDescent="0.25">
      <c r="A18" s="9"/>
      <c r="B18" s="10">
        <v>11</v>
      </c>
      <c r="C18" s="7" t="s">
        <v>19</v>
      </c>
      <c r="D18" s="11">
        <v>132460000</v>
      </c>
      <c r="E18" s="11"/>
      <c r="F18" s="11">
        <f>15142000+314502000+105000000+67047000</f>
        <v>501691000</v>
      </c>
      <c r="G18" s="11"/>
      <c r="H18" s="11"/>
      <c r="I18" s="11"/>
      <c r="J18" s="118">
        <f t="shared" si="0"/>
        <v>634151000</v>
      </c>
      <c r="K18" s="11">
        <f t="shared" si="1"/>
        <v>501691000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2.5" customHeight="1" x14ac:dyDescent="0.25">
      <c r="A19" s="9"/>
      <c r="B19" s="10">
        <v>12</v>
      </c>
      <c r="C19" s="7" t="s">
        <v>20</v>
      </c>
      <c r="D19" s="11">
        <v>108434000</v>
      </c>
      <c r="E19" s="11"/>
      <c r="F19" s="11">
        <f>15150000+1049400000</f>
        <v>1064550000</v>
      </c>
      <c r="G19" s="11"/>
      <c r="H19" s="11">
        <f>22600000+129540000</f>
        <v>152140000</v>
      </c>
      <c r="I19" s="11">
        <f>1500000000</f>
        <v>1500000000</v>
      </c>
      <c r="J19" s="118">
        <f t="shared" si="0"/>
        <v>2825124000</v>
      </c>
      <c r="K19" s="11">
        <f t="shared" si="1"/>
        <v>2716690000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2.5" customHeight="1" x14ac:dyDescent="0.25">
      <c r="A20" s="9"/>
      <c r="B20" s="10">
        <v>13</v>
      </c>
      <c r="C20" s="7" t="s">
        <v>21</v>
      </c>
      <c r="D20" s="11">
        <v>140972000</v>
      </c>
      <c r="E20" s="11"/>
      <c r="F20" s="11"/>
      <c r="G20" s="11"/>
      <c r="H20" s="11">
        <f>62445000+105600000+44920000</f>
        <v>212965000</v>
      </c>
      <c r="I20" s="11">
        <f>400000000</f>
        <v>400000000</v>
      </c>
      <c r="J20" s="118">
        <f t="shared" si="0"/>
        <v>753937000</v>
      </c>
      <c r="K20" s="11">
        <f t="shared" si="1"/>
        <v>612965000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2.5" customHeight="1" x14ac:dyDescent="0.25">
      <c r="A21" s="9"/>
      <c r="B21" s="10">
        <v>14</v>
      </c>
      <c r="C21" s="7" t="s">
        <v>22</v>
      </c>
      <c r="D21" s="11">
        <v>161462000</v>
      </c>
      <c r="E21" s="11"/>
      <c r="F21" s="11"/>
      <c r="G21" s="11"/>
      <c r="H21" s="11">
        <v>408584000</v>
      </c>
      <c r="I21" s="11"/>
      <c r="J21" s="118">
        <f t="shared" si="0"/>
        <v>570046000</v>
      </c>
      <c r="K21" s="11">
        <f t="shared" si="1"/>
        <v>408584000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2.5" customHeight="1" x14ac:dyDescent="0.25">
      <c r="A22" s="9"/>
      <c r="B22" s="10">
        <v>15</v>
      </c>
      <c r="C22" s="7" t="s">
        <v>23</v>
      </c>
      <c r="D22" s="11">
        <v>172725000</v>
      </c>
      <c r="E22" s="11"/>
      <c r="F22" s="11"/>
      <c r="G22" s="11">
        <v>618376000</v>
      </c>
      <c r="H22" s="11">
        <f>332268000+357600000+12450000</f>
        <v>702318000</v>
      </c>
      <c r="I22" s="11"/>
      <c r="J22" s="118">
        <f t="shared" si="0"/>
        <v>1493419000</v>
      </c>
      <c r="K22" s="11">
        <f t="shared" si="1"/>
        <v>1320694000</v>
      </c>
      <c r="L22" s="9"/>
      <c r="M22" s="1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2.5" customHeight="1" x14ac:dyDescent="0.25">
      <c r="A23" s="9"/>
      <c r="B23" s="10">
        <v>16</v>
      </c>
      <c r="C23" s="7" t="s">
        <v>24</v>
      </c>
      <c r="D23" s="11">
        <v>214010000</v>
      </c>
      <c r="E23" s="11"/>
      <c r="F23" s="11">
        <f>6391000</f>
        <v>6391000</v>
      </c>
      <c r="G23" s="11"/>
      <c r="H23" s="11">
        <f>62550000+22600000+98540000+40700000</f>
        <v>224390000</v>
      </c>
      <c r="I23" s="11">
        <v>425000000</v>
      </c>
      <c r="J23" s="118">
        <f t="shared" si="0"/>
        <v>869791000</v>
      </c>
      <c r="K23" s="11">
        <f t="shared" si="1"/>
        <v>655781000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2.5" customHeight="1" x14ac:dyDescent="0.25">
      <c r="A24" s="9"/>
      <c r="B24" s="10">
        <v>17</v>
      </c>
      <c r="C24" s="7" t="s">
        <v>25</v>
      </c>
      <c r="D24" s="11">
        <v>104925000</v>
      </c>
      <c r="E24" s="11"/>
      <c r="F24" s="11">
        <v>9482000</v>
      </c>
      <c r="G24" s="11"/>
      <c r="H24" s="11">
        <f>22600000+95390000</f>
        <v>117990000</v>
      </c>
      <c r="I24" s="11"/>
      <c r="J24" s="118">
        <f t="shared" si="0"/>
        <v>232397000</v>
      </c>
      <c r="K24" s="11">
        <f t="shared" si="1"/>
        <v>127472000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2.5" customHeight="1" x14ac:dyDescent="0.25">
      <c r="A25" s="9"/>
      <c r="B25" s="10">
        <v>18</v>
      </c>
      <c r="C25" s="7" t="s">
        <v>26</v>
      </c>
      <c r="D25" s="11">
        <v>222890000</v>
      </c>
      <c r="E25" s="11"/>
      <c r="F25" s="11"/>
      <c r="G25" s="11"/>
      <c r="H25" s="11">
        <f>22600000+102480000</f>
        <v>125080000</v>
      </c>
      <c r="I25" s="11">
        <f>3857000000</f>
        <v>3857000000</v>
      </c>
      <c r="J25" s="118">
        <f t="shared" si="0"/>
        <v>4204970000</v>
      </c>
      <c r="K25" s="11">
        <f t="shared" si="1"/>
        <v>3982080000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2.5" customHeight="1" x14ac:dyDescent="0.25">
      <c r="A26" s="9"/>
      <c r="B26" s="10">
        <v>19</v>
      </c>
      <c r="C26" s="7" t="s">
        <v>27</v>
      </c>
      <c r="D26" s="11">
        <v>91080000</v>
      </c>
      <c r="E26" s="11"/>
      <c r="F26" s="11"/>
      <c r="G26" s="11">
        <v>151896000</v>
      </c>
      <c r="H26" s="11"/>
      <c r="I26" s="11"/>
      <c r="J26" s="118">
        <f t="shared" si="0"/>
        <v>242976000</v>
      </c>
      <c r="K26" s="11">
        <f t="shared" si="1"/>
        <v>151896000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2.5" customHeight="1" x14ac:dyDescent="0.25">
      <c r="A27" s="9"/>
      <c r="B27" s="10">
        <v>20</v>
      </c>
      <c r="C27" s="7" t="s">
        <v>28</v>
      </c>
      <c r="D27" s="11">
        <v>170123000</v>
      </c>
      <c r="E27" s="11"/>
      <c r="F27" s="11"/>
      <c r="G27" s="11"/>
      <c r="H27" s="11">
        <f>52800000</f>
        <v>52800000</v>
      </c>
      <c r="I27" s="11">
        <f>80000000</f>
        <v>80000000</v>
      </c>
      <c r="J27" s="118">
        <f t="shared" si="0"/>
        <v>302923000</v>
      </c>
      <c r="K27" s="11">
        <f t="shared" si="1"/>
        <v>132800000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2.5" customHeight="1" x14ac:dyDescent="0.25">
      <c r="A28" s="9"/>
      <c r="B28" s="10">
        <v>21</v>
      </c>
      <c r="C28" s="7" t="s">
        <v>29</v>
      </c>
      <c r="D28" s="11">
        <v>94910000</v>
      </c>
      <c r="E28" s="11"/>
      <c r="F28" s="11"/>
      <c r="G28" s="11">
        <v>988952000</v>
      </c>
      <c r="H28" s="11"/>
      <c r="I28" s="11"/>
      <c r="J28" s="118">
        <f t="shared" si="0"/>
        <v>1083862000</v>
      </c>
      <c r="K28" s="11">
        <f t="shared" si="1"/>
        <v>988952000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2.5" customHeight="1" x14ac:dyDescent="0.25">
      <c r="A29" s="9"/>
      <c r="B29" s="10">
        <v>22</v>
      </c>
      <c r="C29" s="7" t="s">
        <v>30</v>
      </c>
      <c r="D29" s="11">
        <v>88880000</v>
      </c>
      <c r="E29" s="11"/>
      <c r="F29" s="11"/>
      <c r="G29" s="11">
        <v>1031886000</v>
      </c>
      <c r="H29" s="11"/>
      <c r="I29" s="11"/>
      <c r="J29" s="118">
        <f t="shared" si="0"/>
        <v>1120766000</v>
      </c>
      <c r="K29" s="11">
        <f t="shared" si="1"/>
        <v>1031886000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2.5" customHeight="1" x14ac:dyDescent="0.25">
      <c r="A30" s="9"/>
      <c r="B30" s="10">
        <v>23</v>
      </c>
      <c r="C30" s="7" t="s">
        <v>31</v>
      </c>
      <c r="D30" s="11">
        <v>93300000</v>
      </c>
      <c r="E30" s="11"/>
      <c r="F30" s="11"/>
      <c r="G30" s="11">
        <v>925584000</v>
      </c>
      <c r="H30" s="11"/>
      <c r="I30" s="11"/>
      <c r="J30" s="118">
        <f t="shared" si="0"/>
        <v>1018884000</v>
      </c>
      <c r="K30" s="11">
        <f t="shared" si="1"/>
        <v>925584000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2.5" customHeight="1" x14ac:dyDescent="0.25">
      <c r="A31" s="9"/>
      <c r="B31" s="10">
        <v>24</v>
      </c>
      <c r="C31" s="7" t="s">
        <v>32</v>
      </c>
      <c r="D31" s="11">
        <v>106790000</v>
      </c>
      <c r="E31" s="11"/>
      <c r="F31" s="11"/>
      <c r="G31" s="11">
        <v>2079422000</v>
      </c>
      <c r="H31" s="11"/>
      <c r="I31" s="11"/>
      <c r="J31" s="118">
        <f t="shared" si="0"/>
        <v>2186212000</v>
      </c>
      <c r="K31" s="11">
        <f t="shared" si="1"/>
        <v>2079422000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2.5" customHeight="1" x14ac:dyDescent="0.25">
      <c r="A32" s="9"/>
      <c r="B32" s="10">
        <v>25</v>
      </c>
      <c r="C32" s="7" t="s">
        <v>33</v>
      </c>
      <c r="D32" s="11">
        <v>111800000</v>
      </c>
      <c r="E32" s="11"/>
      <c r="F32" s="11"/>
      <c r="G32" s="11">
        <v>1053708000</v>
      </c>
      <c r="H32" s="11"/>
      <c r="I32" s="11"/>
      <c r="J32" s="118">
        <f t="shared" si="0"/>
        <v>1165508000</v>
      </c>
      <c r="K32" s="11">
        <f t="shared" si="1"/>
        <v>1053708000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2.5" customHeight="1" x14ac:dyDescent="0.25">
      <c r="A33" s="9"/>
      <c r="B33" s="10">
        <v>26</v>
      </c>
      <c r="C33" s="7" t="s">
        <v>34</v>
      </c>
      <c r="D33" s="11">
        <v>190758000</v>
      </c>
      <c r="E33" s="11"/>
      <c r="F33" s="11"/>
      <c r="G33" s="11"/>
      <c r="H33" s="11">
        <f>62550000+203400000+817506000+110450000</f>
        <v>1193906000</v>
      </c>
      <c r="I33" s="11">
        <f>400000000+1432500000+135000000</f>
        <v>1967500000</v>
      </c>
      <c r="J33" s="118">
        <f t="shared" si="0"/>
        <v>3352164000</v>
      </c>
      <c r="K33" s="11">
        <f t="shared" si="1"/>
        <v>3161406000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2.5" customHeight="1" x14ac:dyDescent="0.25">
      <c r="A34" s="9"/>
      <c r="B34" s="10">
        <v>27</v>
      </c>
      <c r="C34" s="7" t="s">
        <v>35</v>
      </c>
      <c r="D34" s="11">
        <v>177023000</v>
      </c>
      <c r="E34" s="11"/>
      <c r="F34" s="11">
        <f>34467000</f>
        <v>34467000</v>
      </c>
      <c r="G34" s="11"/>
      <c r="H34" s="11">
        <f>22600000+110767000+25540000</f>
        <v>158907000</v>
      </c>
      <c r="I34" s="11">
        <f>1000000000+500000000</f>
        <v>1500000000</v>
      </c>
      <c r="J34" s="118">
        <f t="shared" si="0"/>
        <v>1870397000</v>
      </c>
      <c r="K34" s="11">
        <f t="shared" si="1"/>
        <v>1693374000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22.5" customHeight="1" x14ac:dyDescent="0.25">
      <c r="A35" s="9"/>
      <c r="B35" s="10">
        <v>28</v>
      </c>
      <c r="C35" s="7" t="s">
        <v>36</v>
      </c>
      <c r="D35" s="11">
        <v>100435000</v>
      </c>
      <c r="E35" s="11"/>
      <c r="F35" s="11">
        <f>27587000+74868000+788618000</f>
        <v>891073000</v>
      </c>
      <c r="G35" s="11"/>
      <c r="H35" s="11"/>
      <c r="I35" s="11">
        <f>1500000000</f>
        <v>1500000000</v>
      </c>
      <c r="J35" s="118">
        <f t="shared" si="0"/>
        <v>2491508000</v>
      </c>
      <c r="K35" s="11">
        <f t="shared" si="1"/>
        <v>2391073000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22.5" customHeight="1" x14ac:dyDescent="0.25">
      <c r="A36" s="9"/>
      <c r="B36" s="10">
        <v>29</v>
      </c>
      <c r="C36" s="117" t="s">
        <v>37</v>
      </c>
      <c r="D36" s="11">
        <v>252106000</v>
      </c>
      <c r="E36" s="11">
        <v>5053781000</v>
      </c>
      <c r="F36" s="11">
        <v>128021000</v>
      </c>
      <c r="G36" s="11">
        <f>2756550000+1764000000</f>
        <v>4520550000</v>
      </c>
      <c r="H36" s="11">
        <f>61750000+165200000+9308440000+517820000+5365585000</f>
        <v>15418795000</v>
      </c>
      <c r="I36" s="11">
        <v>2825675000</v>
      </c>
      <c r="J36" s="118">
        <f t="shared" si="0"/>
        <v>28198928000</v>
      </c>
      <c r="K36" s="11">
        <f t="shared" si="1"/>
        <v>27946822000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22.5" customHeight="1" x14ac:dyDescent="0.25">
      <c r="A37" s="9"/>
      <c r="B37" s="10">
        <v>30</v>
      </c>
      <c r="C37" s="7" t="s">
        <v>38</v>
      </c>
      <c r="D37" s="11">
        <v>417974000</v>
      </c>
      <c r="E37" s="11"/>
      <c r="F37" s="11">
        <f>29373708000+4306500000+3395454000+8867282000+768060000+2051653000</f>
        <v>48762657000</v>
      </c>
      <c r="G37" s="11">
        <v>448220000</v>
      </c>
      <c r="H37" s="11">
        <f>71481000+73845000+22712618000</f>
        <v>22857944000</v>
      </c>
      <c r="I37" s="11">
        <f>2677000000+2510000000+23284321000+11985000000+9862391000</f>
        <v>50318712000</v>
      </c>
      <c r="J37" s="118">
        <f t="shared" si="0"/>
        <v>122805507000</v>
      </c>
      <c r="K37" s="11">
        <f t="shared" si="1"/>
        <v>122387533000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22.5" customHeight="1" x14ac:dyDescent="0.25">
      <c r="A38" s="9"/>
      <c r="B38" s="10">
        <v>31</v>
      </c>
      <c r="C38" s="117" t="s">
        <v>39</v>
      </c>
      <c r="D38" s="11">
        <v>185680000</v>
      </c>
      <c r="E38" s="11"/>
      <c r="F38" s="11">
        <f>38245000</f>
        <v>38245000</v>
      </c>
      <c r="G38" s="11">
        <f>233506000+294000000</f>
        <v>527506000</v>
      </c>
      <c r="H38" s="11">
        <f>12590000+651200000+53780000</f>
        <v>717570000</v>
      </c>
      <c r="I38" s="11">
        <v>1000000000</v>
      </c>
      <c r="J38" s="118">
        <f t="shared" si="0"/>
        <v>2469001000</v>
      </c>
      <c r="K38" s="11">
        <f t="shared" si="1"/>
        <v>2283321000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22.5" customHeight="1" x14ac:dyDescent="0.25">
      <c r="A39" s="9"/>
      <c r="B39" s="10">
        <v>32</v>
      </c>
      <c r="C39" s="7" t="s">
        <v>40</v>
      </c>
      <c r="D39" s="11">
        <v>188148000</v>
      </c>
      <c r="E39" s="11"/>
      <c r="F39" s="11"/>
      <c r="G39" s="11"/>
      <c r="H39" s="11">
        <f>12590000+126000000</f>
        <v>138590000</v>
      </c>
      <c r="I39" s="11">
        <f>2094500000+512304000</f>
        <v>2606804000</v>
      </c>
      <c r="J39" s="118">
        <f t="shared" si="0"/>
        <v>2933542000</v>
      </c>
      <c r="K39" s="11">
        <f t="shared" si="1"/>
        <v>2745394000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2.5" customHeight="1" x14ac:dyDescent="0.25">
      <c r="A40" s="9"/>
      <c r="B40" s="10">
        <v>33</v>
      </c>
      <c r="C40" s="7" t="s">
        <v>41</v>
      </c>
      <c r="D40" s="11">
        <v>182269000</v>
      </c>
      <c r="E40" s="11"/>
      <c r="F40" s="11">
        <f>2169982000+404345000+306572000+142275000+234666000</f>
        <v>3257840000</v>
      </c>
      <c r="G40" s="11">
        <v>72034000</v>
      </c>
      <c r="H40" s="11">
        <f>22600000+83070000</f>
        <v>105670000</v>
      </c>
      <c r="I40" s="11"/>
      <c r="J40" s="118">
        <f t="shared" si="0"/>
        <v>3617813000</v>
      </c>
      <c r="K40" s="11">
        <f t="shared" si="1"/>
        <v>3435544000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22.5" customHeight="1" x14ac:dyDescent="0.25">
      <c r="A41" s="9"/>
      <c r="B41" s="10">
        <v>34</v>
      </c>
      <c r="C41" s="117" t="s">
        <v>42</v>
      </c>
      <c r="D41" s="11">
        <v>198696000</v>
      </c>
      <c r="E41" s="11"/>
      <c r="F41" s="11">
        <v>15052000</v>
      </c>
      <c r="G41" s="11">
        <v>1006200000</v>
      </c>
      <c r="H41" s="11">
        <f>25650000+22600000+81790000+38320000</f>
        <v>168360000</v>
      </c>
      <c r="I41" s="11"/>
      <c r="J41" s="118">
        <f t="shared" si="0"/>
        <v>1388308000</v>
      </c>
      <c r="K41" s="11">
        <f t="shared" si="1"/>
        <v>1189612000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22.5" customHeight="1" x14ac:dyDescent="0.25">
      <c r="A42" s="9"/>
      <c r="B42" s="10">
        <v>35</v>
      </c>
      <c r="C42" s="117" t="s">
        <v>43</v>
      </c>
      <c r="D42" s="11">
        <v>209936000</v>
      </c>
      <c r="E42" s="11"/>
      <c r="F42" s="11">
        <f>18096000+547010000+13409000</f>
        <v>578515000</v>
      </c>
      <c r="G42" s="11">
        <v>1287000000</v>
      </c>
      <c r="H42" s="11">
        <f>353000000+501350000+1327590000</f>
        <v>2181940000</v>
      </c>
      <c r="I42" s="11">
        <f>315350000+770810000</f>
        <v>1086160000</v>
      </c>
      <c r="J42" s="118">
        <f t="shared" si="0"/>
        <v>5343551000</v>
      </c>
      <c r="K42" s="11">
        <f t="shared" si="1"/>
        <v>5133615000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2.5" customHeight="1" x14ac:dyDescent="0.25">
      <c r="A43" s="9"/>
      <c r="B43" s="10">
        <v>36</v>
      </c>
      <c r="C43" s="7" t="s">
        <v>44</v>
      </c>
      <c r="D43" s="11">
        <v>160898000</v>
      </c>
      <c r="E43" s="11"/>
      <c r="F43" s="11"/>
      <c r="G43" s="11">
        <v>158312000</v>
      </c>
      <c r="H43" s="11">
        <f>37230000+126000000+106110000</f>
        <v>269340000</v>
      </c>
      <c r="I43" s="11">
        <v>200000000</v>
      </c>
      <c r="J43" s="118">
        <f t="shared" si="0"/>
        <v>788550000</v>
      </c>
      <c r="K43" s="11">
        <f t="shared" si="1"/>
        <v>627652000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22.5" customHeight="1" x14ac:dyDescent="0.25">
      <c r="A44" s="9"/>
      <c r="B44" s="10">
        <v>37</v>
      </c>
      <c r="C44" s="7" t="s">
        <v>45</v>
      </c>
      <c r="D44" s="11">
        <v>199646000</v>
      </c>
      <c r="E44" s="11"/>
      <c r="F44" s="11"/>
      <c r="G44" s="11"/>
      <c r="H44" s="11">
        <f>13230000+126000000</f>
        <v>139230000</v>
      </c>
      <c r="I44" s="11">
        <v>7425000000</v>
      </c>
      <c r="J44" s="118">
        <f t="shared" si="0"/>
        <v>7763876000</v>
      </c>
      <c r="K44" s="11">
        <f t="shared" si="1"/>
        <v>7564230000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22.5" customHeight="1" x14ac:dyDescent="0.25">
      <c r="A45" s="9"/>
      <c r="B45" s="10">
        <v>38</v>
      </c>
      <c r="C45" s="117" t="s">
        <v>46</v>
      </c>
      <c r="D45" s="11">
        <v>230939000</v>
      </c>
      <c r="E45" s="11"/>
      <c r="F45" s="11">
        <v>51089000</v>
      </c>
      <c r="G45" s="11">
        <f>379318000+495675000</f>
        <v>874993000</v>
      </c>
      <c r="H45" s="11">
        <f>24980000+113000000+318108000+290910000+78780000</f>
        <v>825778000</v>
      </c>
      <c r="I45" s="11"/>
      <c r="J45" s="118">
        <f t="shared" si="0"/>
        <v>1982799000</v>
      </c>
      <c r="K45" s="11">
        <f t="shared" si="1"/>
        <v>1751860000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22.5" customHeight="1" x14ac:dyDescent="0.25">
      <c r="A46" s="9"/>
      <c r="B46" s="10">
        <v>39</v>
      </c>
      <c r="C46" s="7" t="s">
        <v>47</v>
      </c>
      <c r="D46" s="11">
        <v>138655000</v>
      </c>
      <c r="E46" s="11"/>
      <c r="F46" s="11">
        <f>3366242000+544383000+199280000</f>
        <v>4109905000</v>
      </c>
      <c r="G46" s="11">
        <v>90200000</v>
      </c>
      <c r="H46" s="11">
        <f>67800000+209570000+260685000</f>
        <v>538055000</v>
      </c>
      <c r="I46" s="11"/>
      <c r="J46" s="118">
        <f t="shared" si="0"/>
        <v>4876815000</v>
      </c>
      <c r="K46" s="11">
        <f t="shared" si="1"/>
        <v>4738160000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2.5" customHeight="1" x14ac:dyDescent="0.25">
      <c r="A47" s="9"/>
      <c r="B47" s="10">
        <v>40</v>
      </c>
      <c r="C47" s="7" t="s">
        <v>48</v>
      </c>
      <c r="D47" s="11">
        <v>158395000</v>
      </c>
      <c r="E47" s="11"/>
      <c r="F47" s="11">
        <f>170000000+1226045000</f>
        <v>1396045000</v>
      </c>
      <c r="G47" s="11"/>
      <c r="H47" s="11">
        <f>29000000+115330000</f>
        <v>144330000</v>
      </c>
      <c r="I47" s="11">
        <f>180000000</f>
        <v>180000000</v>
      </c>
      <c r="J47" s="118">
        <f t="shared" si="0"/>
        <v>1878770000</v>
      </c>
      <c r="K47" s="11">
        <f t="shared" si="1"/>
        <v>1720375000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22.5" customHeight="1" x14ac:dyDescent="0.25">
      <c r="A48" s="9"/>
      <c r="B48" s="10">
        <v>41</v>
      </c>
      <c r="C48" s="7" t="s">
        <v>49</v>
      </c>
      <c r="D48" s="11">
        <v>199065000</v>
      </c>
      <c r="E48" s="11"/>
      <c r="F48" s="11">
        <f>1270503000+217939000+174646000</f>
        <v>1663088000</v>
      </c>
      <c r="G48" s="11">
        <v>45200000</v>
      </c>
      <c r="H48" s="11">
        <f>150400000+420945000+22720000+378810000</f>
        <v>972875000</v>
      </c>
      <c r="I48" s="11">
        <f>350000000+140000000</f>
        <v>490000000</v>
      </c>
      <c r="J48" s="118">
        <f t="shared" si="0"/>
        <v>3370228000</v>
      </c>
      <c r="K48" s="11">
        <f t="shared" si="1"/>
        <v>3171163000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22.5" customHeight="1" x14ac:dyDescent="0.25">
      <c r="A49" s="9"/>
      <c r="B49" s="10">
        <v>42</v>
      </c>
      <c r="C49" s="7" t="s">
        <v>50</v>
      </c>
      <c r="D49" s="11">
        <v>222804000</v>
      </c>
      <c r="E49" s="11"/>
      <c r="F49" s="11"/>
      <c r="G49" s="11"/>
      <c r="H49" s="11">
        <v>12490000</v>
      </c>
      <c r="I49" s="11">
        <v>2464000000</v>
      </c>
      <c r="J49" s="118">
        <f t="shared" si="0"/>
        <v>2699294000</v>
      </c>
      <c r="K49" s="11">
        <f t="shared" si="1"/>
        <v>2476490000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22.5" customHeight="1" x14ac:dyDescent="0.25">
      <c r="A50" s="9"/>
      <c r="B50" s="10">
        <v>43</v>
      </c>
      <c r="C50" s="117" t="s">
        <v>51</v>
      </c>
      <c r="D50" s="11">
        <v>223929000</v>
      </c>
      <c r="E50" s="11"/>
      <c r="F50" s="11">
        <f>115181000+2671200000</f>
        <v>2786381000</v>
      </c>
      <c r="G50" s="11">
        <f>1163440000+1499400000</f>
        <v>2662840000</v>
      </c>
      <c r="H50" s="11">
        <f>25180000+51600000+184450000+425188000+338300000</f>
        <v>1024718000</v>
      </c>
      <c r="I50" s="11"/>
      <c r="J50" s="118">
        <f t="shared" si="0"/>
        <v>6697868000</v>
      </c>
      <c r="K50" s="11">
        <f t="shared" si="1"/>
        <v>6473939000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22.5" customHeight="1" x14ac:dyDescent="0.25">
      <c r="A51" s="9"/>
      <c r="B51" s="10">
        <v>44</v>
      </c>
      <c r="C51" s="7" t="s">
        <v>52</v>
      </c>
      <c r="D51" s="11">
        <v>188785000</v>
      </c>
      <c r="E51" s="11"/>
      <c r="F51" s="11">
        <f>1506402000+373289000+7226327000+1574100000+126358000+1136455000</f>
        <v>11942931000</v>
      </c>
      <c r="G51" s="11">
        <v>55850000</v>
      </c>
      <c r="H51" s="11">
        <f>22600000+104230000</f>
        <v>126830000</v>
      </c>
      <c r="I51" s="11">
        <f>200000000+1100000000+500000000</f>
        <v>1800000000</v>
      </c>
      <c r="J51" s="118">
        <f t="shared" si="0"/>
        <v>14114396000</v>
      </c>
      <c r="K51" s="11">
        <f t="shared" si="1"/>
        <v>13925611000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22.5" customHeight="1" x14ac:dyDescent="0.25">
      <c r="A52" s="9"/>
      <c r="B52" s="10">
        <v>45</v>
      </c>
      <c r="C52" s="7" t="s">
        <v>53</v>
      </c>
      <c r="D52" s="11">
        <v>196487000</v>
      </c>
      <c r="E52" s="11"/>
      <c r="F52" s="11">
        <f>5498152000+2070559000+342107000+2873175000+458082000</f>
        <v>11242075000</v>
      </c>
      <c r="G52" s="11">
        <v>230500000</v>
      </c>
      <c r="H52" s="11">
        <f>142600000+218050000+388125000</f>
        <v>748775000</v>
      </c>
      <c r="I52" s="11"/>
      <c r="J52" s="118">
        <f t="shared" si="0"/>
        <v>12417837000</v>
      </c>
      <c r="K52" s="11">
        <f t="shared" si="1"/>
        <v>12221350000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22.5" customHeight="1" x14ac:dyDescent="0.25">
      <c r="A53" s="9"/>
      <c r="B53" s="10">
        <v>46</v>
      </c>
      <c r="C53" s="7" t="s">
        <v>54</v>
      </c>
      <c r="D53" s="11">
        <v>168351000</v>
      </c>
      <c r="E53" s="11"/>
      <c r="F53" s="11">
        <f>3871993000+716897000+426734000+310156000+334400000+722050000+1406000000</f>
        <v>7788230000</v>
      </c>
      <c r="G53" s="11">
        <v>70250000</v>
      </c>
      <c r="H53" s="11">
        <f>22600000+90600000</f>
        <v>113200000</v>
      </c>
      <c r="I53" s="11"/>
      <c r="J53" s="118">
        <f t="shared" si="0"/>
        <v>8140031000</v>
      </c>
      <c r="K53" s="11">
        <f t="shared" si="1"/>
        <v>7971680000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22.5" customHeight="1" x14ac:dyDescent="0.25">
      <c r="A54" s="9"/>
      <c r="B54" s="10">
        <v>47</v>
      </c>
      <c r="C54" s="7" t="s">
        <v>55</v>
      </c>
      <c r="D54" s="11">
        <v>64835000</v>
      </c>
      <c r="E54" s="11"/>
      <c r="F54" s="11"/>
      <c r="G54" s="11"/>
      <c r="H54" s="11">
        <f>22600000+92350000</f>
        <v>114950000</v>
      </c>
      <c r="I54" s="11">
        <v>740510000</v>
      </c>
      <c r="J54" s="118">
        <f t="shared" si="0"/>
        <v>920295000</v>
      </c>
      <c r="K54" s="11">
        <f t="shared" si="1"/>
        <v>855460000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2.5" customHeight="1" x14ac:dyDescent="0.25">
      <c r="A55" s="9"/>
      <c r="B55" s="10">
        <v>48</v>
      </c>
      <c r="C55" s="117" t="s">
        <v>56</v>
      </c>
      <c r="D55" s="11">
        <v>239293000</v>
      </c>
      <c r="E55" s="11"/>
      <c r="F55" s="11">
        <f>1364160000+464124000+1193999000</f>
        <v>3022283000</v>
      </c>
      <c r="G55" s="11">
        <f>813578000+911400000</f>
        <v>1724978000</v>
      </c>
      <c r="H55" s="11">
        <f>39030000+45200000+157420000+504940000+158780000</f>
        <v>905370000</v>
      </c>
      <c r="I55" s="11">
        <f>200000000+186000000+1000000000</f>
        <v>1386000000</v>
      </c>
      <c r="J55" s="118">
        <f t="shared" si="0"/>
        <v>7277924000</v>
      </c>
      <c r="K55" s="11">
        <f t="shared" si="1"/>
        <v>7038631000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22.5" customHeight="1" x14ac:dyDescent="0.25">
      <c r="A56" s="9"/>
      <c r="B56" s="10">
        <v>49</v>
      </c>
      <c r="C56" s="7" t="s">
        <v>57</v>
      </c>
      <c r="D56" s="11">
        <v>202552000</v>
      </c>
      <c r="E56" s="11"/>
      <c r="F56" s="11">
        <f>6963421000+460976000+446257000+3710000000+622270000</f>
        <v>12202924000</v>
      </c>
      <c r="G56" s="11">
        <v>159200000</v>
      </c>
      <c r="H56" s="11">
        <f>22600000+92290000+88155000</f>
        <v>203045000</v>
      </c>
      <c r="I56" s="11">
        <f>1000000000+5499716000</f>
        <v>6499716000</v>
      </c>
      <c r="J56" s="118">
        <f t="shared" si="0"/>
        <v>19267437000</v>
      </c>
      <c r="K56" s="11">
        <f t="shared" si="1"/>
        <v>19064885000</v>
      </c>
      <c r="L56" s="12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22.5" customHeight="1" x14ac:dyDescent="0.25">
      <c r="A57" s="9"/>
      <c r="B57" s="10">
        <v>50</v>
      </c>
      <c r="C57" s="7" t="s">
        <v>58</v>
      </c>
      <c r="D57" s="11">
        <v>160215000</v>
      </c>
      <c r="E57" s="11"/>
      <c r="F57" s="11">
        <f>162861000+546537000+1212378000+689000000</f>
        <v>2610776000</v>
      </c>
      <c r="G57" s="11"/>
      <c r="H57" s="11">
        <v>162805000</v>
      </c>
      <c r="I57" s="11"/>
      <c r="J57" s="118">
        <f t="shared" si="0"/>
        <v>2933796000</v>
      </c>
      <c r="K57" s="11">
        <f t="shared" si="1"/>
        <v>2773581000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2.5" customHeight="1" x14ac:dyDescent="0.25">
      <c r="A58" s="9"/>
      <c r="B58" s="10">
        <v>51</v>
      </c>
      <c r="C58" s="7" t="s">
        <v>59</v>
      </c>
      <c r="D58" s="11">
        <v>180015000</v>
      </c>
      <c r="E58" s="11"/>
      <c r="F58" s="11">
        <f>1389017000+266861000+1590000000+855674000+3731053000</f>
        <v>7832605000</v>
      </c>
      <c r="G58" s="11">
        <v>64200000</v>
      </c>
      <c r="H58" s="11">
        <f>104230000+202500000</f>
        <v>306730000</v>
      </c>
      <c r="I58" s="11"/>
      <c r="J58" s="118">
        <f t="shared" si="0"/>
        <v>8383550000</v>
      </c>
      <c r="K58" s="11">
        <f t="shared" si="1"/>
        <v>8203535000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22.5" customHeight="1" x14ac:dyDescent="0.25">
      <c r="A59" s="9"/>
      <c r="B59" s="10">
        <v>52</v>
      </c>
      <c r="C59" s="117" t="s">
        <v>60</v>
      </c>
      <c r="D59" s="11">
        <v>199524000</v>
      </c>
      <c r="E59" s="11"/>
      <c r="F59" s="11">
        <f>2291029000</f>
        <v>2291029000</v>
      </c>
      <c r="G59" s="11">
        <f>226926000+294000000</f>
        <v>520926000</v>
      </c>
      <c r="H59" s="11">
        <f>75280000+216200000+595270000+205828000+141215000</f>
        <v>1233793000</v>
      </c>
      <c r="I59" s="11">
        <f>160000000+496000000+246611000</f>
        <v>902611000</v>
      </c>
      <c r="J59" s="118">
        <f t="shared" si="0"/>
        <v>5147883000</v>
      </c>
      <c r="K59" s="11">
        <f t="shared" si="1"/>
        <v>4948359000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22.5" customHeight="1" x14ac:dyDescent="0.25">
      <c r="A60" s="9"/>
      <c r="B60" s="10">
        <v>53</v>
      </c>
      <c r="C60" s="7" t="s">
        <v>61</v>
      </c>
      <c r="D60" s="11">
        <v>193178000</v>
      </c>
      <c r="E60" s="11"/>
      <c r="F60" s="11"/>
      <c r="G60" s="11"/>
      <c r="H60" s="11">
        <v>52800000</v>
      </c>
      <c r="I60" s="11">
        <f>1000000000+3107543000</f>
        <v>4107543000</v>
      </c>
      <c r="J60" s="118">
        <f t="shared" si="0"/>
        <v>4353521000</v>
      </c>
      <c r="K60" s="11">
        <f t="shared" si="1"/>
        <v>4160343000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22.5" customHeight="1" x14ac:dyDescent="0.25">
      <c r="A61" s="9"/>
      <c r="B61" s="10">
        <v>54</v>
      </c>
      <c r="C61" s="7" t="s">
        <v>62</v>
      </c>
      <c r="D61" s="11">
        <v>158461000</v>
      </c>
      <c r="E61" s="11"/>
      <c r="F61" s="11">
        <f>1554184000+495389000+490826000+167618000</f>
        <v>2708017000</v>
      </c>
      <c r="G61" s="11">
        <v>38330000</v>
      </c>
      <c r="H61" s="11">
        <f>182850000+513090000</f>
        <v>695940000</v>
      </c>
      <c r="I61" s="11"/>
      <c r="J61" s="118">
        <f t="shared" si="0"/>
        <v>3600748000</v>
      </c>
      <c r="K61" s="11">
        <f t="shared" si="1"/>
        <v>3442287000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22.5" customHeight="1" x14ac:dyDescent="0.25">
      <c r="A62" s="9"/>
      <c r="B62" s="10">
        <v>55</v>
      </c>
      <c r="C62" s="7" t="s">
        <v>63</v>
      </c>
      <c r="D62" s="11">
        <v>162915000</v>
      </c>
      <c r="E62" s="11"/>
      <c r="F62" s="11">
        <f>1058445000+699856000+214226000+99375000+180512000</f>
        <v>2252414000</v>
      </c>
      <c r="G62" s="11">
        <v>35600000</v>
      </c>
      <c r="H62" s="11">
        <f>153060000</f>
        <v>153060000</v>
      </c>
      <c r="I62" s="11"/>
      <c r="J62" s="118">
        <f t="shared" si="0"/>
        <v>2603989000</v>
      </c>
      <c r="K62" s="11">
        <f t="shared" si="1"/>
        <v>2441074000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2.5" customHeight="1" x14ac:dyDescent="0.25">
      <c r="A63" s="9"/>
      <c r="B63" s="10">
        <v>56</v>
      </c>
      <c r="C63" s="7" t="s">
        <v>64</v>
      </c>
      <c r="D63" s="11">
        <v>196944000</v>
      </c>
      <c r="E63" s="11"/>
      <c r="F63" s="11">
        <v>54032000</v>
      </c>
      <c r="G63" s="11">
        <f>850772000+1029000000</f>
        <v>1879772000</v>
      </c>
      <c r="H63" s="11">
        <f>25900000+240800000+398450000+249227000+225440000</f>
        <v>1139817000</v>
      </c>
      <c r="I63" s="11"/>
      <c r="J63" s="118">
        <f t="shared" si="0"/>
        <v>3270565000</v>
      </c>
      <c r="K63" s="11">
        <f t="shared" si="1"/>
        <v>3073621000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2.5" customHeight="1" x14ac:dyDescent="0.25">
      <c r="A64" s="9"/>
      <c r="B64" s="10">
        <v>57</v>
      </c>
      <c r="C64" s="7" t="s">
        <v>65</v>
      </c>
      <c r="D64" s="11">
        <v>154854000</v>
      </c>
      <c r="E64" s="11"/>
      <c r="F64" s="11">
        <f>269145000+266976000</f>
        <v>536121000</v>
      </c>
      <c r="G64" s="11">
        <v>56200000</v>
      </c>
      <c r="H64" s="11">
        <f>70932000+168750000</f>
        <v>239682000</v>
      </c>
      <c r="I64" s="11"/>
      <c r="J64" s="118">
        <f t="shared" si="0"/>
        <v>986857000</v>
      </c>
      <c r="K64" s="11">
        <f t="shared" si="1"/>
        <v>832003000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22.5" customHeight="1" x14ac:dyDescent="0.25">
      <c r="A65" s="9"/>
      <c r="B65" s="10">
        <v>58</v>
      </c>
      <c r="C65" s="7" t="s">
        <v>66</v>
      </c>
      <c r="D65" s="11">
        <v>166374000</v>
      </c>
      <c r="E65" s="11"/>
      <c r="F65" s="11">
        <f>3704974000+532878000+597698000+93447000+528389000+1180617000</f>
        <v>6638003000</v>
      </c>
      <c r="G65" s="11">
        <v>103250000</v>
      </c>
      <c r="H65" s="11">
        <f>11570000+138480000+84375000</f>
        <v>234425000</v>
      </c>
      <c r="I65" s="11">
        <f>412500000</f>
        <v>412500000</v>
      </c>
      <c r="J65" s="118">
        <f t="shared" si="0"/>
        <v>7554552000</v>
      </c>
      <c r="K65" s="11">
        <f t="shared" si="1"/>
        <v>7388178000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2.5" customHeight="1" x14ac:dyDescent="0.25">
      <c r="A66" s="9"/>
      <c r="B66" s="10">
        <v>59</v>
      </c>
      <c r="C66" s="7" t="s">
        <v>67</v>
      </c>
      <c r="D66" s="11">
        <v>198692000</v>
      </c>
      <c r="E66" s="11"/>
      <c r="F66" s="11">
        <f>4339965000+477033000+1147681000+578058000+67199000</f>
        <v>6609936000</v>
      </c>
      <c r="G66" s="11">
        <v>132250000</v>
      </c>
      <c r="H66" s="11">
        <f>165200000+148515000+475980000</f>
        <v>789695000</v>
      </c>
      <c r="I66" s="11">
        <f>200000000+100000000+2512000000</f>
        <v>2812000000</v>
      </c>
      <c r="J66" s="118">
        <f t="shared" si="0"/>
        <v>10542573000</v>
      </c>
      <c r="K66" s="11">
        <f t="shared" si="1"/>
        <v>10343881000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22.5" customHeight="1" x14ac:dyDescent="0.25">
      <c r="A67" s="9"/>
      <c r="B67" s="10">
        <v>60</v>
      </c>
      <c r="C67" s="7" t="s">
        <v>68</v>
      </c>
      <c r="D67" s="11">
        <v>151416000</v>
      </c>
      <c r="E67" s="11"/>
      <c r="F67" s="11">
        <f>150000000+636000000</f>
        <v>786000000</v>
      </c>
      <c r="G67" s="11"/>
      <c r="H67" s="11">
        <f>69805000+87855000</f>
        <v>157660000</v>
      </c>
      <c r="I67" s="11"/>
      <c r="J67" s="118">
        <f t="shared" si="0"/>
        <v>1095076000</v>
      </c>
      <c r="K67" s="11">
        <f t="shared" si="1"/>
        <v>943660000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2.5" customHeight="1" x14ac:dyDescent="0.25">
      <c r="A68" s="9"/>
      <c r="B68" s="10">
        <v>61</v>
      </c>
      <c r="C68" s="7" t="s">
        <v>69</v>
      </c>
      <c r="D68" s="11">
        <v>188240000</v>
      </c>
      <c r="E68" s="11"/>
      <c r="F68" s="11"/>
      <c r="G68" s="11"/>
      <c r="H68" s="11">
        <f>26800000+351960000+84375000</f>
        <v>463135000</v>
      </c>
      <c r="I68" s="11"/>
      <c r="J68" s="118">
        <f t="shared" si="0"/>
        <v>651375000</v>
      </c>
      <c r="K68" s="11">
        <f t="shared" si="1"/>
        <v>463135000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2.5" customHeight="1" x14ac:dyDescent="0.25">
      <c r="A69" s="9"/>
      <c r="B69" s="10">
        <v>62</v>
      </c>
      <c r="C69" s="117" t="s">
        <v>70</v>
      </c>
      <c r="D69" s="11">
        <v>198333000</v>
      </c>
      <c r="E69" s="11"/>
      <c r="F69" s="11">
        <f>50412000</f>
        <v>50412000</v>
      </c>
      <c r="G69" s="11">
        <f>129400000+191661000</f>
        <v>321061000</v>
      </c>
      <c r="H69" s="11">
        <f>12990000+135600000+598410000+117930000+209010000</f>
        <v>1073940000</v>
      </c>
      <c r="I69" s="11">
        <f>100000000+318000000+200000000</f>
        <v>618000000</v>
      </c>
      <c r="J69" s="118">
        <f t="shared" si="0"/>
        <v>2261746000</v>
      </c>
      <c r="K69" s="11">
        <f t="shared" si="1"/>
        <v>2063413000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22.5" customHeight="1" x14ac:dyDescent="0.25">
      <c r="A70" s="9"/>
      <c r="B70" s="10">
        <v>63</v>
      </c>
      <c r="C70" s="7" t="s">
        <v>71</v>
      </c>
      <c r="D70" s="11">
        <v>126800000</v>
      </c>
      <c r="E70" s="11"/>
      <c r="F70" s="11">
        <f>1183230000+266089000+262527000+201142000</f>
        <v>1912988000</v>
      </c>
      <c r="G70" s="11">
        <v>42200000</v>
      </c>
      <c r="H70" s="11">
        <v>84375000</v>
      </c>
      <c r="I70" s="11"/>
      <c r="J70" s="118">
        <f t="shared" si="0"/>
        <v>2166363000</v>
      </c>
      <c r="K70" s="11">
        <f t="shared" si="1"/>
        <v>2039563000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22.5" customHeight="1" x14ac:dyDescent="0.25">
      <c r="A71" s="9"/>
      <c r="B71" s="10">
        <v>64</v>
      </c>
      <c r="C71" s="117" t="s">
        <v>72</v>
      </c>
      <c r="D71" s="11">
        <v>234804000</v>
      </c>
      <c r="E71" s="11"/>
      <c r="F71" s="11">
        <v>55499000</v>
      </c>
      <c r="G71" s="11">
        <f>54016000+66090000</f>
        <v>120106000</v>
      </c>
      <c r="H71" s="11">
        <f>13070000+22600000+95940000+100068000+17480000</f>
        <v>249158000</v>
      </c>
      <c r="I71" s="11"/>
      <c r="J71" s="118">
        <f t="shared" si="0"/>
        <v>659567000</v>
      </c>
      <c r="K71" s="11">
        <f t="shared" si="1"/>
        <v>424763000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22.5" customHeight="1" x14ac:dyDescent="0.25">
      <c r="A72" s="9"/>
      <c r="B72" s="10">
        <v>65</v>
      </c>
      <c r="C72" s="7" t="s">
        <v>73</v>
      </c>
      <c r="D72" s="11">
        <v>336523000</v>
      </c>
      <c r="E72" s="11"/>
      <c r="F72" s="11">
        <f>434770000+140567000+230020000+116559000</f>
        <v>921916000</v>
      </c>
      <c r="G72" s="11">
        <v>18200000</v>
      </c>
      <c r="H72" s="11">
        <f>22600000+117640000</f>
        <v>140240000</v>
      </c>
      <c r="I72" s="11">
        <f>500000000+2114452000</f>
        <v>2614452000</v>
      </c>
      <c r="J72" s="118">
        <f t="shared" si="0"/>
        <v>4031331000</v>
      </c>
      <c r="K72" s="11">
        <f t="shared" si="1"/>
        <v>3694808000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22.5" customHeight="1" x14ac:dyDescent="0.25">
      <c r="A73" s="9"/>
      <c r="B73" s="10">
        <v>66</v>
      </c>
      <c r="C73" s="117" t="s">
        <v>74</v>
      </c>
      <c r="D73" s="11">
        <v>188760000</v>
      </c>
      <c r="E73" s="11"/>
      <c r="F73" s="11">
        <v>41748000</v>
      </c>
      <c r="G73" s="11">
        <f>175052000+330450000</f>
        <v>505502000</v>
      </c>
      <c r="H73" s="11">
        <f>12990000+91400000+360535000+221540000+58160000</f>
        <v>744625000</v>
      </c>
      <c r="I73" s="11"/>
      <c r="J73" s="118">
        <f t="shared" si="0"/>
        <v>1480635000</v>
      </c>
      <c r="K73" s="11">
        <f t="shared" si="1"/>
        <v>1291875000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22.5" customHeight="1" x14ac:dyDescent="0.25">
      <c r="A74" s="9"/>
      <c r="B74" s="10">
        <v>67</v>
      </c>
      <c r="C74" s="7" t="s">
        <v>75</v>
      </c>
      <c r="D74" s="11">
        <v>166120000</v>
      </c>
      <c r="E74" s="11"/>
      <c r="F74" s="11">
        <f>2843559000+371019000+886145000+203824000+125327000</f>
        <v>4429874000</v>
      </c>
      <c r="G74" s="11">
        <v>45250000</v>
      </c>
      <c r="H74" s="11">
        <f>45200000+194680000</f>
        <v>239880000</v>
      </c>
      <c r="I74" s="11">
        <f>400000000</f>
        <v>400000000</v>
      </c>
      <c r="J74" s="118">
        <f t="shared" si="0"/>
        <v>5281124000</v>
      </c>
      <c r="K74" s="11">
        <f t="shared" si="1"/>
        <v>5115004000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2.5" customHeight="1" x14ac:dyDescent="0.25">
      <c r="A75" s="9"/>
      <c r="B75" s="10">
        <v>68</v>
      </c>
      <c r="C75" s="7" t="s">
        <v>76</v>
      </c>
      <c r="D75" s="11">
        <v>224232000</v>
      </c>
      <c r="E75" s="11"/>
      <c r="F75" s="11">
        <f>2843559000+240716000+806990000+440984000+326366000</f>
        <v>4658615000</v>
      </c>
      <c r="G75" s="11">
        <v>45250000</v>
      </c>
      <c r="H75" s="11">
        <f>12400000+93980000</f>
        <v>106380000</v>
      </c>
      <c r="I75" s="11"/>
      <c r="J75" s="118">
        <f t="shared" si="0"/>
        <v>5034477000</v>
      </c>
      <c r="K75" s="11">
        <f t="shared" si="1"/>
        <v>4810245000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22.5" customHeight="1" x14ac:dyDescent="0.25">
      <c r="A76" s="9"/>
      <c r="B76" s="10">
        <v>69</v>
      </c>
      <c r="C76" s="7" t="s">
        <v>77</v>
      </c>
      <c r="D76" s="11">
        <v>179421000</v>
      </c>
      <c r="E76" s="11"/>
      <c r="F76" s="11"/>
      <c r="G76" s="11"/>
      <c r="H76" s="11">
        <v>197240000</v>
      </c>
      <c r="I76" s="11"/>
      <c r="J76" s="118">
        <f t="shared" si="0"/>
        <v>376661000</v>
      </c>
      <c r="K76" s="11">
        <f t="shared" si="1"/>
        <v>197240000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2.5" customHeight="1" x14ac:dyDescent="0.25">
      <c r="A77" s="9"/>
      <c r="B77" s="10">
        <v>70</v>
      </c>
      <c r="C77" s="7" t="s">
        <v>78</v>
      </c>
      <c r="D77" s="11">
        <v>136004000</v>
      </c>
      <c r="E77" s="11"/>
      <c r="F77" s="11"/>
      <c r="G77" s="11"/>
      <c r="H77" s="11">
        <f>12970000+67800000+274228000+47500000+259160000</f>
        <v>661658000</v>
      </c>
      <c r="I77" s="11">
        <v>1850890000</v>
      </c>
      <c r="J77" s="118">
        <f t="shared" si="0"/>
        <v>2648552000</v>
      </c>
      <c r="K77" s="11">
        <f t="shared" si="1"/>
        <v>2512548000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22.5" customHeight="1" x14ac:dyDescent="0.25">
      <c r="A78" s="5"/>
      <c r="B78" s="119"/>
      <c r="C78" s="120"/>
      <c r="D78" s="121">
        <f t="shared" ref="D78:K78" si="2">SUM(D8:D77)</f>
        <v>93503415000</v>
      </c>
      <c r="E78" s="121">
        <f t="shared" si="2"/>
        <v>17191905000</v>
      </c>
      <c r="F78" s="121">
        <f t="shared" si="2"/>
        <v>171887480000</v>
      </c>
      <c r="G78" s="121">
        <f t="shared" si="2"/>
        <v>37628529000</v>
      </c>
      <c r="H78" s="121">
        <f t="shared" si="2"/>
        <v>80363388000</v>
      </c>
      <c r="I78" s="121">
        <f t="shared" si="2"/>
        <v>116923771000</v>
      </c>
      <c r="J78" s="116">
        <f t="shared" si="2"/>
        <v>517498488000</v>
      </c>
      <c r="K78" s="121">
        <f t="shared" si="2"/>
        <v>423995073000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25">
      <c r="A79" s="1"/>
      <c r="B79" s="2"/>
      <c r="C79" s="3"/>
      <c r="D79" s="4"/>
      <c r="E79" s="4"/>
      <c r="F79" s="4"/>
      <c r="G79" s="4"/>
      <c r="H79" s="4"/>
      <c r="I79" s="4"/>
      <c r="J79" s="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5">
      <c r="A80" s="1"/>
      <c r="B80" s="2"/>
      <c r="C80" s="3"/>
      <c r="D80" s="4">
        <f>D78-D8</f>
        <v>12072519000</v>
      </c>
      <c r="E80" s="4"/>
      <c r="F80" s="4"/>
      <c r="G80" s="4"/>
      <c r="H80" s="4"/>
      <c r="I80" s="4"/>
      <c r="J80" s="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5">
      <c r="A81" s="1"/>
      <c r="B81" s="2"/>
      <c r="C81" s="3"/>
      <c r="D81" s="4"/>
      <c r="E81" s="4"/>
      <c r="F81" s="4"/>
      <c r="G81" s="4"/>
      <c r="H81" s="4"/>
      <c r="I81" s="4"/>
      <c r="J81" s="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5">
      <c r="A82" s="1"/>
      <c r="B82" s="2"/>
      <c r="C82" s="3"/>
      <c r="D82" s="4">
        <v>12100000000</v>
      </c>
      <c r="E82" s="4"/>
      <c r="F82" s="4"/>
      <c r="G82" s="4"/>
      <c r="H82" s="4"/>
      <c r="I82" s="122">
        <f>+I78/J78</f>
        <v>0.22594031424493746</v>
      </c>
      <c r="J82" s="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5">
      <c r="A83" s="1"/>
      <c r="B83" s="2"/>
      <c r="C83" s="3"/>
      <c r="D83" s="4">
        <f>+D82/2</f>
        <v>6050000000</v>
      </c>
      <c r="E83" s="4"/>
      <c r="F83" s="4"/>
      <c r="G83" s="4"/>
      <c r="H83" s="4"/>
      <c r="I83" s="4"/>
      <c r="J83" s="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5">
      <c r="A84" s="1"/>
      <c r="B84" s="2"/>
      <c r="C84" s="3"/>
      <c r="D84" s="4">
        <v>760000000</v>
      </c>
      <c r="E84" s="4"/>
      <c r="F84" s="4"/>
      <c r="G84" s="4"/>
      <c r="H84" s="4"/>
      <c r="I84" s="4"/>
      <c r="J84" s="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25">
      <c r="A85" s="1"/>
      <c r="B85" s="2"/>
      <c r="C85" s="3"/>
      <c r="D85" s="4"/>
      <c r="E85" s="4"/>
      <c r="F85" s="4"/>
      <c r="G85" s="4"/>
      <c r="H85" s="4"/>
      <c r="I85" s="123"/>
      <c r="J85" s="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5">
      <c r="A86" s="1"/>
      <c r="B86" s="2"/>
      <c r="C86" s="3"/>
      <c r="D86" s="4">
        <v>800000000</v>
      </c>
      <c r="E86" s="4"/>
      <c r="F86" s="4"/>
      <c r="G86" s="4"/>
      <c r="H86" s="4" t="s">
        <v>161</v>
      </c>
      <c r="I86" s="122">
        <f>+D78/J78</f>
        <v>0.18068345544615388</v>
      </c>
      <c r="J86" s="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5">
      <c r="A87" s="1"/>
      <c r="B87" s="2"/>
      <c r="C87" s="3"/>
      <c r="D87" s="4"/>
      <c r="E87" s="4"/>
      <c r="F87" s="4"/>
      <c r="G87" s="4"/>
      <c r="H87" s="4" t="s">
        <v>162</v>
      </c>
      <c r="I87" s="122">
        <f>+E78/J78</f>
        <v>3.3221169527359082E-2</v>
      </c>
      <c r="J87" s="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5">
      <c r="A88" s="1"/>
      <c r="B88" s="2"/>
      <c r="C88" s="3"/>
      <c r="D88" s="4"/>
      <c r="E88" s="4"/>
      <c r="F88" s="4"/>
      <c r="G88" s="4"/>
      <c r="H88" s="4" t="s">
        <v>6</v>
      </c>
      <c r="I88" s="122">
        <f>+F78/J78</f>
        <v>0.33215069026443222</v>
      </c>
      <c r="J88" s="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5">
      <c r="A89" s="1"/>
      <c r="B89" s="2"/>
      <c r="C89" s="3"/>
      <c r="D89" s="4">
        <f>D78-D8</f>
        <v>12072519000</v>
      </c>
      <c r="E89" s="4" t="s">
        <v>163</v>
      </c>
      <c r="F89" s="122">
        <f>D89/D78</f>
        <v>0.12911313453096873</v>
      </c>
      <c r="G89" s="4"/>
      <c r="H89" s="4" t="s">
        <v>164</v>
      </c>
      <c r="I89" s="122">
        <f>+G78/J78</f>
        <v>7.271234577983926E-2</v>
      </c>
      <c r="J89" s="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5">
      <c r="A90" s="1"/>
      <c r="B90" s="2"/>
      <c r="C90" s="3"/>
      <c r="D90" s="4">
        <f>D78-D89</f>
        <v>81430896000</v>
      </c>
      <c r="E90" s="4" t="s">
        <v>165</v>
      </c>
      <c r="F90" s="122">
        <f>D90/D78</f>
        <v>0.87088686546903127</v>
      </c>
      <c r="G90" s="4"/>
      <c r="H90" s="4" t="s">
        <v>166</v>
      </c>
      <c r="I90" s="122">
        <f>+H78/J78</f>
        <v>0.15529202473727807</v>
      </c>
      <c r="J90" s="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5">
      <c r="A91" s="1"/>
      <c r="B91" s="2"/>
      <c r="C91" s="3"/>
      <c r="D91" s="4"/>
      <c r="E91" s="4"/>
      <c r="F91" s="4"/>
      <c r="G91" s="4"/>
      <c r="H91" s="4" t="s">
        <v>167</v>
      </c>
      <c r="I91" s="122">
        <f>+I78/J78</f>
        <v>0.22594031424493746</v>
      </c>
      <c r="J91" s="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5">
      <c r="A92" s="1"/>
      <c r="B92" s="2"/>
      <c r="C92" s="3"/>
      <c r="D92" s="4"/>
      <c r="E92" s="4"/>
      <c r="F92" s="4"/>
      <c r="G92" s="4"/>
      <c r="H92" s="4"/>
      <c r="I92" s="4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5">
      <c r="A93" s="1"/>
      <c r="B93" s="2"/>
      <c r="C93" s="3"/>
      <c r="D93" s="4"/>
      <c r="E93" s="4"/>
      <c r="F93" s="4"/>
      <c r="G93" s="4"/>
      <c r="H93" s="4"/>
      <c r="I93" s="4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5">
      <c r="A94" s="1"/>
      <c r="B94" s="2"/>
      <c r="C94" s="3"/>
      <c r="D94" s="4"/>
      <c r="E94" s="4"/>
      <c r="F94" s="4"/>
      <c r="G94" s="4"/>
      <c r="H94" s="4"/>
      <c r="I94" s="4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5">
      <c r="A95" s="1"/>
      <c r="B95" s="2"/>
      <c r="C95" s="3"/>
      <c r="D95" s="4"/>
      <c r="E95" s="124" t="s">
        <v>0</v>
      </c>
      <c r="F95" s="124" t="s">
        <v>2</v>
      </c>
      <c r="G95" s="124" t="s">
        <v>168</v>
      </c>
      <c r="H95" s="4"/>
      <c r="I95" s="4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5">
      <c r="A96" s="1"/>
      <c r="B96" s="2"/>
      <c r="C96" s="3"/>
      <c r="D96" s="4"/>
      <c r="E96" s="124"/>
      <c r="F96" s="124" t="s">
        <v>161</v>
      </c>
      <c r="G96" s="124">
        <f>D78</f>
        <v>93503415000</v>
      </c>
      <c r="H96" s="4"/>
      <c r="I96" s="4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25">
      <c r="A97" s="1"/>
      <c r="B97" s="2"/>
      <c r="C97" s="3"/>
      <c r="D97" s="4"/>
      <c r="E97" s="124"/>
      <c r="F97" s="124" t="s">
        <v>162</v>
      </c>
      <c r="G97" s="124">
        <f>E78</f>
        <v>17191905000</v>
      </c>
      <c r="H97" s="4"/>
      <c r="I97" s="4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5">
      <c r="A98" s="1"/>
      <c r="B98" s="2"/>
      <c r="C98" s="3"/>
      <c r="D98" s="4"/>
      <c r="E98" s="124"/>
      <c r="F98" s="124" t="s">
        <v>6</v>
      </c>
      <c r="G98" s="124">
        <f>F78</f>
        <v>171887480000</v>
      </c>
      <c r="H98" s="4"/>
      <c r="I98" s="4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5">
      <c r="A99" s="1"/>
      <c r="B99" s="2"/>
      <c r="C99" s="3"/>
      <c r="D99" s="4"/>
      <c r="E99" s="124"/>
      <c r="F99" s="124" t="s">
        <v>164</v>
      </c>
      <c r="G99" s="124">
        <f>G78</f>
        <v>37628529000</v>
      </c>
      <c r="H99" s="4"/>
      <c r="I99" s="4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5">
      <c r="A100" s="1"/>
      <c r="B100" s="2"/>
      <c r="C100" s="3"/>
      <c r="D100" s="4"/>
      <c r="E100" s="124"/>
      <c r="F100" s="124" t="s">
        <v>166</v>
      </c>
      <c r="G100" s="124">
        <f>H78</f>
        <v>80363388000</v>
      </c>
      <c r="H100" s="4"/>
      <c r="I100" s="4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5">
      <c r="A101" s="1"/>
      <c r="B101" s="2"/>
      <c r="C101" s="3"/>
      <c r="D101" s="4"/>
      <c r="E101" s="124"/>
      <c r="F101" s="124" t="s">
        <v>167</v>
      </c>
      <c r="G101" s="124">
        <f>I78</f>
        <v>116923771000</v>
      </c>
      <c r="H101" s="4"/>
      <c r="I101" s="4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5">
      <c r="A102" s="1"/>
      <c r="B102" s="2"/>
      <c r="C102" s="3"/>
      <c r="D102" s="4"/>
      <c r="E102" s="224" t="s">
        <v>93</v>
      </c>
      <c r="F102" s="223"/>
      <c r="G102" s="124">
        <f>SUM(G96:G101)</f>
        <v>517498488000</v>
      </c>
      <c r="H102" s="4"/>
      <c r="I102" s="4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5">
      <c r="A103" s="1"/>
      <c r="B103" s="2"/>
      <c r="C103" s="3"/>
      <c r="D103" s="4"/>
      <c r="E103" s="4"/>
      <c r="F103" s="4"/>
      <c r="G103" s="4"/>
      <c r="H103" s="4"/>
      <c r="I103" s="4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5">
      <c r="A104" s="1"/>
      <c r="B104" s="2"/>
      <c r="C104" s="3"/>
      <c r="D104" s="4"/>
      <c r="E104" s="4"/>
      <c r="F104" s="4"/>
      <c r="G104" s="4"/>
      <c r="H104" s="4"/>
      <c r="I104" s="4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5">
      <c r="A105" s="1"/>
      <c r="B105" s="2"/>
      <c r="C105" s="3"/>
      <c r="D105" s="4"/>
      <c r="E105" s="4"/>
      <c r="F105" s="4"/>
      <c r="G105" s="4"/>
      <c r="H105" s="4"/>
      <c r="I105" s="4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5">
      <c r="A106" s="1"/>
      <c r="B106" s="2"/>
      <c r="C106" s="3"/>
      <c r="D106" s="4"/>
      <c r="E106" s="4"/>
      <c r="F106" s="4"/>
      <c r="G106" s="4"/>
      <c r="H106" s="4"/>
      <c r="I106" s="4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5">
      <c r="A107" s="1"/>
      <c r="B107" s="2"/>
      <c r="C107" s="3"/>
      <c r="D107" s="4"/>
      <c r="E107" s="4"/>
      <c r="F107" s="4"/>
      <c r="G107" s="4"/>
      <c r="H107" s="4"/>
      <c r="I107" s="4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5">
      <c r="A108" s="1"/>
      <c r="B108" s="2"/>
      <c r="C108" s="3"/>
      <c r="D108" s="4"/>
      <c r="E108" s="4"/>
      <c r="F108" s="4"/>
      <c r="G108" s="4"/>
      <c r="H108" s="4"/>
      <c r="I108" s="4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5">
      <c r="A109" s="1"/>
      <c r="B109" s="2"/>
      <c r="C109" s="3"/>
      <c r="D109" s="4"/>
      <c r="E109" s="4"/>
      <c r="F109" s="4"/>
      <c r="G109" s="4"/>
      <c r="H109" s="4"/>
      <c r="I109" s="4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5">
      <c r="A110" s="1"/>
      <c r="B110" s="2"/>
      <c r="C110" s="3"/>
      <c r="D110" s="4"/>
      <c r="E110" s="4"/>
      <c r="F110" s="4"/>
      <c r="G110" s="4"/>
      <c r="H110" s="4"/>
      <c r="I110" s="4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5">
      <c r="A111" s="1"/>
      <c r="B111" s="2"/>
      <c r="C111" s="3"/>
      <c r="D111" s="4"/>
      <c r="E111" s="4"/>
      <c r="F111" s="4"/>
      <c r="G111" s="4"/>
      <c r="H111" s="4"/>
      <c r="I111" s="4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5">
      <c r="A112" s="1"/>
      <c r="B112" s="2"/>
      <c r="C112" s="3"/>
      <c r="D112" s="4"/>
      <c r="E112" s="4"/>
      <c r="F112" s="4"/>
      <c r="G112" s="4"/>
      <c r="H112" s="4"/>
      <c r="I112" s="4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5">
      <c r="A113" s="1"/>
      <c r="B113" s="2"/>
      <c r="C113" s="3"/>
      <c r="D113" s="4"/>
      <c r="E113" s="4"/>
      <c r="F113" s="4"/>
      <c r="G113" s="4"/>
      <c r="H113" s="4"/>
      <c r="I113" s="4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5">
      <c r="A114" s="1"/>
      <c r="B114" s="2"/>
      <c r="C114" s="3"/>
      <c r="D114" s="4"/>
      <c r="E114" s="4"/>
      <c r="F114" s="4"/>
      <c r="G114" s="4"/>
      <c r="H114" s="4"/>
      <c r="I114" s="4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5">
      <c r="A115" s="1"/>
      <c r="B115" s="2"/>
      <c r="C115" s="3"/>
      <c r="D115" s="4"/>
      <c r="E115" s="4"/>
      <c r="F115" s="4"/>
      <c r="G115" s="4"/>
      <c r="H115" s="4"/>
      <c r="I115" s="4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5">
      <c r="A116" s="1"/>
      <c r="B116" s="2"/>
      <c r="C116" s="3"/>
      <c r="D116" s="4"/>
      <c r="E116" s="4"/>
      <c r="F116" s="4"/>
      <c r="G116" s="4"/>
      <c r="H116" s="4"/>
      <c r="I116" s="4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5">
      <c r="A117" s="1"/>
      <c r="B117" s="2"/>
      <c r="C117" s="3"/>
      <c r="D117" s="4"/>
      <c r="E117" s="4"/>
      <c r="F117" s="4"/>
      <c r="G117" s="4"/>
      <c r="H117" s="4"/>
      <c r="I117" s="4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5">
      <c r="A118" s="1"/>
      <c r="B118" s="2"/>
      <c r="C118" s="3"/>
      <c r="D118" s="4"/>
      <c r="E118" s="4"/>
      <c r="F118" s="4"/>
      <c r="G118" s="4"/>
      <c r="H118" s="4"/>
      <c r="I118" s="4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5">
      <c r="A119" s="1"/>
      <c r="B119" s="2"/>
      <c r="C119" s="3"/>
      <c r="D119" s="4"/>
      <c r="E119" s="4"/>
      <c r="F119" s="4"/>
      <c r="G119" s="4"/>
      <c r="H119" s="4"/>
      <c r="I119" s="4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5">
      <c r="A120" s="1"/>
      <c r="B120" s="2"/>
      <c r="C120" s="3"/>
      <c r="D120" s="4"/>
      <c r="E120" s="4"/>
      <c r="F120" s="4"/>
      <c r="G120" s="4"/>
      <c r="H120" s="4"/>
      <c r="I120" s="4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5">
      <c r="A121" s="1"/>
      <c r="B121" s="2"/>
      <c r="C121" s="3"/>
      <c r="D121" s="4"/>
      <c r="E121" s="4"/>
      <c r="F121" s="4"/>
      <c r="G121" s="4"/>
      <c r="H121" s="4"/>
      <c r="I121" s="4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5">
      <c r="A122" s="1"/>
      <c r="B122" s="2"/>
      <c r="C122" s="3"/>
      <c r="D122" s="4"/>
      <c r="E122" s="4"/>
      <c r="F122" s="4"/>
      <c r="G122" s="4"/>
      <c r="H122" s="4"/>
      <c r="I122" s="4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5">
      <c r="A123" s="1"/>
      <c r="B123" s="2"/>
      <c r="C123" s="3"/>
      <c r="D123" s="4"/>
      <c r="E123" s="4"/>
      <c r="F123" s="4"/>
      <c r="G123" s="4"/>
      <c r="H123" s="4"/>
      <c r="I123" s="4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5">
      <c r="A124" s="1"/>
      <c r="B124" s="2"/>
      <c r="C124" s="3"/>
      <c r="D124" s="4"/>
      <c r="E124" s="4"/>
      <c r="F124" s="4"/>
      <c r="G124" s="4"/>
      <c r="H124" s="4"/>
      <c r="I124" s="4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5">
      <c r="A125" s="1"/>
      <c r="B125" s="2"/>
      <c r="C125" s="3"/>
      <c r="D125" s="4"/>
      <c r="E125" s="4"/>
      <c r="F125" s="4"/>
      <c r="G125" s="4"/>
      <c r="H125" s="4"/>
      <c r="I125" s="4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5">
      <c r="A126" s="1"/>
      <c r="B126" s="2"/>
      <c r="C126" s="3"/>
      <c r="D126" s="4"/>
      <c r="E126" s="4"/>
      <c r="F126" s="4"/>
      <c r="G126" s="4"/>
      <c r="H126" s="4"/>
      <c r="I126" s="4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5">
      <c r="A127" s="1"/>
      <c r="B127" s="2"/>
      <c r="C127" s="3"/>
      <c r="D127" s="4"/>
      <c r="E127" s="4"/>
      <c r="F127" s="4"/>
      <c r="G127" s="4"/>
      <c r="H127" s="4"/>
      <c r="I127" s="4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5">
      <c r="A128" s="1"/>
      <c r="B128" s="2"/>
      <c r="C128" s="3"/>
      <c r="D128" s="4"/>
      <c r="E128" s="4"/>
      <c r="F128" s="4"/>
      <c r="G128" s="4"/>
      <c r="H128" s="4"/>
      <c r="I128" s="4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5">
      <c r="A129" s="1"/>
      <c r="B129" s="2"/>
      <c r="C129" s="3"/>
      <c r="D129" s="4"/>
      <c r="E129" s="4"/>
      <c r="F129" s="4"/>
      <c r="G129" s="4"/>
      <c r="H129" s="4"/>
      <c r="I129" s="4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5">
      <c r="A130" s="1"/>
      <c r="B130" s="2"/>
      <c r="C130" s="3"/>
      <c r="D130" s="4"/>
      <c r="E130" s="4"/>
      <c r="F130" s="4"/>
      <c r="G130" s="4"/>
      <c r="H130" s="4"/>
      <c r="I130" s="4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5">
      <c r="A131" s="1"/>
      <c r="B131" s="2"/>
      <c r="C131" s="3"/>
      <c r="D131" s="4"/>
      <c r="E131" s="4"/>
      <c r="F131" s="4"/>
      <c r="G131" s="4"/>
      <c r="H131" s="4"/>
      <c r="I131" s="4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5">
      <c r="A132" s="1"/>
      <c r="B132" s="2"/>
      <c r="C132" s="3"/>
      <c r="D132" s="4"/>
      <c r="E132" s="4"/>
      <c r="F132" s="4"/>
      <c r="G132" s="4"/>
      <c r="H132" s="4"/>
      <c r="I132" s="4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5">
      <c r="A133" s="1"/>
      <c r="B133" s="2"/>
      <c r="C133" s="3"/>
      <c r="D133" s="4"/>
      <c r="E133" s="4"/>
      <c r="F133" s="4"/>
      <c r="G133" s="4"/>
      <c r="H133" s="4"/>
      <c r="I133" s="4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5">
      <c r="A134" s="1"/>
      <c r="B134" s="2"/>
      <c r="C134" s="3"/>
      <c r="D134" s="4"/>
      <c r="E134" s="4"/>
      <c r="F134" s="4"/>
      <c r="G134" s="4"/>
      <c r="H134" s="4"/>
      <c r="I134" s="4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5">
      <c r="A135" s="1"/>
      <c r="B135" s="2"/>
      <c r="C135" s="3"/>
      <c r="D135" s="4"/>
      <c r="E135" s="4"/>
      <c r="F135" s="4"/>
      <c r="G135" s="4"/>
      <c r="H135" s="4"/>
      <c r="I135" s="4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5">
      <c r="A136" s="1"/>
      <c r="B136" s="2"/>
      <c r="C136" s="3"/>
      <c r="D136" s="4"/>
      <c r="E136" s="4"/>
      <c r="F136" s="4"/>
      <c r="G136" s="4"/>
      <c r="H136" s="4"/>
      <c r="I136" s="4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5">
      <c r="A137" s="1"/>
      <c r="B137" s="2"/>
      <c r="C137" s="3"/>
      <c r="D137" s="4"/>
      <c r="E137" s="4"/>
      <c r="F137" s="4"/>
      <c r="G137" s="4"/>
      <c r="H137" s="4"/>
      <c r="I137" s="4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5">
      <c r="A138" s="1"/>
      <c r="B138" s="2"/>
      <c r="C138" s="3"/>
      <c r="D138" s="4"/>
      <c r="E138" s="4"/>
      <c r="F138" s="4"/>
      <c r="G138" s="4"/>
      <c r="H138" s="4"/>
      <c r="I138" s="4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5">
      <c r="A139" s="1"/>
      <c r="B139" s="2"/>
      <c r="C139" s="3"/>
      <c r="D139" s="4"/>
      <c r="E139" s="4"/>
      <c r="F139" s="4"/>
      <c r="G139" s="4"/>
      <c r="H139" s="4"/>
      <c r="I139" s="4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5">
      <c r="A140" s="1"/>
      <c r="B140" s="2"/>
      <c r="C140" s="3"/>
      <c r="D140" s="4"/>
      <c r="E140" s="4"/>
      <c r="F140" s="4"/>
      <c r="G140" s="4"/>
      <c r="H140" s="4"/>
      <c r="I140" s="4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5">
      <c r="A141" s="1"/>
      <c r="B141" s="2"/>
      <c r="C141" s="3"/>
      <c r="D141" s="4"/>
      <c r="E141" s="4"/>
      <c r="F141" s="4"/>
      <c r="G141" s="4"/>
      <c r="H141" s="4"/>
      <c r="I141" s="4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5">
      <c r="A142" s="1"/>
      <c r="B142" s="2"/>
      <c r="C142" s="3"/>
      <c r="D142" s="4"/>
      <c r="E142" s="4"/>
      <c r="F142" s="4"/>
      <c r="G142" s="4"/>
      <c r="H142" s="4"/>
      <c r="I142" s="4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5">
      <c r="A143" s="1"/>
      <c r="B143" s="2"/>
      <c r="C143" s="3"/>
      <c r="D143" s="4"/>
      <c r="E143" s="4"/>
      <c r="F143" s="4"/>
      <c r="G143" s="4"/>
      <c r="H143" s="4"/>
      <c r="I143" s="4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5">
      <c r="A144" s="1"/>
      <c r="B144" s="2"/>
      <c r="C144" s="3"/>
      <c r="D144" s="4"/>
      <c r="E144" s="4"/>
      <c r="F144" s="4"/>
      <c r="G144" s="4"/>
      <c r="H144" s="4"/>
      <c r="I144" s="4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5">
      <c r="A145" s="1"/>
      <c r="B145" s="2"/>
      <c r="C145" s="3"/>
      <c r="D145" s="4"/>
      <c r="E145" s="4"/>
      <c r="F145" s="4"/>
      <c r="G145" s="4"/>
      <c r="H145" s="4"/>
      <c r="I145" s="4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5">
      <c r="A146" s="1"/>
      <c r="B146" s="2"/>
      <c r="C146" s="3"/>
      <c r="D146" s="4"/>
      <c r="E146" s="4"/>
      <c r="F146" s="4"/>
      <c r="G146" s="4"/>
      <c r="H146" s="4"/>
      <c r="I146" s="4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5">
      <c r="A147" s="1"/>
      <c r="B147" s="2"/>
      <c r="C147" s="3"/>
      <c r="D147" s="4"/>
      <c r="E147" s="4"/>
      <c r="F147" s="4"/>
      <c r="G147" s="4"/>
      <c r="H147" s="4"/>
      <c r="I147" s="4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5">
      <c r="A148" s="1"/>
      <c r="B148" s="2"/>
      <c r="C148" s="3"/>
      <c r="D148" s="4"/>
      <c r="E148" s="4"/>
      <c r="F148" s="4"/>
      <c r="G148" s="4"/>
      <c r="H148" s="4"/>
      <c r="I148" s="4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5">
      <c r="A149" s="1"/>
      <c r="B149" s="2"/>
      <c r="C149" s="3"/>
      <c r="D149" s="4"/>
      <c r="E149" s="4"/>
      <c r="F149" s="4"/>
      <c r="G149" s="4"/>
      <c r="H149" s="4"/>
      <c r="I149" s="4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5">
      <c r="A150" s="1"/>
      <c r="B150" s="2"/>
      <c r="C150" s="3"/>
      <c r="D150" s="4"/>
      <c r="E150" s="4"/>
      <c r="F150" s="4"/>
      <c r="G150" s="4"/>
      <c r="H150" s="4"/>
      <c r="I150" s="4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5">
      <c r="A151" s="1"/>
      <c r="B151" s="2"/>
      <c r="C151" s="3"/>
      <c r="D151" s="4"/>
      <c r="E151" s="4"/>
      <c r="F151" s="4"/>
      <c r="G151" s="4"/>
      <c r="H151" s="4"/>
      <c r="I151" s="4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5">
      <c r="A152" s="1"/>
      <c r="B152" s="2"/>
      <c r="C152" s="3"/>
      <c r="D152" s="4"/>
      <c r="E152" s="4"/>
      <c r="F152" s="4"/>
      <c r="G152" s="4"/>
      <c r="H152" s="4"/>
      <c r="I152" s="4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5">
      <c r="A153" s="1"/>
      <c r="B153" s="2"/>
      <c r="C153" s="3"/>
      <c r="D153" s="4"/>
      <c r="E153" s="4"/>
      <c r="F153" s="4"/>
      <c r="G153" s="4"/>
      <c r="H153" s="4"/>
      <c r="I153" s="4"/>
      <c r="J153" s="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5">
      <c r="A154" s="1"/>
      <c r="B154" s="2"/>
      <c r="C154" s="3"/>
      <c r="D154" s="4"/>
      <c r="E154" s="4"/>
      <c r="F154" s="4"/>
      <c r="G154" s="4"/>
      <c r="H154" s="4"/>
      <c r="I154" s="4"/>
      <c r="J154" s="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5">
      <c r="A155" s="1"/>
      <c r="B155" s="2"/>
      <c r="C155" s="3"/>
      <c r="D155" s="4"/>
      <c r="E155" s="4"/>
      <c r="F155" s="4"/>
      <c r="G155" s="4"/>
      <c r="H155" s="4"/>
      <c r="I155" s="4"/>
      <c r="J155" s="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5">
      <c r="A156" s="1"/>
      <c r="B156" s="2"/>
      <c r="C156" s="3"/>
      <c r="D156" s="4"/>
      <c r="E156" s="4"/>
      <c r="F156" s="4"/>
      <c r="G156" s="4"/>
      <c r="H156" s="4"/>
      <c r="I156" s="4"/>
      <c r="J156" s="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5">
      <c r="A157" s="1"/>
      <c r="B157" s="2"/>
      <c r="C157" s="3"/>
      <c r="D157" s="4"/>
      <c r="E157" s="4"/>
      <c r="F157" s="4"/>
      <c r="G157" s="4"/>
      <c r="H157" s="4"/>
      <c r="I157" s="4"/>
      <c r="J157" s="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5">
      <c r="A158" s="1"/>
      <c r="B158" s="2"/>
      <c r="C158" s="3"/>
      <c r="D158" s="4"/>
      <c r="E158" s="4"/>
      <c r="F158" s="4"/>
      <c r="G158" s="4"/>
      <c r="H158" s="4"/>
      <c r="I158" s="4"/>
      <c r="J158" s="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5">
      <c r="A159" s="1"/>
      <c r="B159" s="2"/>
      <c r="C159" s="3"/>
      <c r="D159" s="4"/>
      <c r="E159" s="4"/>
      <c r="F159" s="4"/>
      <c r="G159" s="4"/>
      <c r="H159" s="4"/>
      <c r="I159" s="4"/>
      <c r="J159" s="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5">
      <c r="A160" s="1"/>
      <c r="B160" s="2"/>
      <c r="C160" s="3"/>
      <c r="D160" s="4"/>
      <c r="E160" s="4"/>
      <c r="F160" s="4"/>
      <c r="G160" s="4"/>
      <c r="H160" s="4"/>
      <c r="I160" s="4"/>
      <c r="J160" s="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5">
      <c r="A161" s="1"/>
      <c r="B161" s="2"/>
      <c r="C161" s="3"/>
      <c r="D161" s="4"/>
      <c r="E161" s="4"/>
      <c r="F161" s="4"/>
      <c r="G161" s="4"/>
      <c r="H161" s="4"/>
      <c r="I161" s="4"/>
      <c r="J161" s="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5">
      <c r="A162" s="1"/>
      <c r="B162" s="2"/>
      <c r="C162" s="3"/>
      <c r="D162" s="4"/>
      <c r="E162" s="4"/>
      <c r="F162" s="4"/>
      <c r="G162" s="4"/>
      <c r="H162" s="4"/>
      <c r="I162" s="4"/>
      <c r="J162" s="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5">
      <c r="A163" s="1"/>
      <c r="B163" s="2"/>
      <c r="C163" s="3"/>
      <c r="D163" s="4"/>
      <c r="E163" s="4"/>
      <c r="F163" s="4"/>
      <c r="G163" s="4"/>
      <c r="H163" s="4"/>
      <c r="I163" s="4"/>
      <c r="J163" s="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5">
      <c r="A164" s="1"/>
      <c r="B164" s="2"/>
      <c r="C164" s="3"/>
      <c r="D164" s="4"/>
      <c r="E164" s="4"/>
      <c r="F164" s="4"/>
      <c r="G164" s="4"/>
      <c r="H164" s="4"/>
      <c r="I164" s="4"/>
      <c r="J164" s="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5">
      <c r="A165" s="1"/>
      <c r="B165" s="2"/>
      <c r="C165" s="3"/>
      <c r="D165" s="4"/>
      <c r="E165" s="4"/>
      <c r="F165" s="4"/>
      <c r="G165" s="4"/>
      <c r="H165" s="4"/>
      <c r="I165" s="4"/>
      <c r="J165" s="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5">
      <c r="A166" s="1"/>
      <c r="B166" s="2"/>
      <c r="C166" s="3"/>
      <c r="D166" s="4"/>
      <c r="E166" s="4"/>
      <c r="F166" s="4"/>
      <c r="G166" s="4"/>
      <c r="H166" s="4"/>
      <c r="I166" s="4"/>
      <c r="J166" s="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5">
      <c r="A167" s="1"/>
      <c r="B167" s="2"/>
      <c r="C167" s="3"/>
      <c r="D167" s="4"/>
      <c r="E167" s="4"/>
      <c r="F167" s="4"/>
      <c r="G167" s="4"/>
      <c r="H167" s="4"/>
      <c r="I167" s="4"/>
      <c r="J167" s="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5">
      <c r="A168" s="1"/>
      <c r="B168" s="2"/>
      <c r="C168" s="3"/>
      <c r="D168" s="4"/>
      <c r="E168" s="4"/>
      <c r="F168" s="4"/>
      <c r="G168" s="4"/>
      <c r="H168" s="4"/>
      <c r="I168" s="4"/>
      <c r="J168" s="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5">
      <c r="A169" s="1"/>
      <c r="B169" s="2"/>
      <c r="C169" s="3"/>
      <c r="D169" s="4"/>
      <c r="E169" s="4"/>
      <c r="F169" s="4"/>
      <c r="G169" s="4"/>
      <c r="H169" s="4"/>
      <c r="I169" s="4"/>
      <c r="J169" s="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5">
      <c r="A170" s="1"/>
      <c r="B170" s="2"/>
      <c r="C170" s="3"/>
      <c r="D170" s="4"/>
      <c r="E170" s="4"/>
      <c r="F170" s="4"/>
      <c r="G170" s="4"/>
      <c r="H170" s="4"/>
      <c r="I170" s="4"/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5">
      <c r="A171" s="1"/>
      <c r="B171" s="2"/>
      <c r="C171" s="3"/>
      <c r="D171" s="4"/>
      <c r="E171" s="4"/>
      <c r="F171" s="4"/>
      <c r="G171" s="4"/>
      <c r="H171" s="4"/>
      <c r="I171" s="4"/>
      <c r="J171" s="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5">
      <c r="A172" s="1"/>
      <c r="B172" s="2"/>
      <c r="C172" s="3"/>
      <c r="D172" s="4"/>
      <c r="E172" s="4"/>
      <c r="F172" s="4"/>
      <c r="G172" s="4"/>
      <c r="H172" s="4"/>
      <c r="I172" s="4"/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5">
      <c r="A173" s="1"/>
      <c r="B173" s="2"/>
      <c r="C173" s="3"/>
      <c r="D173" s="4"/>
      <c r="E173" s="4"/>
      <c r="F173" s="4"/>
      <c r="G173" s="4"/>
      <c r="H173" s="4"/>
      <c r="I173" s="4"/>
      <c r="J173" s="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5">
      <c r="A174" s="1"/>
      <c r="B174" s="2"/>
      <c r="C174" s="3"/>
      <c r="D174" s="4"/>
      <c r="E174" s="4"/>
      <c r="F174" s="4"/>
      <c r="G174" s="4"/>
      <c r="H174" s="4"/>
      <c r="I174" s="4"/>
      <c r="J174" s="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5">
      <c r="A175" s="1"/>
      <c r="B175" s="2"/>
      <c r="C175" s="3"/>
      <c r="D175" s="4"/>
      <c r="E175" s="4"/>
      <c r="F175" s="4"/>
      <c r="G175" s="4"/>
      <c r="H175" s="4"/>
      <c r="I175" s="4"/>
      <c r="J175" s="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5">
      <c r="A176" s="1"/>
      <c r="B176" s="2"/>
      <c r="C176" s="3"/>
      <c r="D176" s="4"/>
      <c r="E176" s="4"/>
      <c r="F176" s="4"/>
      <c r="G176" s="4"/>
      <c r="H176" s="4"/>
      <c r="I176" s="4"/>
      <c r="J176" s="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5">
      <c r="A177" s="1"/>
      <c r="B177" s="2"/>
      <c r="C177" s="3"/>
      <c r="D177" s="4"/>
      <c r="E177" s="4"/>
      <c r="F177" s="4"/>
      <c r="G177" s="4"/>
      <c r="H177" s="4"/>
      <c r="I177" s="4"/>
      <c r="J177" s="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5">
      <c r="A178" s="1"/>
      <c r="B178" s="2"/>
      <c r="C178" s="3"/>
      <c r="D178" s="4"/>
      <c r="E178" s="4"/>
      <c r="F178" s="4"/>
      <c r="G178" s="4"/>
      <c r="H178" s="4"/>
      <c r="I178" s="4"/>
      <c r="J178" s="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5">
      <c r="A179" s="1"/>
      <c r="B179" s="2"/>
      <c r="C179" s="3"/>
      <c r="D179" s="4"/>
      <c r="E179" s="4"/>
      <c r="F179" s="4"/>
      <c r="G179" s="4"/>
      <c r="H179" s="4"/>
      <c r="I179" s="4"/>
      <c r="J179" s="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5">
      <c r="A180" s="1"/>
      <c r="B180" s="2"/>
      <c r="C180" s="3"/>
      <c r="D180" s="4"/>
      <c r="E180" s="4"/>
      <c r="F180" s="4"/>
      <c r="G180" s="4"/>
      <c r="H180" s="4"/>
      <c r="I180" s="4"/>
      <c r="J180" s="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5">
      <c r="A181" s="1"/>
      <c r="B181" s="2"/>
      <c r="C181" s="3"/>
      <c r="D181" s="4"/>
      <c r="E181" s="4"/>
      <c r="F181" s="4"/>
      <c r="G181" s="4"/>
      <c r="H181" s="4"/>
      <c r="I181" s="4"/>
      <c r="J181" s="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5">
      <c r="A182" s="1"/>
      <c r="B182" s="2"/>
      <c r="C182" s="3"/>
      <c r="D182" s="4"/>
      <c r="E182" s="4"/>
      <c r="F182" s="4"/>
      <c r="G182" s="4"/>
      <c r="H182" s="4"/>
      <c r="I182" s="4"/>
      <c r="J182" s="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5">
      <c r="A183" s="1"/>
      <c r="B183" s="2"/>
      <c r="C183" s="3"/>
      <c r="D183" s="4"/>
      <c r="E183" s="4"/>
      <c r="F183" s="4"/>
      <c r="G183" s="4"/>
      <c r="H183" s="4"/>
      <c r="I183" s="4"/>
      <c r="J183" s="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5">
      <c r="A184" s="1"/>
      <c r="B184" s="2"/>
      <c r="C184" s="3"/>
      <c r="D184" s="4"/>
      <c r="E184" s="4"/>
      <c r="F184" s="4"/>
      <c r="G184" s="4"/>
      <c r="H184" s="4"/>
      <c r="I184" s="4"/>
      <c r="J184" s="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5">
      <c r="A185" s="1"/>
      <c r="B185" s="2"/>
      <c r="C185" s="3"/>
      <c r="D185" s="4"/>
      <c r="E185" s="4"/>
      <c r="F185" s="4"/>
      <c r="G185" s="4"/>
      <c r="H185" s="4"/>
      <c r="I185" s="4"/>
      <c r="J185" s="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5">
      <c r="A186" s="1"/>
      <c r="B186" s="2"/>
      <c r="C186" s="3"/>
      <c r="D186" s="4"/>
      <c r="E186" s="4"/>
      <c r="F186" s="4"/>
      <c r="G186" s="4"/>
      <c r="H186" s="4"/>
      <c r="I186" s="4"/>
      <c r="J186" s="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5">
      <c r="A187" s="1"/>
      <c r="B187" s="2"/>
      <c r="C187" s="3"/>
      <c r="D187" s="4"/>
      <c r="E187" s="4"/>
      <c r="F187" s="4"/>
      <c r="G187" s="4"/>
      <c r="H187" s="4"/>
      <c r="I187" s="4"/>
      <c r="J187" s="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5">
      <c r="A188" s="1"/>
      <c r="B188" s="2"/>
      <c r="C188" s="3"/>
      <c r="D188" s="4"/>
      <c r="E188" s="4"/>
      <c r="F188" s="4"/>
      <c r="G188" s="4"/>
      <c r="H188" s="4"/>
      <c r="I188" s="4"/>
      <c r="J188" s="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5">
      <c r="A189" s="1"/>
      <c r="B189" s="2"/>
      <c r="C189" s="3"/>
      <c r="D189" s="4"/>
      <c r="E189" s="4"/>
      <c r="F189" s="4"/>
      <c r="G189" s="4"/>
      <c r="H189" s="4"/>
      <c r="I189" s="4"/>
      <c r="J189" s="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5">
      <c r="A190" s="1"/>
      <c r="B190" s="2"/>
      <c r="C190" s="3"/>
      <c r="D190" s="4"/>
      <c r="E190" s="4"/>
      <c r="F190" s="4"/>
      <c r="G190" s="4"/>
      <c r="H190" s="4"/>
      <c r="I190" s="4"/>
      <c r="J190" s="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5">
      <c r="A191" s="1"/>
      <c r="B191" s="2"/>
      <c r="C191" s="3"/>
      <c r="D191" s="4"/>
      <c r="E191" s="4"/>
      <c r="F191" s="4"/>
      <c r="G191" s="4"/>
      <c r="H191" s="4"/>
      <c r="I191" s="4"/>
      <c r="J191" s="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5">
      <c r="A192" s="1"/>
      <c r="B192" s="2"/>
      <c r="C192" s="3"/>
      <c r="D192" s="4"/>
      <c r="E192" s="4"/>
      <c r="F192" s="4"/>
      <c r="G192" s="4"/>
      <c r="H192" s="4"/>
      <c r="I192" s="4"/>
      <c r="J192" s="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5">
      <c r="A193" s="1"/>
      <c r="B193" s="2"/>
      <c r="C193" s="3"/>
      <c r="D193" s="4"/>
      <c r="E193" s="4"/>
      <c r="F193" s="4"/>
      <c r="G193" s="4"/>
      <c r="H193" s="4"/>
      <c r="I193" s="4"/>
      <c r="J193" s="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5">
      <c r="A194" s="1"/>
      <c r="B194" s="2"/>
      <c r="C194" s="3"/>
      <c r="D194" s="4"/>
      <c r="E194" s="4"/>
      <c r="F194" s="4"/>
      <c r="G194" s="4"/>
      <c r="H194" s="4"/>
      <c r="I194" s="4"/>
      <c r="J194" s="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5">
      <c r="A195" s="1"/>
      <c r="B195" s="2"/>
      <c r="C195" s="3"/>
      <c r="D195" s="4"/>
      <c r="E195" s="4"/>
      <c r="F195" s="4"/>
      <c r="G195" s="4"/>
      <c r="H195" s="4"/>
      <c r="I195" s="4"/>
      <c r="J195" s="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5">
      <c r="A196" s="1"/>
      <c r="B196" s="2"/>
      <c r="C196" s="3"/>
      <c r="D196" s="4"/>
      <c r="E196" s="4"/>
      <c r="F196" s="4"/>
      <c r="G196" s="4"/>
      <c r="H196" s="4"/>
      <c r="I196" s="4"/>
      <c r="J196" s="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5">
      <c r="A197" s="1"/>
      <c r="B197" s="2"/>
      <c r="C197" s="3"/>
      <c r="D197" s="4"/>
      <c r="E197" s="4"/>
      <c r="F197" s="4"/>
      <c r="G197" s="4"/>
      <c r="H197" s="4"/>
      <c r="I197" s="4"/>
      <c r="J197" s="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5">
      <c r="A198" s="1"/>
      <c r="B198" s="2"/>
      <c r="C198" s="3"/>
      <c r="D198" s="4"/>
      <c r="E198" s="4"/>
      <c r="F198" s="4"/>
      <c r="G198" s="4"/>
      <c r="H198" s="4"/>
      <c r="I198" s="4"/>
      <c r="J198" s="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5">
      <c r="A199" s="1"/>
      <c r="B199" s="2"/>
      <c r="C199" s="3"/>
      <c r="D199" s="4"/>
      <c r="E199" s="4"/>
      <c r="F199" s="4"/>
      <c r="G199" s="4"/>
      <c r="H199" s="4"/>
      <c r="I199" s="4"/>
      <c r="J199" s="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5">
      <c r="A200" s="1"/>
      <c r="B200" s="2"/>
      <c r="C200" s="3"/>
      <c r="D200" s="4"/>
      <c r="E200" s="4"/>
      <c r="F200" s="4"/>
      <c r="G200" s="4"/>
      <c r="H200" s="4"/>
      <c r="I200" s="4"/>
      <c r="J200" s="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5">
      <c r="A201" s="1"/>
      <c r="B201" s="2"/>
      <c r="C201" s="3"/>
      <c r="D201" s="4"/>
      <c r="E201" s="4"/>
      <c r="F201" s="4"/>
      <c r="G201" s="4"/>
      <c r="H201" s="4"/>
      <c r="I201" s="4"/>
      <c r="J201" s="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5">
      <c r="A202" s="1"/>
      <c r="B202" s="2"/>
      <c r="C202" s="3"/>
      <c r="D202" s="4"/>
      <c r="E202" s="4"/>
      <c r="F202" s="4"/>
      <c r="G202" s="4"/>
      <c r="H202" s="4"/>
      <c r="I202" s="4"/>
      <c r="J202" s="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5">
      <c r="A203" s="1"/>
      <c r="B203" s="2"/>
      <c r="C203" s="3"/>
      <c r="D203" s="4"/>
      <c r="E203" s="4"/>
      <c r="F203" s="4"/>
      <c r="G203" s="4"/>
      <c r="H203" s="4"/>
      <c r="I203" s="4"/>
      <c r="J203" s="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5">
      <c r="A204" s="1"/>
      <c r="B204" s="2"/>
      <c r="C204" s="3"/>
      <c r="D204" s="4"/>
      <c r="E204" s="4"/>
      <c r="F204" s="4"/>
      <c r="G204" s="4"/>
      <c r="H204" s="4"/>
      <c r="I204" s="4"/>
      <c r="J204" s="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5">
      <c r="A205" s="1"/>
      <c r="B205" s="2"/>
      <c r="C205" s="3"/>
      <c r="D205" s="4"/>
      <c r="E205" s="4"/>
      <c r="F205" s="4"/>
      <c r="G205" s="4"/>
      <c r="H205" s="4"/>
      <c r="I205" s="4"/>
      <c r="J205" s="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5">
      <c r="A206" s="1"/>
      <c r="B206" s="2"/>
      <c r="C206" s="3"/>
      <c r="D206" s="4"/>
      <c r="E206" s="4"/>
      <c r="F206" s="4"/>
      <c r="G206" s="4"/>
      <c r="H206" s="4"/>
      <c r="I206" s="4"/>
      <c r="J206" s="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5">
      <c r="A207" s="1"/>
      <c r="B207" s="2"/>
      <c r="C207" s="3"/>
      <c r="D207" s="4"/>
      <c r="E207" s="4"/>
      <c r="F207" s="4"/>
      <c r="G207" s="4"/>
      <c r="H207" s="4"/>
      <c r="I207" s="4"/>
      <c r="J207" s="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5">
      <c r="A208" s="1"/>
      <c r="B208" s="2"/>
      <c r="C208" s="3"/>
      <c r="D208" s="4"/>
      <c r="E208" s="4"/>
      <c r="F208" s="4"/>
      <c r="G208" s="4"/>
      <c r="H208" s="4"/>
      <c r="I208" s="4"/>
      <c r="J208" s="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5">
      <c r="A209" s="1"/>
      <c r="B209" s="2"/>
      <c r="C209" s="3"/>
      <c r="D209" s="4"/>
      <c r="E209" s="4"/>
      <c r="F209" s="4"/>
      <c r="G209" s="4"/>
      <c r="H209" s="4"/>
      <c r="I209" s="4"/>
      <c r="J209" s="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5">
      <c r="A210" s="1"/>
      <c r="B210" s="2"/>
      <c r="C210" s="3"/>
      <c r="D210" s="4"/>
      <c r="E210" s="4"/>
      <c r="F210" s="4"/>
      <c r="G210" s="4"/>
      <c r="H210" s="4"/>
      <c r="I210" s="4"/>
      <c r="J210" s="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5">
      <c r="A211" s="1"/>
      <c r="B211" s="2"/>
      <c r="C211" s="3"/>
      <c r="D211" s="4"/>
      <c r="E211" s="4"/>
      <c r="F211" s="4"/>
      <c r="G211" s="4"/>
      <c r="H211" s="4"/>
      <c r="I211" s="4"/>
      <c r="J211" s="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5">
      <c r="A212" s="1"/>
      <c r="B212" s="2"/>
      <c r="C212" s="3"/>
      <c r="D212" s="4"/>
      <c r="E212" s="4"/>
      <c r="F212" s="4"/>
      <c r="G212" s="4"/>
      <c r="H212" s="4"/>
      <c r="I212" s="4"/>
      <c r="J212" s="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5">
      <c r="A213" s="1"/>
      <c r="B213" s="2"/>
      <c r="C213" s="3"/>
      <c r="D213" s="4"/>
      <c r="E213" s="4"/>
      <c r="F213" s="4"/>
      <c r="G213" s="4"/>
      <c r="H213" s="4"/>
      <c r="I213" s="4"/>
      <c r="J213" s="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5">
      <c r="A214" s="1"/>
      <c r="B214" s="2"/>
      <c r="C214" s="3"/>
      <c r="D214" s="4"/>
      <c r="E214" s="4"/>
      <c r="F214" s="4"/>
      <c r="G214" s="4"/>
      <c r="H214" s="4"/>
      <c r="I214" s="4"/>
      <c r="J214" s="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5">
      <c r="A215" s="1"/>
      <c r="B215" s="2"/>
      <c r="C215" s="3"/>
      <c r="D215" s="4"/>
      <c r="E215" s="4"/>
      <c r="F215" s="4"/>
      <c r="G215" s="4"/>
      <c r="H215" s="4"/>
      <c r="I215" s="4"/>
      <c r="J215" s="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5">
      <c r="A216" s="1"/>
      <c r="B216" s="2"/>
      <c r="C216" s="3"/>
      <c r="D216" s="4"/>
      <c r="E216" s="4"/>
      <c r="F216" s="4"/>
      <c r="G216" s="4"/>
      <c r="H216" s="4"/>
      <c r="I216" s="4"/>
      <c r="J216" s="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5">
      <c r="A217" s="1"/>
      <c r="B217" s="2"/>
      <c r="C217" s="3"/>
      <c r="D217" s="4"/>
      <c r="E217" s="4"/>
      <c r="F217" s="4"/>
      <c r="G217" s="4"/>
      <c r="H217" s="4"/>
      <c r="I217" s="4"/>
      <c r="J217" s="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5">
      <c r="A218" s="1"/>
      <c r="B218" s="2"/>
      <c r="C218" s="3"/>
      <c r="D218" s="4"/>
      <c r="E218" s="4"/>
      <c r="F218" s="4"/>
      <c r="G218" s="4"/>
      <c r="H218" s="4"/>
      <c r="I218" s="4"/>
      <c r="J218" s="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5">
      <c r="A219" s="1"/>
      <c r="B219" s="2"/>
      <c r="C219" s="3"/>
      <c r="D219" s="4"/>
      <c r="E219" s="4"/>
      <c r="F219" s="4"/>
      <c r="G219" s="4"/>
      <c r="H219" s="4"/>
      <c r="I219" s="4"/>
      <c r="J219" s="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5">
      <c r="A220" s="1"/>
      <c r="B220" s="2"/>
      <c r="C220" s="3"/>
      <c r="D220" s="4"/>
      <c r="E220" s="4"/>
      <c r="F220" s="4"/>
      <c r="G220" s="4"/>
      <c r="H220" s="4"/>
      <c r="I220" s="4"/>
      <c r="J220" s="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25">
      <c r="A221" s="1"/>
      <c r="B221" s="2"/>
      <c r="C221" s="3"/>
      <c r="D221" s="4"/>
      <c r="E221" s="4"/>
      <c r="F221" s="4"/>
      <c r="G221" s="4"/>
      <c r="H221" s="4"/>
      <c r="I221" s="4"/>
      <c r="J221" s="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25">
      <c r="A222" s="1"/>
      <c r="B222" s="2"/>
      <c r="C222" s="3"/>
      <c r="D222" s="4"/>
      <c r="E222" s="4"/>
      <c r="F222" s="4"/>
      <c r="G222" s="4"/>
      <c r="H222" s="4"/>
      <c r="I222" s="4"/>
      <c r="J222" s="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25">
      <c r="A223" s="1"/>
      <c r="B223" s="2"/>
      <c r="C223" s="3"/>
      <c r="D223" s="4"/>
      <c r="E223" s="4"/>
      <c r="F223" s="4"/>
      <c r="G223" s="4"/>
      <c r="H223" s="4"/>
      <c r="I223" s="4"/>
      <c r="J223" s="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25">
      <c r="A224" s="1"/>
      <c r="B224" s="2"/>
      <c r="C224" s="3"/>
      <c r="D224" s="4"/>
      <c r="E224" s="4"/>
      <c r="F224" s="4"/>
      <c r="G224" s="4"/>
      <c r="H224" s="4"/>
      <c r="I224" s="4"/>
      <c r="J224" s="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25">
      <c r="A225" s="1"/>
      <c r="B225" s="2"/>
      <c r="C225" s="3"/>
      <c r="D225" s="4"/>
      <c r="E225" s="4"/>
      <c r="F225" s="4"/>
      <c r="G225" s="4"/>
      <c r="H225" s="4"/>
      <c r="I225" s="4"/>
      <c r="J225" s="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25">
      <c r="A226" s="1"/>
      <c r="B226" s="2"/>
      <c r="C226" s="3"/>
      <c r="D226" s="4"/>
      <c r="E226" s="4"/>
      <c r="F226" s="4"/>
      <c r="G226" s="4"/>
      <c r="H226" s="4"/>
      <c r="I226" s="4"/>
      <c r="J226" s="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25">
      <c r="A227" s="1"/>
      <c r="B227" s="2"/>
      <c r="C227" s="3"/>
      <c r="D227" s="4"/>
      <c r="E227" s="4"/>
      <c r="F227" s="4"/>
      <c r="G227" s="4"/>
      <c r="H227" s="4"/>
      <c r="I227" s="4"/>
      <c r="J227" s="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25">
      <c r="A228" s="1"/>
      <c r="B228" s="2"/>
      <c r="C228" s="3"/>
      <c r="D228" s="4"/>
      <c r="E228" s="4"/>
      <c r="F228" s="4"/>
      <c r="G228" s="4"/>
      <c r="H228" s="4"/>
      <c r="I228" s="4"/>
      <c r="J228" s="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25">
      <c r="A229" s="1"/>
      <c r="B229" s="2"/>
      <c r="C229" s="3"/>
      <c r="D229" s="4"/>
      <c r="E229" s="4"/>
      <c r="F229" s="4"/>
      <c r="G229" s="4"/>
      <c r="H229" s="4"/>
      <c r="I229" s="4"/>
      <c r="J229" s="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25">
      <c r="A230" s="1"/>
      <c r="B230" s="2"/>
      <c r="C230" s="3"/>
      <c r="D230" s="4"/>
      <c r="E230" s="4"/>
      <c r="F230" s="4"/>
      <c r="G230" s="4"/>
      <c r="H230" s="4"/>
      <c r="I230" s="4"/>
      <c r="J230" s="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25">
      <c r="A231" s="1"/>
      <c r="B231" s="2"/>
      <c r="C231" s="3"/>
      <c r="D231" s="4"/>
      <c r="E231" s="4"/>
      <c r="F231" s="4"/>
      <c r="G231" s="4"/>
      <c r="H231" s="4"/>
      <c r="I231" s="4"/>
      <c r="J231" s="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25">
      <c r="A232" s="1"/>
      <c r="B232" s="2"/>
      <c r="C232" s="3"/>
      <c r="D232" s="4"/>
      <c r="E232" s="4"/>
      <c r="F232" s="4"/>
      <c r="G232" s="4"/>
      <c r="H232" s="4"/>
      <c r="I232" s="4"/>
      <c r="J232" s="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25">
      <c r="A233" s="1"/>
      <c r="B233" s="2"/>
      <c r="C233" s="3"/>
      <c r="D233" s="4"/>
      <c r="E233" s="4"/>
      <c r="F233" s="4"/>
      <c r="G233" s="4"/>
      <c r="H233" s="4"/>
      <c r="I233" s="4"/>
      <c r="J233" s="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25">
      <c r="A234" s="1"/>
      <c r="B234" s="2"/>
      <c r="C234" s="3"/>
      <c r="D234" s="4"/>
      <c r="E234" s="4"/>
      <c r="F234" s="4"/>
      <c r="G234" s="4"/>
      <c r="H234" s="4"/>
      <c r="I234" s="4"/>
      <c r="J234" s="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25">
      <c r="A235" s="1"/>
      <c r="B235" s="2"/>
      <c r="C235" s="3"/>
      <c r="D235" s="4"/>
      <c r="E235" s="4"/>
      <c r="F235" s="4"/>
      <c r="G235" s="4"/>
      <c r="H235" s="4"/>
      <c r="I235" s="4"/>
      <c r="J235" s="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25">
      <c r="A236" s="1"/>
      <c r="B236" s="2"/>
      <c r="C236" s="3"/>
      <c r="D236" s="4"/>
      <c r="E236" s="4"/>
      <c r="F236" s="4"/>
      <c r="G236" s="4"/>
      <c r="H236" s="4"/>
      <c r="I236" s="4"/>
      <c r="J236" s="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25">
      <c r="A237" s="1"/>
      <c r="B237" s="2"/>
      <c r="C237" s="3"/>
      <c r="D237" s="4"/>
      <c r="E237" s="4"/>
      <c r="F237" s="4"/>
      <c r="G237" s="4"/>
      <c r="H237" s="4"/>
      <c r="I237" s="4"/>
      <c r="J237" s="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25">
      <c r="A238" s="1"/>
      <c r="B238" s="2"/>
      <c r="C238" s="3"/>
      <c r="D238" s="4"/>
      <c r="E238" s="4"/>
      <c r="F238" s="4"/>
      <c r="G238" s="4"/>
      <c r="H238" s="4"/>
      <c r="I238" s="4"/>
      <c r="J238" s="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25">
      <c r="A239" s="1"/>
      <c r="B239" s="2"/>
      <c r="C239" s="3"/>
      <c r="D239" s="4"/>
      <c r="E239" s="4"/>
      <c r="F239" s="4"/>
      <c r="G239" s="4"/>
      <c r="H239" s="4"/>
      <c r="I239" s="4"/>
      <c r="J239" s="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25">
      <c r="A240" s="1"/>
      <c r="B240" s="2"/>
      <c r="C240" s="3"/>
      <c r="D240" s="4"/>
      <c r="E240" s="4"/>
      <c r="F240" s="4"/>
      <c r="G240" s="4"/>
      <c r="H240" s="4"/>
      <c r="I240" s="4"/>
      <c r="J240" s="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25">
      <c r="A241" s="1"/>
      <c r="B241" s="2"/>
      <c r="C241" s="3"/>
      <c r="D241" s="4"/>
      <c r="E241" s="4"/>
      <c r="F241" s="4"/>
      <c r="G241" s="4"/>
      <c r="H241" s="4"/>
      <c r="I241" s="4"/>
      <c r="J241" s="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25">
      <c r="A242" s="1"/>
      <c r="B242" s="2"/>
      <c r="C242" s="3"/>
      <c r="D242" s="4"/>
      <c r="E242" s="4"/>
      <c r="F242" s="4"/>
      <c r="G242" s="4"/>
      <c r="H242" s="4"/>
      <c r="I242" s="4"/>
      <c r="J242" s="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25">
      <c r="A243" s="1"/>
      <c r="B243" s="2"/>
      <c r="C243" s="3"/>
      <c r="D243" s="4"/>
      <c r="E243" s="4"/>
      <c r="F243" s="4"/>
      <c r="G243" s="4"/>
      <c r="H243" s="4"/>
      <c r="I243" s="4"/>
      <c r="J243" s="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25">
      <c r="A244" s="1"/>
      <c r="B244" s="2"/>
      <c r="C244" s="3"/>
      <c r="D244" s="4"/>
      <c r="E244" s="4"/>
      <c r="F244" s="4"/>
      <c r="G244" s="4"/>
      <c r="H244" s="4"/>
      <c r="I244" s="4"/>
      <c r="J244" s="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25">
      <c r="A245" s="1"/>
      <c r="B245" s="2"/>
      <c r="C245" s="3"/>
      <c r="D245" s="4"/>
      <c r="E245" s="4"/>
      <c r="F245" s="4"/>
      <c r="G245" s="4"/>
      <c r="H245" s="4"/>
      <c r="I245" s="4"/>
      <c r="J245" s="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25">
      <c r="A246" s="1"/>
      <c r="B246" s="2"/>
      <c r="C246" s="3"/>
      <c r="D246" s="4"/>
      <c r="E246" s="4"/>
      <c r="F246" s="4"/>
      <c r="G246" s="4"/>
      <c r="H246" s="4"/>
      <c r="I246" s="4"/>
      <c r="J246" s="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25">
      <c r="A247" s="1"/>
      <c r="B247" s="2"/>
      <c r="C247" s="3"/>
      <c r="D247" s="4"/>
      <c r="E247" s="4"/>
      <c r="F247" s="4"/>
      <c r="G247" s="4"/>
      <c r="H247" s="4"/>
      <c r="I247" s="4"/>
      <c r="J247" s="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25">
      <c r="A248" s="1"/>
      <c r="B248" s="2"/>
      <c r="C248" s="3"/>
      <c r="D248" s="4"/>
      <c r="E248" s="4"/>
      <c r="F248" s="4"/>
      <c r="G248" s="4"/>
      <c r="H248" s="4"/>
      <c r="I248" s="4"/>
      <c r="J248" s="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25">
      <c r="A249" s="1"/>
      <c r="B249" s="2"/>
      <c r="C249" s="3"/>
      <c r="D249" s="4"/>
      <c r="E249" s="4"/>
      <c r="F249" s="4"/>
      <c r="G249" s="4"/>
      <c r="H249" s="4"/>
      <c r="I249" s="4"/>
      <c r="J249" s="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25">
      <c r="A250" s="1"/>
      <c r="B250" s="2"/>
      <c r="C250" s="3"/>
      <c r="D250" s="4"/>
      <c r="E250" s="4"/>
      <c r="F250" s="4"/>
      <c r="G250" s="4"/>
      <c r="H250" s="4"/>
      <c r="I250" s="4"/>
      <c r="J250" s="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25">
      <c r="A251" s="1"/>
      <c r="B251" s="2"/>
      <c r="C251" s="3"/>
      <c r="D251" s="4"/>
      <c r="E251" s="4"/>
      <c r="F251" s="4"/>
      <c r="G251" s="4"/>
      <c r="H251" s="4"/>
      <c r="I251" s="4"/>
      <c r="J251" s="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25">
      <c r="A252" s="1"/>
      <c r="B252" s="2"/>
      <c r="C252" s="3"/>
      <c r="D252" s="4"/>
      <c r="E252" s="4"/>
      <c r="F252" s="4"/>
      <c r="G252" s="4"/>
      <c r="H252" s="4"/>
      <c r="I252" s="4"/>
      <c r="J252" s="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25">
      <c r="A253" s="1"/>
      <c r="B253" s="2"/>
      <c r="C253" s="3"/>
      <c r="D253" s="4"/>
      <c r="E253" s="4"/>
      <c r="F253" s="4"/>
      <c r="G253" s="4"/>
      <c r="H253" s="4"/>
      <c r="I253" s="4"/>
      <c r="J253" s="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25">
      <c r="A254" s="1"/>
      <c r="B254" s="2"/>
      <c r="C254" s="3"/>
      <c r="D254" s="4"/>
      <c r="E254" s="4"/>
      <c r="F254" s="4"/>
      <c r="G254" s="4"/>
      <c r="H254" s="4"/>
      <c r="I254" s="4"/>
      <c r="J254" s="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25">
      <c r="A255" s="1"/>
      <c r="B255" s="2"/>
      <c r="C255" s="3"/>
      <c r="D255" s="4"/>
      <c r="E255" s="4"/>
      <c r="F255" s="4"/>
      <c r="G255" s="4"/>
      <c r="H255" s="4"/>
      <c r="I255" s="4"/>
      <c r="J255" s="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25">
      <c r="A256" s="1"/>
      <c r="B256" s="2"/>
      <c r="C256" s="3"/>
      <c r="D256" s="4"/>
      <c r="E256" s="4"/>
      <c r="F256" s="4"/>
      <c r="G256" s="4"/>
      <c r="H256" s="4"/>
      <c r="I256" s="4"/>
      <c r="J256" s="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25">
      <c r="A257" s="1"/>
      <c r="B257" s="2"/>
      <c r="C257" s="3"/>
      <c r="D257" s="4"/>
      <c r="E257" s="4"/>
      <c r="F257" s="4"/>
      <c r="G257" s="4"/>
      <c r="H257" s="4"/>
      <c r="I257" s="4"/>
      <c r="J257" s="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25">
      <c r="A258" s="1"/>
      <c r="B258" s="2"/>
      <c r="C258" s="3"/>
      <c r="D258" s="4"/>
      <c r="E258" s="4"/>
      <c r="F258" s="4"/>
      <c r="G258" s="4"/>
      <c r="H258" s="4"/>
      <c r="I258" s="4"/>
      <c r="J258" s="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25">
      <c r="A259" s="1"/>
      <c r="B259" s="2"/>
      <c r="C259" s="3"/>
      <c r="D259" s="4"/>
      <c r="E259" s="4"/>
      <c r="F259" s="4"/>
      <c r="G259" s="4"/>
      <c r="H259" s="4"/>
      <c r="I259" s="4"/>
      <c r="J259" s="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25">
      <c r="A260" s="1"/>
      <c r="B260" s="2"/>
      <c r="C260" s="3"/>
      <c r="D260" s="4"/>
      <c r="E260" s="4"/>
      <c r="F260" s="4"/>
      <c r="G260" s="4"/>
      <c r="H260" s="4"/>
      <c r="I260" s="4"/>
      <c r="J260" s="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25">
      <c r="A261" s="1"/>
      <c r="B261" s="2"/>
      <c r="C261" s="3"/>
      <c r="D261" s="4"/>
      <c r="E261" s="4"/>
      <c r="F261" s="4"/>
      <c r="G261" s="4"/>
      <c r="H261" s="4"/>
      <c r="I261" s="4"/>
      <c r="J261" s="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25">
      <c r="A262" s="1"/>
      <c r="B262" s="2"/>
      <c r="C262" s="3"/>
      <c r="D262" s="4"/>
      <c r="E262" s="4"/>
      <c r="F262" s="4"/>
      <c r="G262" s="4"/>
      <c r="H262" s="4"/>
      <c r="I262" s="4"/>
      <c r="J262" s="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25">
      <c r="A263" s="1"/>
      <c r="B263" s="2"/>
      <c r="C263" s="3"/>
      <c r="D263" s="4"/>
      <c r="E263" s="4"/>
      <c r="F263" s="4"/>
      <c r="G263" s="4"/>
      <c r="H263" s="4"/>
      <c r="I263" s="4"/>
      <c r="J263" s="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25">
      <c r="A264" s="1"/>
      <c r="B264" s="2"/>
      <c r="C264" s="3"/>
      <c r="D264" s="4"/>
      <c r="E264" s="4"/>
      <c r="F264" s="4"/>
      <c r="G264" s="4"/>
      <c r="H264" s="4"/>
      <c r="I264" s="4"/>
      <c r="J264" s="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25">
      <c r="A265" s="1"/>
      <c r="B265" s="2"/>
      <c r="C265" s="3"/>
      <c r="D265" s="4"/>
      <c r="E265" s="4"/>
      <c r="F265" s="4"/>
      <c r="G265" s="4"/>
      <c r="H265" s="4"/>
      <c r="I265" s="4"/>
      <c r="J265" s="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25">
      <c r="A266" s="1"/>
      <c r="B266" s="2"/>
      <c r="C266" s="3"/>
      <c r="D266" s="4"/>
      <c r="E266" s="4"/>
      <c r="F266" s="4"/>
      <c r="G266" s="4"/>
      <c r="H266" s="4"/>
      <c r="I266" s="4"/>
      <c r="J266" s="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25">
      <c r="A267" s="1"/>
      <c r="B267" s="2"/>
      <c r="C267" s="3"/>
      <c r="D267" s="4"/>
      <c r="E267" s="4"/>
      <c r="F267" s="4"/>
      <c r="G267" s="4"/>
      <c r="H267" s="4"/>
      <c r="I267" s="4"/>
      <c r="J267" s="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25">
      <c r="A268" s="1"/>
      <c r="B268" s="2"/>
      <c r="C268" s="3"/>
      <c r="D268" s="4"/>
      <c r="E268" s="4"/>
      <c r="F268" s="4"/>
      <c r="G268" s="4"/>
      <c r="H268" s="4"/>
      <c r="I268" s="4"/>
      <c r="J268" s="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25">
      <c r="A269" s="1"/>
      <c r="B269" s="2"/>
      <c r="C269" s="3"/>
      <c r="D269" s="4"/>
      <c r="E269" s="4"/>
      <c r="F269" s="4"/>
      <c r="G269" s="4"/>
      <c r="H269" s="4"/>
      <c r="I269" s="4"/>
      <c r="J269" s="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25">
      <c r="A270" s="1"/>
      <c r="B270" s="2"/>
      <c r="C270" s="3"/>
      <c r="D270" s="4"/>
      <c r="E270" s="4"/>
      <c r="F270" s="4"/>
      <c r="G270" s="4"/>
      <c r="H270" s="4"/>
      <c r="I270" s="4"/>
      <c r="J270" s="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25">
      <c r="A271" s="1"/>
      <c r="B271" s="2"/>
      <c r="C271" s="3"/>
      <c r="D271" s="4"/>
      <c r="E271" s="4"/>
      <c r="F271" s="4"/>
      <c r="G271" s="4"/>
      <c r="H271" s="4"/>
      <c r="I271" s="4"/>
      <c r="J271" s="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25">
      <c r="A272" s="1"/>
      <c r="B272" s="2"/>
      <c r="C272" s="3"/>
      <c r="D272" s="4"/>
      <c r="E272" s="4"/>
      <c r="F272" s="4"/>
      <c r="G272" s="4"/>
      <c r="H272" s="4"/>
      <c r="I272" s="4"/>
      <c r="J272" s="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25">
      <c r="A273" s="1"/>
      <c r="B273" s="2"/>
      <c r="C273" s="3"/>
      <c r="D273" s="4"/>
      <c r="E273" s="4"/>
      <c r="F273" s="4"/>
      <c r="G273" s="4"/>
      <c r="H273" s="4"/>
      <c r="I273" s="4"/>
      <c r="J273" s="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25">
      <c r="A274" s="1"/>
      <c r="B274" s="2"/>
      <c r="C274" s="3"/>
      <c r="D274" s="4"/>
      <c r="E274" s="4"/>
      <c r="F274" s="4"/>
      <c r="G274" s="4"/>
      <c r="H274" s="4"/>
      <c r="I274" s="4"/>
      <c r="J274" s="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25">
      <c r="A275" s="1"/>
      <c r="B275" s="2"/>
      <c r="C275" s="3"/>
      <c r="D275" s="4"/>
      <c r="E275" s="4"/>
      <c r="F275" s="4"/>
      <c r="G275" s="4"/>
      <c r="H275" s="4"/>
      <c r="I275" s="4"/>
      <c r="J275" s="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25">
      <c r="A276" s="1"/>
      <c r="B276" s="2"/>
      <c r="C276" s="3"/>
      <c r="D276" s="4"/>
      <c r="E276" s="4"/>
      <c r="F276" s="4"/>
      <c r="G276" s="4"/>
      <c r="H276" s="4"/>
      <c r="I276" s="4"/>
      <c r="J276" s="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25">
      <c r="A277" s="1"/>
      <c r="B277" s="2"/>
      <c r="C277" s="3"/>
      <c r="D277" s="4"/>
      <c r="E277" s="4"/>
      <c r="F277" s="4"/>
      <c r="G277" s="4"/>
      <c r="H277" s="4"/>
      <c r="I277" s="4"/>
      <c r="J277" s="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25">
      <c r="A278" s="1"/>
      <c r="B278" s="2"/>
      <c r="C278" s="3"/>
      <c r="D278" s="4"/>
      <c r="E278" s="4"/>
      <c r="F278" s="4"/>
      <c r="G278" s="4"/>
      <c r="H278" s="4"/>
      <c r="I278" s="4"/>
      <c r="J278" s="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25">
      <c r="A279" s="1"/>
      <c r="B279" s="2"/>
      <c r="C279" s="3"/>
      <c r="D279" s="4"/>
      <c r="E279" s="4"/>
      <c r="F279" s="4"/>
      <c r="G279" s="4"/>
      <c r="H279" s="4"/>
      <c r="I279" s="4"/>
      <c r="J279" s="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25">
      <c r="A280" s="1"/>
      <c r="B280" s="2"/>
      <c r="C280" s="3"/>
      <c r="D280" s="4"/>
      <c r="E280" s="4"/>
      <c r="F280" s="4"/>
      <c r="G280" s="4"/>
      <c r="H280" s="4"/>
      <c r="I280" s="4"/>
      <c r="J280" s="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25">
      <c r="A281" s="1"/>
      <c r="B281" s="2"/>
      <c r="C281" s="3"/>
      <c r="D281" s="4"/>
      <c r="E281" s="4"/>
      <c r="F281" s="4"/>
      <c r="G281" s="4"/>
      <c r="H281" s="4"/>
      <c r="I281" s="4"/>
      <c r="J281" s="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25">
      <c r="A282" s="1"/>
      <c r="B282" s="2"/>
      <c r="C282" s="3"/>
      <c r="D282" s="4"/>
      <c r="E282" s="4"/>
      <c r="F282" s="4"/>
      <c r="G282" s="4"/>
      <c r="H282" s="4"/>
      <c r="I282" s="4"/>
      <c r="J282" s="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25">
      <c r="A283" s="1"/>
      <c r="B283" s="2"/>
      <c r="C283" s="3"/>
      <c r="D283" s="4"/>
      <c r="E283" s="4"/>
      <c r="F283" s="4"/>
      <c r="G283" s="4"/>
      <c r="H283" s="4"/>
      <c r="I283" s="4"/>
      <c r="J283" s="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25">
      <c r="A284" s="1"/>
      <c r="B284" s="2"/>
      <c r="C284" s="3"/>
      <c r="D284" s="4"/>
      <c r="E284" s="4"/>
      <c r="F284" s="4"/>
      <c r="G284" s="4"/>
      <c r="H284" s="4"/>
      <c r="I284" s="4"/>
      <c r="J284" s="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25">
      <c r="A285" s="1"/>
      <c r="B285" s="2"/>
      <c r="C285" s="3"/>
      <c r="D285" s="4"/>
      <c r="E285" s="4"/>
      <c r="F285" s="4"/>
      <c r="G285" s="4"/>
      <c r="H285" s="4"/>
      <c r="I285" s="4"/>
      <c r="J285" s="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25">
      <c r="A286" s="1"/>
      <c r="B286" s="2"/>
      <c r="C286" s="3"/>
      <c r="D286" s="4"/>
      <c r="E286" s="4"/>
      <c r="F286" s="4"/>
      <c r="G286" s="4"/>
      <c r="H286" s="4"/>
      <c r="I286" s="4"/>
      <c r="J286" s="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25">
      <c r="A287" s="1"/>
      <c r="B287" s="2"/>
      <c r="C287" s="3"/>
      <c r="D287" s="4"/>
      <c r="E287" s="4"/>
      <c r="F287" s="4"/>
      <c r="G287" s="4"/>
      <c r="H287" s="4"/>
      <c r="I287" s="4"/>
      <c r="J287" s="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25">
      <c r="A288" s="1"/>
      <c r="B288" s="2"/>
      <c r="C288" s="3"/>
      <c r="D288" s="4"/>
      <c r="E288" s="4"/>
      <c r="F288" s="4"/>
      <c r="G288" s="4"/>
      <c r="H288" s="4"/>
      <c r="I288" s="4"/>
      <c r="J288" s="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25">
      <c r="A289" s="1"/>
      <c r="B289" s="2"/>
      <c r="C289" s="3"/>
      <c r="D289" s="4"/>
      <c r="E289" s="4"/>
      <c r="F289" s="4"/>
      <c r="G289" s="4"/>
      <c r="H289" s="4"/>
      <c r="I289" s="4"/>
      <c r="J289" s="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25">
      <c r="A290" s="1"/>
      <c r="B290" s="2"/>
      <c r="C290" s="3"/>
      <c r="D290" s="4"/>
      <c r="E290" s="4"/>
      <c r="F290" s="4"/>
      <c r="G290" s="4"/>
      <c r="H290" s="4"/>
      <c r="I290" s="4"/>
      <c r="J290" s="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25">
      <c r="A291" s="1"/>
      <c r="B291" s="2"/>
      <c r="C291" s="3"/>
      <c r="D291" s="4"/>
      <c r="E291" s="4"/>
      <c r="F291" s="4"/>
      <c r="G291" s="4"/>
      <c r="H291" s="4"/>
      <c r="I291" s="4"/>
      <c r="J291" s="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25">
      <c r="A292" s="1"/>
      <c r="B292" s="2"/>
      <c r="C292" s="3"/>
      <c r="D292" s="4"/>
      <c r="E292" s="4"/>
      <c r="F292" s="4"/>
      <c r="G292" s="4"/>
      <c r="H292" s="4"/>
      <c r="I292" s="4"/>
      <c r="J292" s="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25">
      <c r="A293" s="1"/>
      <c r="B293" s="2"/>
      <c r="C293" s="3"/>
      <c r="D293" s="4"/>
      <c r="E293" s="4"/>
      <c r="F293" s="4"/>
      <c r="G293" s="4"/>
      <c r="H293" s="4"/>
      <c r="I293" s="4"/>
      <c r="J293" s="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25">
      <c r="A294" s="1"/>
      <c r="B294" s="2"/>
      <c r="C294" s="3"/>
      <c r="D294" s="4"/>
      <c r="E294" s="4"/>
      <c r="F294" s="4"/>
      <c r="G294" s="4"/>
      <c r="H294" s="4"/>
      <c r="I294" s="4"/>
      <c r="J294" s="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25">
      <c r="A295" s="1"/>
      <c r="B295" s="2"/>
      <c r="C295" s="3"/>
      <c r="D295" s="4"/>
      <c r="E295" s="4"/>
      <c r="F295" s="4"/>
      <c r="G295" s="4"/>
      <c r="H295" s="4"/>
      <c r="I295" s="4"/>
      <c r="J295" s="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25">
      <c r="A296" s="1"/>
      <c r="B296" s="2"/>
      <c r="C296" s="3"/>
      <c r="D296" s="4"/>
      <c r="E296" s="4"/>
      <c r="F296" s="4"/>
      <c r="G296" s="4"/>
      <c r="H296" s="4"/>
      <c r="I296" s="4"/>
      <c r="J296" s="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25">
      <c r="A297" s="1"/>
      <c r="B297" s="2"/>
      <c r="C297" s="3"/>
      <c r="D297" s="4"/>
      <c r="E297" s="4"/>
      <c r="F297" s="4"/>
      <c r="G297" s="4"/>
      <c r="H297" s="4"/>
      <c r="I297" s="4"/>
      <c r="J297" s="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25">
      <c r="A298" s="1"/>
      <c r="B298" s="2"/>
      <c r="C298" s="3"/>
      <c r="D298" s="4"/>
      <c r="E298" s="4"/>
      <c r="F298" s="4"/>
      <c r="G298" s="4"/>
      <c r="H298" s="4"/>
      <c r="I298" s="4"/>
      <c r="J298" s="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25">
      <c r="A299" s="1"/>
      <c r="B299" s="2"/>
      <c r="C299" s="3"/>
      <c r="D299" s="4"/>
      <c r="E299" s="4"/>
      <c r="F299" s="4"/>
      <c r="G299" s="4"/>
      <c r="H299" s="4"/>
      <c r="I299" s="4"/>
      <c r="J299" s="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25">
      <c r="A300" s="1"/>
      <c r="B300" s="2"/>
      <c r="C300" s="3"/>
      <c r="D300" s="4"/>
      <c r="E300" s="4"/>
      <c r="F300" s="4"/>
      <c r="G300" s="4"/>
      <c r="H300" s="4"/>
      <c r="I300" s="4"/>
      <c r="J300" s="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25">
      <c r="A301" s="1"/>
      <c r="B301" s="2"/>
      <c r="C301" s="3"/>
      <c r="D301" s="4"/>
      <c r="E301" s="4"/>
      <c r="F301" s="4"/>
      <c r="G301" s="4"/>
      <c r="H301" s="4"/>
      <c r="I301" s="4"/>
      <c r="J301" s="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25">
      <c r="A302" s="1"/>
      <c r="B302" s="2"/>
      <c r="C302" s="3"/>
      <c r="D302" s="4"/>
      <c r="E302" s="4"/>
      <c r="F302" s="4"/>
      <c r="G302" s="4"/>
      <c r="H302" s="4"/>
      <c r="I302" s="4"/>
      <c r="J302" s="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25">
      <c r="A303" s="1"/>
      <c r="B303" s="2"/>
      <c r="C303" s="3"/>
      <c r="D303" s="4"/>
      <c r="E303" s="4"/>
      <c r="F303" s="4"/>
      <c r="G303" s="4"/>
      <c r="H303" s="4"/>
      <c r="I303" s="4"/>
      <c r="J303" s="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25">
      <c r="A304" s="1"/>
      <c r="B304" s="2"/>
      <c r="C304" s="3"/>
      <c r="D304" s="4"/>
      <c r="E304" s="4"/>
      <c r="F304" s="4"/>
      <c r="G304" s="4"/>
      <c r="H304" s="4"/>
      <c r="I304" s="4"/>
      <c r="J304" s="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25">
      <c r="A305" s="1"/>
      <c r="B305" s="2"/>
      <c r="C305" s="3"/>
      <c r="D305" s="4"/>
      <c r="E305" s="4"/>
      <c r="F305" s="4"/>
      <c r="G305" s="4"/>
      <c r="H305" s="4"/>
      <c r="I305" s="4"/>
      <c r="J305" s="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25">
      <c r="A306" s="1"/>
      <c r="B306" s="2"/>
      <c r="C306" s="3"/>
      <c r="D306" s="4"/>
      <c r="E306" s="4"/>
      <c r="F306" s="4"/>
      <c r="G306" s="4"/>
      <c r="H306" s="4"/>
      <c r="I306" s="4"/>
      <c r="J306" s="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25">
      <c r="A307" s="1"/>
      <c r="B307" s="2"/>
      <c r="C307" s="3"/>
      <c r="D307" s="4"/>
      <c r="E307" s="4"/>
      <c r="F307" s="4"/>
      <c r="G307" s="4"/>
      <c r="H307" s="4"/>
      <c r="I307" s="4"/>
      <c r="J307" s="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25">
      <c r="A308" s="1"/>
      <c r="B308" s="2"/>
      <c r="C308" s="3"/>
      <c r="D308" s="4"/>
      <c r="E308" s="4"/>
      <c r="F308" s="4"/>
      <c r="G308" s="4"/>
      <c r="H308" s="4"/>
      <c r="I308" s="4"/>
      <c r="J308" s="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25">
      <c r="A309" s="1"/>
      <c r="B309" s="2"/>
      <c r="C309" s="3"/>
      <c r="D309" s="4"/>
      <c r="E309" s="4"/>
      <c r="F309" s="4"/>
      <c r="G309" s="4"/>
      <c r="H309" s="4"/>
      <c r="I309" s="4"/>
      <c r="J309" s="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25">
      <c r="A310" s="1"/>
      <c r="B310" s="2"/>
      <c r="C310" s="3"/>
      <c r="D310" s="4"/>
      <c r="E310" s="4"/>
      <c r="F310" s="4"/>
      <c r="G310" s="4"/>
      <c r="H310" s="4"/>
      <c r="I310" s="4"/>
      <c r="J310" s="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25">
      <c r="A311" s="1"/>
      <c r="B311" s="2"/>
      <c r="C311" s="3"/>
      <c r="D311" s="4"/>
      <c r="E311" s="4"/>
      <c r="F311" s="4"/>
      <c r="G311" s="4"/>
      <c r="H311" s="4"/>
      <c r="I311" s="4"/>
      <c r="J311" s="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25">
      <c r="A312" s="1"/>
      <c r="B312" s="2"/>
      <c r="C312" s="3"/>
      <c r="D312" s="4"/>
      <c r="E312" s="4"/>
      <c r="F312" s="4"/>
      <c r="G312" s="4"/>
      <c r="H312" s="4"/>
      <c r="I312" s="4"/>
      <c r="J312" s="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25">
      <c r="A313" s="1"/>
      <c r="B313" s="2"/>
      <c r="C313" s="3"/>
      <c r="D313" s="4"/>
      <c r="E313" s="4"/>
      <c r="F313" s="4"/>
      <c r="G313" s="4"/>
      <c r="H313" s="4"/>
      <c r="I313" s="4"/>
      <c r="J313" s="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25">
      <c r="A314" s="1"/>
      <c r="B314" s="2"/>
      <c r="C314" s="3"/>
      <c r="D314" s="4"/>
      <c r="E314" s="4"/>
      <c r="F314" s="4"/>
      <c r="G314" s="4"/>
      <c r="H314" s="4"/>
      <c r="I314" s="4"/>
      <c r="J314" s="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25">
      <c r="A315" s="1"/>
      <c r="B315" s="2"/>
      <c r="C315" s="3"/>
      <c r="D315" s="4"/>
      <c r="E315" s="4"/>
      <c r="F315" s="4"/>
      <c r="G315" s="4"/>
      <c r="H315" s="4"/>
      <c r="I315" s="4"/>
      <c r="J315" s="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25">
      <c r="A316" s="1"/>
      <c r="B316" s="2"/>
      <c r="C316" s="3"/>
      <c r="D316" s="4"/>
      <c r="E316" s="4"/>
      <c r="F316" s="4"/>
      <c r="G316" s="4"/>
      <c r="H316" s="4"/>
      <c r="I316" s="4"/>
      <c r="J316" s="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25">
      <c r="A317" s="1"/>
      <c r="B317" s="2"/>
      <c r="C317" s="3"/>
      <c r="D317" s="4"/>
      <c r="E317" s="4"/>
      <c r="F317" s="4"/>
      <c r="G317" s="4"/>
      <c r="H317" s="4"/>
      <c r="I317" s="4"/>
      <c r="J317" s="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25">
      <c r="A318" s="1"/>
      <c r="B318" s="2"/>
      <c r="C318" s="3"/>
      <c r="D318" s="4"/>
      <c r="E318" s="4"/>
      <c r="F318" s="4"/>
      <c r="G318" s="4"/>
      <c r="H318" s="4"/>
      <c r="I318" s="4"/>
      <c r="J318" s="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25">
      <c r="A319" s="1"/>
      <c r="B319" s="2"/>
      <c r="C319" s="3"/>
      <c r="D319" s="4"/>
      <c r="E319" s="4"/>
      <c r="F319" s="4"/>
      <c r="G319" s="4"/>
      <c r="H319" s="4"/>
      <c r="I319" s="4"/>
      <c r="J319" s="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25">
      <c r="A320" s="1"/>
      <c r="B320" s="2"/>
      <c r="C320" s="3"/>
      <c r="D320" s="4"/>
      <c r="E320" s="4"/>
      <c r="F320" s="4"/>
      <c r="G320" s="4"/>
      <c r="H320" s="4"/>
      <c r="I320" s="4"/>
      <c r="J320" s="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25">
      <c r="A321" s="1"/>
      <c r="B321" s="2"/>
      <c r="C321" s="3"/>
      <c r="D321" s="4"/>
      <c r="E321" s="4"/>
      <c r="F321" s="4"/>
      <c r="G321" s="4"/>
      <c r="H321" s="4"/>
      <c r="I321" s="4"/>
      <c r="J321" s="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25">
      <c r="A322" s="1"/>
      <c r="B322" s="2"/>
      <c r="C322" s="3"/>
      <c r="D322" s="4"/>
      <c r="E322" s="4"/>
      <c r="F322" s="4"/>
      <c r="G322" s="4"/>
      <c r="H322" s="4"/>
      <c r="I322" s="4"/>
      <c r="J322" s="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25">
      <c r="A323" s="1"/>
      <c r="B323" s="2"/>
      <c r="C323" s="3"/>
      <c r="D323" s="4"/>
      <c r="E323" s="4"/>
      <c r="F323" s="4"/>
      <c r="G323" s="4"/>
      <c r="H323" s="4"/>
      <c r="I323" s="4"/>
      <c r="J323" s="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25">
      <c r="A324" s="1"/>
      <c r="B324" s="2"/>
      <c r="C324" s="3"/>
      <c r="D324" s="4"/>
      <c r="E324" s="4"/>
      <c r="F324" s="4"/>
      <c r="G324" s="4"/>
      <c r="H324" s="4"/>
      <c r="I324" s="4"/>
      <c r="J324" s="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25">
      <c r="A325" s="1"/>
      <c r="B325" s="2"/>
      <c r="C325" s="3"/>
      <c r="D325" s="4"/>
      <c r="E325" s="4"/>
      <c r="F325" s="4"/>
      <c r="G325" s="4"/>
      <c r="H325" s="4"/>
      <c r="I325" s="4"/>
      <c r="J325" s="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25">
      <c r="A326" s="1"/>
      <c r="B326" s="2"/>
      <c r="C326" s="3"/>
      <c r="D326" s="4"/>
      <c r="E326" s="4"/>
      <c r="F326" s="4"/>
      <c r="G326" s="4"/>
      <c r="H326" s="4"/>
      <c r="I326" s="4"/>
      <c r="J326" s="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25">
      <c r="A327" s="1"/>
      <c r="B327" s="2"/>
      <c r="C327" s="3"/>
      <c r="D327" s="4"/>
      <c r="E327" s="4"/>
      <c r="F327" s="4"/>
      <c r="G327" s="4"/>
      <c r="H327" s="4"/>
      <c r="I327" s="4"/>
      <c r="J327" s="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25">
      <c r="A328" s="1"/>
      <c r="B328" s="2"/>
      <c r="C328" s="3"/>
      <c r="D328" s="4"/>
      <c r="E328" s="4"/>
      <c r="F328" s="4"/>
      <c r="G328" s="4"/>
      <c r="H328" s="4"/>
      <c r="I328" s="4"/>
      <c r="J328" s="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25">
      <c r="A329" s="1"/>
      <c r="B329" s="2"/>
      <c r="C329" s="3"/>
      <c r="D329" s="4"/>
      <c r="E329" s="4"/>
      <c r="F329" s="4"/>
      <c r="G329" s="4"/>
      <c r="H329" s="4"/>
      <c r="I329" s="4"/>
      <c r="J329" s="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25">
      <c r="A330" s="1"/>
      <c r="B330" s="2"/>
      <c r="C330" s="3"/>
      <c r="D330" s="4"/>
      <c r="E330" s="4"/>
      <c r="F330" s="4"/>
      <c r="G330" s="4"/>
      <c r="H330" s="4"/>
      <c r="I330" s="4"/>
      <c r="J330" s="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25">
      <c r="A331" s="1"/>
      <c r="B331" s="2"/>
      <c r="C331" s="3"/>
      <c r="D331" s="4"/>
      <c r="E331" s="4"/>
      <c r="F331" s="4"/>
      <c r="G331" s="4"/>
      <c r="H331" s="4"/>
      <c r="I331" s="4"/>
      <c r="J331" s="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25">
      <c r="A332" s="1"/>
      <c r="B332" s="2"/>
      <c r="C332" s="3"/>
      <c r="D332" s="4"/>
      <c r="E332" s="4"/>
      <c r="F332" s="4"/>
      <c r="G332" s="4"/>
      <c r="H332" s="4"/>
      <c r="I332" s="4"/>
      <c r="J332" s="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25">
      <c r="A333" s="1"/>
      <c r="B333" s="2"/>
      <c r="C333" s="3"/>
      <c r="D333" s="4"/>
      <c r="E333" s="4"/>
      <c r="F333" s="4"/>
      <c r="G333" s="4"/>
      <c r="H333" s="4"/>
      <c r="I333" s="4"/>
      <c r="J333" s="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25">
      <c r="A334" s="1"/>
      <c r="B334" s="2"/>
      <c r="C334" s="3"/>
      <c r="D334" s="4"/>
      <c r="E334" s="4"/>
      <c r="F334" s="4"/>
      <c r="G334" s="4"/>
      <c r="H334" s="4"/>
      <c r="I334" s="4"/>
      <c r="J334" s="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25">
      <c r="A335" s="1"/>
      <c r="B335" s="2"/>
      <c r="C335" s="3"/>
      <c r="D335" s="4"/>
      <c r="E335" s="4"/>
      <c r="F335" s="4"/>
      <c r="G335" s="4"/>
      <c r="H335" s="4"/>
      <c r="I335" s="4"/>
      <c r="J335" s="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25">
      <c r="A336" s="1"/>
      <c r="B336" s="2"/>
      <c r="C336" s="3"/>
      <c r="D336" s="4"/>
      <c r="E336" s="4"/>
      <c r="F336" s="4"/>
      <c r="G336" s="4"/>
      <c r="H336" s="4"/>
      <c r="I336" s="4"/>
      <c r="J336" s="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25">
      <c r="A337" s="1"/>
      <c r="B337" s="2"/>
      <c r="C337" s="3"/>
      <c r="D337" s="4"/>
      <c r="E337" s="4"/>
      <c r="F337" s="4"/>
      <c r="G337" s="4"/>
      <c r="H337" s="4"/>
      <c r="I337" s="4"/>
      <c r="J337" s="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25">
      <c r="A338" s="1"/>
      <c r="B338" s="2"/>
      <c r="C338" s="3"/>
      <c r="D338" s="4"/>
      <c r="E338" s="4"/>
      <c r="F338" s="4"/>
      <c r="G338" s="4"/>
      <c r="H338" s="4"/>
      <c r="I338" s="4"/>
      <c r="J338" s="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25">
      <c r="A339" s="1"/>
      <c r="B339" s="2"/>
      <c r="C339" s="3"/>
      <c r="D339" s="4"/>
      <c r="E339" s="4"/>
      <c r="F339" s="4"/>
      <c r="G339" s="4"/>
      <c r="H339" s="4"/>
      <c r="I339" s="4"/>
      <c r="J339" s="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25">
      <c r="A340" s="1"/>
      <c r="B340" s="2"/>
      <c r="C340" s="3"/>
      <c r="D340" s="4"/>
      <c r="E340" s="4"/>
      <c r="F340" s="4"/>
      <c r="G340" s="4"/>
      <c r="H340" s="4"/>
      <c r="I340" s="4"/>
      <c r="J340" s="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25">
      <c r="A341" s="1"/>
      <c r="B341" s="2"/>
      <c r="C341" s="3"/>
      <c r="D341" s="4"/>
      <c r="E341" s="4"/>
      <c r="F341" s="4"/>
      <c r="G341" s="4"/>
      <c r="H341" s="4"/>
      <c r="I341" s="4"/>
      <c r="J341" s="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25">
      <c r="A342" s="1"/>
      <c r="B342" s="2"/>
      <c r="C342" s="3"/>
      <c r="D342" s="4"/>
      <c r="E342" s="4"/>
      <c r="F342" s="4"/>
      <c r="G342" s="4"/>
      <c r="H342" s="4"/>
      <c r="I342" s="4"/>
      <c r="J342" s="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25">
      <c r="A343" s="1"/>
      <c r="B343" s="2"/>
      <c r="C343" s="3"/>
      <c r="D343" s="4"/>
      <c r="E343" s="4"/>
      <c r="F343" s="4"/>
      <c r="G343" s="4"/>
      <c r="H343" s="4"/>
      <c r="I343" s="4"/>
      <c r="J343" s="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25">
      <c r="A344" s="1"/>
      <c r="B344" s="2"/>
      <c r="C344" s="3"/>
      <c r="D344" s="4"/>
      <c r="E344" s="4"/>
      <c r="F344" s="4"/>
      <c r="G344" s="4"/>
      <c r="H344" s="4"/>
      <c r="I344" s="4"/>
      <c r="J344" s="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25">
      <c r="A345" s="1"/>
      <c r="B345" s="2"/>
      <c r="C345" s="3"/>
      <c r="D345" s="4"/>
      <c r="E345" s="4"/>
      <c r="F345" s="4"/>
      <c r="G345" s="4"/>
      <c r="H345" s="4"/>
      <c r="I345" s="4"/>
      <c r="J345" s="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25">
      <c r="A346" s="1"/>
      <c r="B346" s="2"/>
      <c r="C346" s="3"/>
      <c r="D346" s="4"/>
      <c r="E346" s="4"/>
      <c r="F346" s="4"/>
      <c r="G346" s="4"/>
      <c r="H346" s="4"/>
      <c r="I346" s="4"/>
      <c r="J346" s="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25">
      <c r="A347" s="1"/>
      <c r="B347" s="2"/>
      <c r="C347" s="3"/>
      <c r="D347" s="4"/>
      <c r="E347" s="4"/>
      <c r="F347" s="4"/>
      <c r="G347" s="4"/>
      <c r="H347" s="4"/>
      <c r="I347" s="4"/>
      <c r="J347" s="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25">
      <c r="A348" s="1"/>
      <c r="B348" s="2"/>
      <c r="C348" s="3"/>
      <c r="D348" s="4"/>
      <c r="E348" s="4"/>
      <c r="F348" s="4"/>
      <c r="G348" s="4"/>
      <c r="H348" s="4"/>
      <c r="I348" s="4"/>
      <c r="J348" s="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25">
      <c r="A349" s="1"/>
      <c r="B349" s="2"/>
      <c r="C349" s="3"/>
      <c r="D349" s="4"/>
      <c r="E349" s="4"/>
      <c r="F349" s="4"/>
      <c r="G349" s="4"/>
      <c r="H349" s="4"/>
      <c r="I349" s="4"/>
      <c r="J349" s="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25">
      <c r="A350" s="1"/>
      <c r="B350" s="2"/>
      <c r="C350" s="3"/>
      <c r="D350" s="4"/>
      <c r="E350" s="4"/>
      <c r="F350" s="4"/>
      <c r="G350" s="4"/>
      <c r="H350" s="4"/>
      <c r="I350" s="4"/>
      <c r="J350" s="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25">
      <c r="A351" s="1"/>
      <c r="B351" s="2"/>
      <c r="C351" s="3"/>
      <c r="D351" s="4"/>
      <c r="E351" s="4"/>
      <c r="F351" s="4"/>
      <c r="G351" s="4"/>
      <c r="H351" s="4"/>
      <c r="I351" s="4"/>
      <c r="J351" s="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25">
      <c r="A352" s="1"/>
      <c r="B352" s="2"/>
      <c r="C352" s="3"/>
      <c r="D352" s="4"/>
      <c r="E352" s="4"/>
      <c r="F352" s="4"/>
      <c r="G352" s="4"/>
      <c r="H352" s="4"/>
      <c r="I352" s="4"/>
      <c r="J352" s="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25">
      <c r="A353" s="1"/>
      <c r="B353" s="2"/>
      <c r="C353" s="3"/>
      <c r="D353" s="4"/>
      <c r="E353" s="4"/>
      <c r="F353" s="4"/>
      <c r="G353" s="4"/>
      <c r="H353" s="4"/>
      <c r="I353" s="4"/>
      <c r="J353" s="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25">
      <c r="A354" s="1"/>
      <c r="B354" s="2"/>
      <c r="C354" s="3"/>
      <c r="D354" s="4"/>
      <c r="E354" s="4"/>
      <c r="F354" s="4"/>
      <c r="G354" s="4"/>
      <c r="H354" s="4"/>
      <c r="I354" s="4"/>
      <c r="J354" s="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25">
      <c r="A355" s="1"/>
      <c r="B355" s="2"/>
      <c r="C355" s="3"/>
      <c r="D355" s="4"/>
      <c r="E355" s="4"/>
      <c r="F355" s="4"/>
      <c r="G355" s="4"/>
      <c r="H355" s="4"/>
      <c r="I355" s="4"/>
      <c r="J355" s="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25">
      <c r="A356" s="1"/>
      <c r="B356" s="2"/>
      <c r="C356" s="3"/>
      <c r="D356" s="4"/>
      <c r="E356" s="4"/>
      <c r="F356" s="4"/>
      <c r="G356" s="4"/>
      <c r="H356" s="4"/>
      <c r="I356" s="4"/>
      <c r="J356" s="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25">
      <c r="A357" s="1"/>
      <c r="B357" s="2"/>
      <c r="C357" s="3"/>
      <c r="D357" s="4"/>
      <c r="E357" s="4"/>
      <c r="F357" s="4"/>
      <c r="G357" s="4"/>
      <c r="H357" s="4"/>
      <c r="I357" s="4"/>
      <c r="J357" s="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25">
      <c r="A358" s="1"/>
      <c r="B358" s="2"/>
      <c r="C358" s="3"/>
      <c r="D358" s="4"/>
      <c r="E358" s="4"/>
      <c r="F358" s="4"/>
      <c r="G358" s="4"/>
      <c r="H358" s="4"/>
      <c r="I358" s="4"/>
      <c r="J358" s="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25">
      <c r="A359" s="1"/>
      <c r="B359" s="2"/>
      <c r="C359" s="3"/>
      <c r="D359" s="4"/>
      <c r="E359" s="4"/>
      <c r="F359" s="4"/>
      <c r="G359" s="4"/>
      <c r="H359" s="4"/>
      <c r="I359" s="4"/>
      <c r="J359" s="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25">
      <c r="A360" s="1"/>
      <c r="B360" s="2"/>
      <c r="C360" s="3"/>
      <c r="D360" s="4"/>
      <c r="E360" s="4"/>
      <c r="F360" s="4"/>
      <c r="G360" s="4"/>
      <c r="H360" s="4"/>
      <c r="I360" s="4"/>
      <c r="J360" s="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25">
      <c r="A361" s="1"/>
      <c r="B361" s="2"/>
      <c r="C361" s="3"/>
      <c r="D361" s="4"/>
      <c r="E361" s="4"/>
      <c r="F361" s="4"/>
      <c r="G361" s="4"/>
      <c r="H361" s="4"/>
      <c r="I361" s="4"/>
      <c r="J361" s="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25">
      <c r="A362" s="1"/>
      <c r="B362" s="2"/>
      <c r="C362" s="3"/>
      <c r="D362" s="4"/>
      <c r="E362" s="4"/>
      <c r="F362" s="4"/>
      <c r="G362" s="4"/>
      <c r="H362" s="4"/>
      <c r="I362" s="4"/>
      <c r="J362" s="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25">
      <c r="A363" s="1"/>
      <c r="B363" s="2"/>
      <c r="C363" s="3"/>
      <c r="D363" s="4"/>
      <c r="E363" s="4"/>
      <c r="F363" s="4"/>
      <c r="G363" s="4"/>
      <c r="H363" s="4"/>
      <c r="I363" s="4"/>
      <c r="J363" s="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25">
      <c r="A364" s="1"/>
      <c r="B364" s="2"/>
      <c r="C364" s="3"/>
      <c r="D364" s="4"/>
      <c r="E364" s="4"/>
      <c r="F364" s="4"/>
      <c r="G364" s="4"/>
      <c r="H364" s="4"/>
      <c r="I364" s="4"/>
      <c r="J364" s="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25">
      <c r="A365" s="1"/>
      <c r="B365" s="2"/>
      <c r="C365" s="3"/>
      <c r="D365" s="4"/>
      <c r="E365" s="4"/>
      <c r="F365" s="4"/>
      <c r="G365" s="4"/>
      <c r="H365" s="4"/>
      <c r="I365" s="4"/>
      <c r="J365" s="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25">
      <c r="A366" s="1"/>
      <c r="B366" s="2"/>
      <c r="C366" s="3"/>
      <c r="D366" s="4"/>
      <c r="E366" s="4"/>
      <c r="F366" s="4"/>
      <c r="G366" s="4"/>
      <c r="H366" s="4"/>
      <c r="I366" s="4"/>
      <c r="J366" s="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25">
      <c r="A367" s="1"/>
      <c r="B367" s="2"/>
      <c r="C367" s="3"/>
      <c r="D367" s="4"/>
      <c r="E367" s="4"/>
      <c r="F367" s="4"/>
      <c r="G367" s="4"/>
      <c r="H367" s="4"/>
      <c r="I367" s="4"/>
      <c r="J367" s="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25">
      <c r="A368" s="1"/>
      <c r="B368" s="2"/>
      <c r="C368" s="3"/>
      <c r="D368" s="4"/>
      <c r="E368" s="4"/>
      <c r="F368" s="4"/>
      <c r="G368" s="4"/>
      <c r="H368" s="4"/>
      <c r="I368" s="4"/>
      <c r="J368" s="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25">
      <c r="A369" s="1"/>
      <c r="B369" s="2"/>
      <c r="C369" s="3"/>
      <c r="D369" s="4"/>
      <c r="E369" s="4"/>
      <c r="F369" s="4"/>
      <c r="G369" s="4"/>
      <c r="H369" s="4"/>
      <c r="I369" s="4"/>
      <c r="J369" s="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25">
      <c r="A370" s="1"/>
      <c r="B370" s="2"/>
      <c r="C370" s="3"/>
      <c r="D370" s="4"/>
      <c r="E370" s="4"/>
      <c r="F370" s="4"/>
      <c r="G370" s="4"/>
      <c r="H370" s="4"/>
      <c r="I370" s="4"/>
      <c r="J370" s="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25">
      <c r="A371" s="1"/>
      <c r="B371" s="2"/>
      <c r="C371" s="3"/>
      <c r="D371" s="4"/>
      <c r="E371" s="4"/>
      <c r="F371" s="4"/>
      <c r="G371" s="4"/>
      <c r="H371" s="4"/>
      <c r="I371" s="4"/>
      <c r="J371" s="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25">
      <c r="A372" s="1"/>
      <c r="B372" s="2"/>
      <c r="C372" s="3"/>
      <c r="D372" s="4"/>
      <c r="E372" s="4"/>
      <c r="F372" s="4"/>
      <c r="G372" s="4"/>
      <c r="H372" s="4"/>
      <c r="I372" s="4"/>
      <c r="J372" s="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25">
      <c r="A373" s="1"/>
      <c r="B373" s="2"/>
      <c r="C373" s="3"/>
      <c r="D373" s="4"/>
      <c r="E373" s="4"/>
      <c r="F373" s="4"/>
      <c r="G373" s="4"/>
      <c r="H373" s="4"/>
      <c r="I373" s="4"/>
      <c r="J373" s="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25">
      <c r="A374" s="1"/>
      <c r="B374" s="2"/>
      <c r="C374" s="3"/>
      <c r="D374" s="4"/>
      <c r="E374" s="4"/>
      <c r="F374" s="4"/>
      <c r="G374" s="4"/>
      <c r="H374" s="4"/>
      <c r="I374" s="4"/>
      <c r="J374" s="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25">
      <c r="A375" s="1"/>
      <c r="B375" s="2"/>
      <c r="C375" s="3"/>
      <c r="D375" s="4"/>
      <c r="E375" s="4"/>
      <c r="F375" s="4"/>
      <c r="G375" s="4"/>
      <c r="H375" s="4"/>
      <c r="I375" s="4"/>
      <c r="J375" s="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25">
      <c r="A376" s="1"/>
      <c r="B376" s="2"/>
      <c r="C376" s="3"/>
      <c r="D376" s="4"/>
      <c r="E376" s="4"/>
      <c r="F376" s="4"/>
      <c r="G376" s="4"/>
      <c r="H376" s="4"/>
      <c r="I376" s="4"/>
      <c r="J376" s="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25">
      <c r="A377" s="1"/>
      <c r="B377" s="2"/>
      <c r="C377" s="3"/>
      <c r="D377" s="4"/>
      <c r="E377" s="4"/>
      <c r="F377" s="4"/>
      <c r="G377" s="4"/>
      <c r="H377" s="4"/>
      <c r="I377" s="4"/>
      <c r="J377" s="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25">
      <c r="A378" s="1"/>
      <c r="B378" s="2"/>
      <c r="C378" s="3"/>
      <c r="D378" s="4"/>
      <c r="E378" s="4"/>
      <c r="F378" s="4"/>
      <c r="G378" s="4"/>
      <c r="H378" s="4"/>
      <c r="I378" s="4"/>
      <c r="J378" s="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25">
      <c r="A379" s="1"/>
      <c r="B379" s="2"/>
      <c r="C379" s="3"/>
      <c r="D379" s="4"/>
      <c r="E379" s="4"/>
      <c r="F379" s="4"/>
      <c r="G379" s="4"/>
      <c r="H379" s="4"/>
      <c r="I379" s="4"/>
      <c r="J379" s="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25">
      <c r="A380" s="1"/>
      <c r="B380" s="2"/>
      <c r="C380" s="3"/>
      <c r="D380" s="4"/>
      <c r="E380" s="4"/>
      <c r="F380" s="4"/>
      <c r="G380" s="4"/>
      <c r="H380" s="4"/>
      <c r="I380" s="4"/>
      <c r="J380" s="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25">
      <c r="A381" s="1"/>
      <c r="B381" s="2"/>
      <c r="C381" s="3"/>
      <c r="D381" s="4"/>
      <c r="E381" s="4"/>
      <c r="F381" s="4"/>
      <c r="G381" s="4"/>
      <c r="H381" s="4"/>
      <c r="I381" s="4"/>
      <c r="J381" s="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25">
      <c r="A382" s="1"/>
      <c r="B382" s="2"/>
      <c r="C382" s="3"/>
      <c r="D382" s="4"/>
      <c r="E382" s="4"/>
      <c r="F382" s="4"/>
      <c r="G382" s="4"/>
      <c r="H382" s="4"/>
      <c r="I382" s="4"/>
      <c r="J382" s="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25">
      <c r="A383" s="1"/>
      <c r="B383" s="2"/>
      <c r="C383" s="3"/>
      <c r="D383" s="4"/>
      <c r="E383" s="4"/>
      <c r="F383" s="4"/>
      <c r="G383" s="4"/>
      <c r="H383" s="4"/>
      <c r="I383" s="4"/>
      <c r="J383" s="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25">
      <c r="A384" s="1"/>
      <c r="B384" s="2"/>
      <c r="C384" s="3"/>
      <c r="D384" s="4"/>
      <c r="E384" s="4"/>
      <c r="F384" s="4"/>
      <c r="G384" s="4"/>
      <c r="H384" s="4"/>
      <c r="I384" s="4"/>
      <c r="J384" s="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25">
      <c r="A385" s="1"/>
      <c r="B385" s="2"/>
      <c r="C385" s="3"/>
      <c r="D385" s="4"/>
      <c r="E385" s="4"/>
      <c r="F385" s="4"/>
      <c r="G385" s="4"/>
      <c r="H385" s="4"/>
      <c r="I385" s="4"/>
      <c r="J385" s="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25">
      <c r="A386" s="1"/>
      <c r="B386" s="2"/>
      <c r="C386" s="3"/>
      <c r="D386" s="4"/>
      <c r="E386" s="4"/>
      <c r="F386" s="4"/>
      <c r="G386" s="4"/>
      <c r="H386" s="4"/>
      <c r="I386" s="4"/>
      <c r="J386" s="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25">
      <c r="A387" s="1"/>
      <c r="B387" s="2"/>
      <c r="C387" s="3"/>
      <c r="D387" s="4"/>
      <c r="E387" s="4"/>
      <c r="F387" s="4"/>
      <c r="G387" s="4"/>
      <c r="H387" s="4"/>
      <c r="I387" s="4"/>
      <c r="J387" s="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25">
      <c r="A388" s="1"/>
      <c r="B388" s="2"/>
      <c r="C388" s="3"/>
      <c r="D388" s="4"/>
      <c r="E388" s="4"/>
      <c r="F388" s="4"/>
      <c r="G388" s="4"/>
      <c r="H388" s="4"/>
      <c r="I388" s="4"/>
      <c r="J388" s="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25">
      <c r="A389" s="1"/>
      <c r="B389" s="2"/>
      <c r="C389" s="3"/>
      <c r="D389" s="4"/>
      <c r="E389" s="4"/>
      <c r="F389" s="4"/>
      <c r="G389" s="4"/>
      <c r="H389" s="4"/>
      <c r="I389" s="4"/>
      <c r="J389" s="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25">
      <c r="A390" s="1"/>
      <c r="B390" s="2"/>
      <c r="C390" s="3"/>
      <c r="D390" s="4"/>
      <c r="E390" s="4"/>
      <c r="F390" s="4"/>
      <c r="G390" s="4"/>
      <c r="H390" s="4"/>
      <c r="I390" s="4"/>
      <c r="J390" s="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25">
      <c r="A391" s="1"/>
      <c r="B391" s="2"/>
      <c r="C391" s="3"/>
      <c r="D391" s="4"/>
      <c r="E391" s="4"/>
      <c r="F391" s="4"/>
      <c r="G391" s="4"/>
      <c r="H391" s="4"/>
      <c r="I391" s="4"/>
      <c r="J391" s="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25">
      <c r="A392" s="1"/>
      <c r="B392" s="2"/>
      <c r="C392" s="3"/>
      <c r="D392" s="4"/>
      <c r="E392" s="4"/>
      <c r="F392" s="4"/>
      <c r="G392" s="4"/>
      <c r="H392" s="4"/>
      <c r="I392" s="4"/>
      <c r="J392" s="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25">
      <c r="A393" s="1"/>
      <c r="B393" s="2"/>
      <c r="C393" s="3"/>
      <c r="D393" s="4"/>
      <c r="E393" s="4"/>
      <c r="F393" s="4"/>
      <c r="G393" s="4"/>
      <c r="H393" s="4"/>
      <c r="I393" s="4"/>
      <c r="J393" s="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25">
      <c r="A394" s="1"/>
      <c r="B394" s="2"/>
      <c r="C394" s="3"/>
      <c r="D394" s="4"/>
      <c r="E394" s="4"/>
      <c r="F394" s="4"/>
      <c r="G394" s="4"/>
      <c r="H394" s="4"/>
      <c r="I394" s="4"/>
      <c r="J394" s="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25">
      <c r="A395" s="1"/>
      <c r="B395" s="2"/>
      <c r="C395" s="3"/>
      <c r="D395" s="4"/>
      <c r="E395" s="4"/>
      <c r="F395" s="4"/>
      <c r="G395" s="4"/>
      <c r="H395" s="4"/>
      <c r="I395" s="4"/>
      <c r="J395" s="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25">
      <c r="A396" s="1"/>
      <c r="B396" s="2"/>
      <c r="C396" s="3"/>
      <c r="D396" s="4"/>
      <c r="E396" s="4"/>
      <c r="F396" s="4"/>
      <c r="G396" s="4"/>
      <c r="H396" s="4"/>
      <c r="I396" s="4"/>
      <c r="J396" s="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25">
      <c r="A397" s="1"/>
      <c r="B397" s="2"/>
      <c r="C397" s="3"/>
      <c r="D397" s="4"/>
      <c r="E397" s="4"/>
      <c r="F397" s="4"/>
      <c r="G397" s="4"/>
      <c r="H397" s="4"/>
      <c r="I397" s="4"/>
      <c r="J397" s="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25">
      <c r="A398" s="1"/>
      <c r="B398" s="2"/>
      <c r="C398" s="3"/>
      <c r="D398" s="4"/>
      <c r="E398" s="4"/>
      <c r="F398" s="4"/>
      <c r="G398" s="4"/>
      <c r="H398" s="4"/>
      <c r="I398" s="4"/>
      <c r="J398" s="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25">
      <c r="A399" s="1"/>
      <c r="B399" s="2"/>
      <c r="C399" s="3"/>
      <c r="D399" s="4"/>
      <c r="E399" s="4"/>
      <c r="F399" s="4"/>
      <c r="G399" s="4"/>
      <c r="H399" s="4"/>
      <c r="I399" s="4"/>
      <c r="J399" s="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25">
      <c r="A400" s="1"/>
      <c r="B400" s="2"/>
      <c r="C400" s="3"/>
      <c r="D400" s="4"/>
      <c r="E400" s="4"/>
      <c r="F400" s="4"/>
      <c r="G400" s="4"/>
      <c r="H400" s="4"/>
      <c r="I400" s="4"/>
      <c r="J400" s="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25">
      <c r="A401" s="1"/>
      <c r="B401" s="2"/>
      <c r="C401" s="3"/>
      <c r="D401" s="4"/>
      <c r="E401" s="4"/>
      <c r="F401" s="4"/>
      <c r="G401" s="4"/>
      <c r="H401" s="4"/>
      <c r="I401" s="4"/>
      <c r="J401" s="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25">
      <c r="A402" s="1"/>
      <c r="B402" s="2"/>
      <c r="C402" s="3"/>
      <c r="D402" s="4"/>
      <c r="E402" s="4"/>
      <c r="F402" s="4"/>
      <c r="G402" s="4"/>
      <c r="H402" s="4"/>
      <c r="I402" s="4"/>
      <c r="J402" s="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25">
      <c r="A403" s="1"/>
      <c r="B403" s="2"/>
      <c r="C403" s="3"/>
      <c r="D403" s="4"/>
      <c r="E403" s="4"/>
      <c r="F403" s="4"/>
      <c r="G403" s="4"/>
      <c r="H403" s="4"/>
      <c r="I403" s="4"/>
      <c r="J403" s="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25">
      <c r="A404" s="1"/>
      <c r="B404" s="2"/>
      <c r="C404" s="3"/>
      <c r="D404" s="4"/>
      <c r="E404" s="4"/>
      <c r="F404" s="4"/>
      <c r="G404" s="4"/>
      <c r="H404" s="4"/>
      <c r="I404" s="4"/>
      <c r="J404" s="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25">
      <c r="A405" s="1"/>
      <c r="B405" s="2"/>
      <c r="C405" s="3"/>
      <c r="D405" s="4"/>
      <c r="E405" s="4"/>
      <c r="F405" s="4"/>
      <c r="G405" s="4"/>
      <c r="H405" s="4"/>
      <c r="I405" s="4"/>
      <c r="J405" s="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25">
      <c r="A406" s="1"/>
      <c r="B406" s="2"/>
      <c r="C406" s="3"/>
      <c r="D406" s="4"/>
      <c r="E406" s="4"/>
      <c r="F406" s="4"/>
      <c r="G406" s="4"/>
      <c r="H406" s="4"/>
      <c r="I406" s="4"/>
      <c r="J406" s="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25">
      <c r="A407" s="1"/>
      <c r="B407" s="2"/>
      <c r="C407" s="3"/>
      <c r="D407" s="4"/>
      <c r="E407" s="4"/>
      <c r="F407" s="4"/>
      <c r="G407" s="4"/>
      <c r="H407" s="4"/>
      <c r="I407" s="4"/>
      <c r="J407" s="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25">
      <c r="A408" s="1"/>
      <c r="B408" s="2"/>
      <c r="C408" s="3"/>
      <c r="D408" s="4"/>
      <c r="E408" s="4"/>
      <c r="F408" s="4"/>
      <c r="G408" s="4"/>
      <c r="H408" s="4"/>
      <c r="I408" s="4"/>
      <c r="J408" s="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25">
      <c r="A409" s="1"/>
      <c r="B409" s="2"/>
      <c r="C409" s="3"/>
      <c r="D409" s="4"/>
      <c r="E409" s="4"/>
      <c r="F409" s="4"/>
      <c r="G409" s="4"/>
      <c r="H409" s="4"/>
      <c r="I409" s="4"/>
      <c r="J409" s="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25">
      <c r="A410" s="1"/>
      <c r="B410" s="2"/>
      <c r="C410" s="3"/>
      <c r="D410" s="4"/>
      <c r="E410" s="4"/>
      <c r="F410" s="4"/>
      <c r="G410" s="4"/>
      <c r="H410" s="4"/>
      <c r="I410" s="4"/>
      <c r="J410" s="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25">
      <c r="A411" s="1"/>
      <c r="B411" s="2"/>
      <c r="C411" s="3"/>
      <c r="D411" s="4"/>
      <c r="E411" s="4"/>
      <c r="F411" s="4"/>
      <c r="G411" s="4"/>
      <c r="H411" s="4"/>
      <c r="I411" s="4"/>
      <c r="J411" s="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25">
      <c r="A412" s="1"/>
      <c r="B412" s="2"/>
      <c r="C412" s="3"/>
      <c r="D412" s="4"/>
      <c r="E412" s="4"/>
      <c r="F412" s="4"/>
      <c r="G412" s="4"/>
      <c r="H412" s="4"/>
      <c r="I412" s="4"/>
      <c r="J412" s="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25">
      <c r="A413" s="1"/>
      <c r="B413" s="2"/>
      <c r="C413" s="3"/>
      <c r="D413" s="4"/>
      <c r="E413" s="4"/>
      <c r="F413" s="4"/>
      <c r="G413" s="4"/>
      <c r="H413" s="4"/>
      <c r="I413" s="4"/>
      <c r="J413" s="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25">
      <c r="A414" s="1"/>
      <c r="B414" s="2"/>
      <c r="C414" s="3"/>
      <c r="D414" s="4"/>
      <c r="E414" s="4"/>
      <c r="F414" s="4"/>
      <c r="G414" s="4"/>
      <c r="H414" s="4"/>
      <c r="I414" s="4"/>
      <c r="J414" s="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25">
      <c r="A415" s="1"/>
      <c r="B415" s="2"/>
      <c r="C415" s="3"/>
      <c r="D415" s="4"/>
      <c r="E415" s="4"/>
      <c r="F415" s="4"/>
      <c r="G415" s="4"/>
      <c r="H415" s="4"/>
      <c r="I415" s="4"/>
      <c r="J415" s="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25">
      <c r="A416" s="1"/>
      <c r="B416" s="2"/>
      <c r="C416" s="3"/>
      <c r="D416" s="4"/>
      <c r="E416" s="4"/>
      <c r="F416" s="4"/>
      <c r="G416" s="4"/>
      <c r="H416" s="4"/>
      <c r="I416" s="4"/>
      <c r="J416" s="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25">
      <c r="A417" s="1"/>
      <c r="B417" s="2"/>
      <c r="C417" s="3"/>
      <c r="D417" s="4"/>
      <c r="E417" s="4"/>
      <c r="F417" s="4"/>
      <c r="G417" s="4"/>
      <c r="H417" s="4"/>
      <c r="I417" s="4"/>
      <c r="J417" s="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25">
      <c r="A418" s="1"/>
      <c r="B418" s="2"/>
      <c r="C418" s="3"/>
      <c r="D418" s="4"/>
      <c r="E418" s="4"/>
      <c r="F418" s="4"/>
      <c r="G418" s="4"/>
      <c r="H418" s="4"/>
      <c r="I418" s="4"/>
      <c r="J418" s="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25">
      <c r="A419" s="1"/>
      <c r="B419" s="2"/>
      <c r="C419" s="3"/>
      <c r="D419" s="4"/>
      <c r="E419" s="4"/>
      <c r="F419" s="4"/>
      <c r="G419" s="4"/>
      <c r="H419" s="4"/>
      <c r="I419" s="4"/>
      <c r="J419" s="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25">
      <c r="A420" s="1"/>
      <c r="B420" s="2"/>
      <c r="C420" s="3"/>
      <c r="D420" s="4"/>
      <c r="E420" s="4"/>
      <c r="F420" s="4"/>
      <c r="G420" s="4"/>
      <c r="H420" s="4"/>
      <c r="I420" s="4"/>
      <c r="J420" s="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25">
      <c r="A421" s="1"/>
      <c r="B421" s="2"/>
      <c r="C421" s="3"/>
      <c r="D421" s="4"/>
      <c r="E421" s="4"/>
      <c r="F421" s="4"/>
      <c r="G421" s="4"/>
      <c r="H421" s="4"/>
      <c r="I421" s="4"/>
      <c r="J421" s="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25">
      <c r="A422" s="1"/>
      <c r="B422" s="2"/>
      <c r="C422" s="3"/>
      <c r="D422" s="4"/>
      <c r="E422" s="4"/>
      <c r="F422" s="4"/>
      <c r="G422" s="4"/>
      <c r="H422" s="4"/>
      <c r="I422" s="4"/>
      <c r="J422" s="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25">
      <c r="A423" s="1"/>
      <c r="B423" s="2"/>
      <c r="C423" s="3"/>
      <c r="D423" s="4"/>
      <c r="E423" s="4"/>
      <c r="F423" s="4"/>
      <c r="G423" s="4"/>
      <c r="H423" s="4"/>
      <c r="I423" s="4"/>
      <c r="J423" s="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25">
      <c r="A424" s="1"/>
      <c r="B424" s="2"/>
      <c r="C424" s="3"/>
      <c r="D424" s="4"/>
      <c r="E424" s="4"/>
      <c r="F424" s="4"/>
      <c r="G424" s="4"/>
      <c r="H424" s="4"/>
      <c r="I424" s="4"/>
      <c r="J424" s="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25">
      <c r="A425" s="1"/>
      <c r="B425" s="2"/>
      <c r="C425" s="3"/>
      <c r="D425" s="4"/>
      <c r="E425" s="4"/>
      <c r="F425" s="4"/>
      <c r="G425" s="4"/>
      <c r="H425" s="4"/>
      <c r="I425" s="4"/>
      <c r="J425" s="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25">
      <c r="A426" s="1"/>
      <c r="B426" s="2"/>
      <c r="C426" s="3"/>
      <c r="D426" s="4"/>
      <c r="E426" s="4"/>
      <c r="F426" s="4"/>
      <c r="G426" s="4"/>
      <c r="H426" s="4"/>
      <c r="I426" s="4"/>
      <c r="J426" s="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25">
      <c r="A427" s="1"/>
      <c r="B427" s="2"/>
      <c r="C427" s="3"/>
      <c r="D427" s="4"/>
      <c r="E427" s="4"/>
      <c r="F427" s="4"/>
      <c r="G427" s="4"/>
      <c r="H427" s="4"/>
      <c r="I427" s="4"/>
      <c r="J427" s="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25">
      <c r="A428" s="1"/>
      <c r="B428" s="2"/>
      <c r="C428" s="3"/>
      <c r="D428" s="4"/>
      <c r="E428" s="4"/>
      <c r="F428" s="4"/>
      <c r="G428" s="4"/>
      <c r="H428" s="4"/>
      <c r="I428" s="4"/>
      <c r="J428" s="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25">
      <c r="A429" s="1"/>
      <c r="B429" s="2"/>
      <c r="C429" s="3"/>
      <c r="D429" s="4"/>
      <c r="E429" s="4"/>
      <c r="F429" s="4"/>
      <c r="G429" s="4"/>
      <c r="H429" s="4"/>
      <c r="I429" s="4"/>
      <c r="J429" s="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25">
      <c r="A430" s="1"/>
      <c r="B430" s="2"/>
      <c r="C430" s="3"/>
      <c r="D430" s="4"/>
      <c r="E430" s="4"/>
      <c r="F430" s="4"/>
      <c r="G430" s="4"/>
      <c r="H430" s="4"/>
      <c r="I430" s="4"/>
      <c r="J430" s="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25">
      <c r="A431" s="1"/>
      <c r="B431" s="2"/>
      <c r="C431" s="3"/>
      <c r="D431" s="4"/>
      <c r="E431" s="4"/>
      <c r="F431" s="4"/>
      <c r="G431" s="4"/>
      <c r="H431" s="4"/>
      <c r="I431" s="4"/>
      <c r="J431" s="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25">
      <c r="A432" s="1"/>
      <c r="B432" s="2"/>
      <c r="C432" s="3"/>
      <c r="D432" s="4"/>
      <c r="E432" s="4"/>
      <c r="F432" s="4"/>
      <c r="G432" s="4"/>
      <c r="H432" s="4"/>
      <c r="I432" s="4"/>
      <c r="J432" s="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25">
      <c r="A433" s="1"/>
      <c r="B433" s="2"/>
      <c r="C433" s="3"/>
      <c r="D433" s="4"/>
      <c r="E433" s="4"/>
      <c r="F433" s="4"/>
      <c r="G433" s="4"/>
      <c r="H433" s="4"/>
      <c r="I433" s="4"/>
      <c r="J433" s="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25">
      <c r="A434" s="1"/>
      <c r="B434" s="2"/>
      <c r="C434" s="3"/>
      <c r="D434" s="4"/>
      <c r="E434" s="4"/>
      <c r="F434" s="4"/>
      <c r="G434" s="4"/>
      <c r="H434" s="4"/>
      <c r="I434" s="4"/>
      <c r="J434" s="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25">
      <c r="A435" s="1"/>
      <c r="B435" s="2"/>
      <c r="C435" s="3"/>
      <c r="D435" s="4"/>
      <c r="E435" s="4"/>
      <c r="F435" s="4"/>
      <c r="G435" s="4"/>
      <c r="H435" s="4"/>
      <c r="I435" s="4"/>
      <c r="J435" s="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25">
      <c r="A436" s="1"/>
      <c r="B436" s="2"/>
      <c r="C436" s="3"/>
      <c r="D436" s="4"/>
      <c r="E436" s="4"/>
      <c r="F436" s="4"/>
      <c r="G436" s="4"/>
      <c r="H436" s="4"/>
      <c r="I436" s="4"/>
      <c r="J436" s="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25">
      <c r="A437" s="1"/>
      <c r="B437" s="2"/>
      <c r="C437" s="3"/>
      <c r="D437" s="4"/>
      <c r="E437" s="4"/>
      <c r="F437" s="4"/>
      <c r="G437" s="4"/>
      <c r="H437" s="4"/>
      <c r="I437" s="4"/>
      <c r="J437" s="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25">
      <c r="A438" s="1"/>
      <c r="B438" s="2"/>
      <c r="C438" s="3"/>
      <c r="D438" s="4"/>
      <c r="E438" s="4"/>
      <c r="F438" s="4"/>
      <c r="G438" s="4"/>
      <c r="H438" s="4"/>
      <c r="I438" s="4"/>
      <c r="J438" s="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25">
      <c r="A439" s="1"/>
      <c r="B439" s="2"/>
      <c r="C439" s="3"/>
      <c r="D439" s="4"/>
      <c r="E439" s="4"/>
      <c r="F439" s="4"/>
      <c r="G439" s="4"/>
      <c r="H439" s="4"/>
      <c r="I439" s="4"/>
      <c r="J439" s="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25">
      <c r="A440" s="1"/>
      <c r="B440" s="2"/>
      <c r="C440" s="3"/>
      <c r="D440" s="4"/>
      <c r="E440" s="4"/>
      <c r="F440" s="4"/>
      <c r="G440" s="4"/>
      <c r="H440" s="4"/>
      <c r="I440" s="4"/>
      <c r="J440" s="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25">
      <c r="A441" s="1"/>
      <c r="B441" s="2"/>
      <c r="C441" s="3"/>
      <c r="D441" s="4"/>
      <c r="E441" s="4"/>
      <c r="F441" s="4"/>
      <c r="G441" s="4"/>
      <c r="H441" s="4"/>
      <c r="I441" s="4"/>
      <c r="J441" s="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25">
      <c r="A442" s="1"/>
      <c r="B442" s="2"/>
      <c r="C442" s="3"/>
      <c r="D442" s="4"/>
      <c r="E442" s="4"/>
      <c r="F442" s="4"/>
      <c r="G442" s="4"/>
      <c r="H442" s="4"/>
      <c r="I442" s="4"/>
      <c r="J442" s="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25">
      <c r="A443" s="1"/>
      <c r="B443" s="2"/>
      <c r="C443" s="3"/>
      <c r="D443" s="4"/>
      <c r="E443" s="4"/>
      <c r="F443" s="4"/>
      <c r="G443" s="4"/>
      <c r="H443" s="4"/>
      <c r="I443" s="4"/>
      <c r="J443" s="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25">
      <c r="A444" s="1"/>
      <c r="B444" s="2"/>
      <c r="C444" s="3"/>
      <c r="D444" s="4"/>
      <c r="E444" s="4"/>
      <c r="F444" s="4"/>
      <c r="G444" s="4"/>
      <c r="H444" s="4"/>
      <c r="I444" s="4"/>
      <c r="J444" s="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25">
      <c r="A445" s="1"/>
      <c r="B445" s="2"/>
      <c r="C445" s="3"/>
      <c r="D445" s="4"/>
      <c r="E445" s="4"/>
      <c r="F445" s="4"/>
      <c r="G445" s="4"/>
      <c r="H445" s="4"/>
      <c r="I445" s="4"/>
      <c r="J445" s="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25">
      <c r="A446" s="1"/>
      <c r="B446" s="2"/>
      <c r="C446" s="3"/>
      <c r="D446" s="4"/>
      <c r="E446" s="4"/>
      <c r="F446" s="4"/>
      <c r="G446" s="4"/>
      <c r="H446" s="4"/>
      <c r="I446" s="4"/>
      <c r="J446" s="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25">
      <c r="A447" s="1"/>
      <c r="B447" s="2"/>
      <c r="C447" s="3"/>
      <c r="D447" s="4"/>
      <c r="E447" s="4"/>
      <c r="F447" s="4"/>
      <c r="G447" s="4"/>
      <c r="H447" s="4"/>
      <c r="I447" s="4"/>
      <c r="J447" s="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25">
      <c r="A448" s="1"/>
      <c r="B448" s="2"/>
      <c r="C448" s="3"/>
      <c r="D448" s="4"/>
      <c r="E448" s="4"/>
      <c r="F448" s="4"/>
      <c r="G448" s="4"/>
      <c r="H448" s="4"/>
      <c r="I448" s="4"/>
      <c r="J448" s="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25">
      <c r="A449" s="1"/>
      <c r="B449" s="2"/>
      <c r="C449" s="3"/>
      <c r="D449" s="4"/>
      <c r="E449" s="4"/>
      <c r="F449" s="4"/>
      <c r="G449" s="4"/>
      <c r="H449" s="4"/>
      <c r="I449" s="4"/>
      <c r="J449" s="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25">
      <c r="A450" s="1"/>
      <c r="B450" s="2"/>
      <c r="C450" s="3"/>
      <c r="D450" s="4"/>
      <c r="E450" s="4"/>
      <c r="F450" s="4"/>
      <c r="G450" s="4"/>
      <c r="H450" s="4"/>
      <c r="I450" s="4"/>
      <c r="J450" s="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25">
      <c r="A451" s="1"/>
      <c r="B451" s="2"/>
      <c r="C451" s="3"/>
      <c r="D451" s="4"/>
      <c r="E451" s="4"/>
      <c r="F451" s="4"/>
      <c r="G451" s="4"/>
      <c r="H451" s="4"/>
      <c r="I451" s="4"/>
      <c r="J451" s="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25">
      <c r="A452" s="1"/>
      <c r="B452" s="2"/>
      <c r="C452" s="3"/>
      <c r="D452" s="4"/>
      <c r="E452" s="4"/>
      <c r="F452" s="4"/>
      <c r="G452" s="4"/>
      <c r="H452" s="4"/>
      <c r="I452" s="4"/>
      <c r="J452" s="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25">
      <c r="A453" s="1"/>
      <c r="B453" s="2"/>
      <c r="C453" s="3"/>
      <c r="D453" s="4"/>
      <c r="E453" s="4"/>
      <c r="F453" s="4"/>
      <c r="G453" s="4"/>
      <c r="H453" s="4"/>
      <c r="I453" s="4"/>
      <c r="J453" s="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25">
      <c r="A454" s="1"/>
      <c r="B454" s="2"/>
      <c r="C454" s="3"/>
      <c r="D454" s="4"/>
      <c r="E454" s="4"/>
      <c r="F454" s="4"/>
      <c r="G454" s="4"/>
      <c r="H454" s="4"/>
      <c r="I454" s="4"/>
      <c r="J454" s="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25">
      <c r="A455" s="1"/>
      <c r="B455" s="2"/>
      <c r="C455" s="3"/>
      <c r="D455" s="4"/>
      <c r="E455" s="4"/>
      <c r="F455" s="4"/>
      <c r="G455" s="4"/>
      <c r="H455" s="4"/>
      <c r="I455" s="4"/>
      <c r="J455" s="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25">
      <c r="A456" s="1"/>
      <c r="B456" s="2"/>
      <c r="C456" s="3"/>
      <c r="D456" s="4"/>
      <c r="E456" s="4"/>
      <c r="F456" s="4"/>
      <c r="G456" s="4"/>
      <c r="H456" s="4"/>
      <c r="I456" s="4"/>
      <c r="J456" s="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25">
      <c r="A457" s="1"/>
      <c r="B457" s="2"/>
      <c r="C457" s="3"/>
      <c r="D457" s="4"/>
      <c r="E457" s="4"/>
      <c r="F457" s="4"/>
      <c r="G457" s="4"/>
      <c r="H457" s="4"/>
      <c r="I457" s="4"/>
      <c r="J457" s="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25">
      <c r="A458" s="1"/>
      <c r="B458" s="2"/>
      <c r="C458" s="3"/>
      <c r="D458" s="4"/>
      <c r="E458" s="4"/>
      <c r="F458" s="4"/>
      <c r="G458" s="4"/>
      <c r="H458" s="4"/>
      <c r="I458" s="4"/>
      <c r="J458" s="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25">
      <c r="A459" s="1"/>
      <c r="B459" s="2"/>
      <c r="C459" s="3"/>
      <c r="D459" s="4"/>
      <c r="E459" s="4"/>
      <c r="F459" s="4"/>
      <c r="G459" s="4"/>
      <c r="H459" s="4"/>
      <c r="I459" s="4"/>
      <c r="J459" s="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25">
      <c r="A460" s="1"/>
      <c r="B460" s="2"/>
      <c r="C460" s="3"/>
      <c r="D460" s="4"/>
      <c r="E460" s="4"/>
      <c r="F460" s="4"/>
      <c r="G460" s="4"/>
      <c r="H460" s="4"/>
      <c r="I460" s="4"/>
      <c r="J460" s="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25">
      <c r="A461" s="1"/>
      <c r="B461" s="2"/>
      <c r="C461" s="3"/>
      <c r="D461" s="4"/>
      <c r="E461" s="4"/>
      <c r="F461" s="4"/>
      <c r="G461" s="4"/>
      <c r="H461" s="4"/>
      <c r="I461" s="4"/>
      <c r="J461" s="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25">
      <c r="A462" s="1"/>
      <c r="B462" s="2"/>
      <c r="C462" s="3"/>
      <c r="D462" s="4"/>
      <c r="E462" s="4"/>
      <c r="F462" s="4"/>
      <c r="G462" s="4"/>
      <c r="H462" s="4"/>
      <c r="I462" s="4"/>
      <c r="J462" s="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25">
      <c r="A463" s="1"/>
      <c r="B463" s="2"/>
      <c r="C463" s="3"/>
      <c r="D463" s="4"/>
      <c r="E463" s="4"/>
      <c r="F463" s="4"/>
      <c r="G463" s="4"/>
      <c r="H463" s="4"/>
      <c r="I463" s="4"/>
      <c r="J463" s="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25">
      <c r="A464" s="1"/>
      <c r="B464" s="2"/>
      <c r="C464" s="3"/>
      <c r="D464" s="4"/>
      <c r="E464" s="4"/>
      <c r="F464" s="4"/>
      <c r="G464" s="4"/>
      <c r="H464" s="4"/>
      <c r="I464" s="4"/>
      <c r="J464" s="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25">
      <c r="A465" s="1"/>
      <c r="B465" s="2"/>
      <c r="C465" s="3"/>
      <c r="D465" s="4"/>
      <c r="E465" s="4"/>
      <c r="F465" s="4"/>
      <c r="G465" s="4"/>
      <c r="H465" s="4"/>
      <c r="I465" s="4"/>
      <c r="J465" s="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25">
      <c r="A466" s="1"/>
      <c r="B466" s="2"/>
      <c r="C466" s="3"/>
      <c r="D466" s="4"/>
      <c r="E466" s="4"/>
      <c r="F466" s="4"/>
      <c r="G466" s="4"/>
      <c r="H466" s="4"/>
      <c r="I466" s="4"/>
      <c r="J466" s="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25">
      <c r="A467" s="1"/>
      <c r="B467" s="2"/>
      <c r="C467" s="3"/>
      <c r="D467" s="4"/>
      <c r="E467" s="4"/>
      <c r="F467" s="4"/>
      <c r="G467" s="4"/>
      <c r="H467" s="4"/>
      <c r="I467" s="4"/>
      <c r="J467" s="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25">
      <c r="A468" s="1"/>
      <c r="B468" s="2"/>
      <c r="C468" s="3"/>
      <c r="D468" s="4"/>
      <c r="E468" s="4"/>
      <c r="F468" s="4"/>
      <c r="G468" s="4"/>
      <c r="H468" s="4"/>
      <c r="I468" s="4"/>
      <c r="J468" s="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25">
      <c r="A469" s="1"/>
      <c r="B469" s="2"/>
      <c r="C469" s="3"/>
      <c r="D469" s="4"/>
      <c r="E469" s="4"/>
      <c r="F469" s="4"/>
      <c r="G469" s="4"/>
      <c r="H469" s="4"/>
      <c r="I469" s="4"/>
      <c r="J469" s="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25">
      <c r="A470" s="1"/>
      <c r="B470" s="2"/>
      <c r="C470" s="3"/>
      <c r="D470" s="4"/>
      <c r="E470" s="4"/>
      <c r="F470" s="4"/>
      <c r="G470" s="4"/>
      <c r="H470" s="4"/>
      <c r="I470" s="4"/>
      <c r="J470" s="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25">
      <c r="A471" s="1"/>
      <c r="B471" s="2"/>
      <c r="C471" s="3"/>
      <c r="D471" s="4"/>
      <c r="E471" s="4"/>
      <c r="F471" s="4"/>
      <c r="G471" s="4"/>
      <c r="H471" s="4"/>
      <c r="I471" s="4"/>
      <c r="J471" s="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25">
      <c r="A472" s="1"/>
      <c r="B472" s="2"/>
      <c r="C472" s="3"/>
      <c r="D472" s="4"/>
      <c r="E472" s="4"/>
      <c r="F472" s="4"/>
      <c r="G472" s="4"/>
      <c r="H472" s="4"/>
      <c r="I472" s="4"/>
      <c r="J472" s="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25">
      <c r="A473" s="1"/>
      <c r="B473" s="2"/>
      <c r="C473" s="3"/>
      <c r="D473" s="4"/>
      <c r="E473" s="4"/>
      <c r="F473" s="4"/>
      <c r="G473" s="4"/>
      <c r="H473" s="4"/>
      <c r="I473" s="4"/>
      <c r="J473" s="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25">
      <c r="A474" s="1"/>
      <c r="B474" s="2"/>
      <c r="C474" s="3"/>
      <c r="D474" s="4"/>
      <c r="E474" s="4"/>
      <c r="F474" s="4"/>
      <c r="G474" s="4"/>
      <c r="H474" s="4"/>
      <c r="I474" s="4"/>
      <c r="J474" s="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25">
      <c r="A475" s="1"/>
      <c r="B475" s="2"/>
      <c r="C475" s="3"/>
      <c r="D475" s="4"/>
      <c r="E475" s="4"/>
      <c r="F475" s="4"/>
      <c r="G475" s="4"/>
      <c r="H475" s="4"/>
      <c r="I475" s="4"/>
      <c r="J475" s="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25">
      <c r="A476" s="1"/>
      <c r="B476" s="2"/>
      <c r="C476" s="3"/>
      <c r="D476" s="4"/>
      <c r="E476" s="4"/>
      <c r="F476" s="4"/>
      <c r="G476" s="4"/>
      <c r="H476" s="4"/>
      <c r="I476" s="4"/>
      <c r="J476" s="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25">
      <c r="A477" s="1"/>
      <c r="B477" s="2"/>
      <c r="C477" s="3"/>
      <c r="D477" s="4"/>
      <c r="E477" s="4"/>
      <c r="F477" s="4"/>
      <c r="G477" s="4"/>
      <c r="H477" s="4"/>
      <c r="I477" s="4"/>
      <c r="J477" s="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25">
      <c r="A478" s="1"/>
      <c r="B478" s="2"/>
      <c r="C478" s="3"/>
      <c r="D478" s="4"/>
      <c r="E478" s="4"/>
      <c r="F478" s="4"/>
      <c r="G478" s="4"/>
      <c r="H478" s="4"/>
      <c r="I478" s="4"/>
      <c r="J478" s="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25">
      <c r="A479" s="1"/>
      <c r="B479" s="2"/>
      <c r="C479" s="3"/>
      <c r="D479" s="4"/>
      <c r="E479" s="4"/>
      <c r="F479" s="4"/>
      <c r="G479" s="4"/>
      <c r="H479" s="4"/>
      <c r="I479" s="4"/>
      <c r="J479" s="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25">
      <c r="A480" s="1"/>
      <c r="B480" s="2"/>
      <c r="C480" s="3"/>
      <c r="D480" s="4"/>
      <c r="E480" s="4"/>
      <c r="F480" s="4"/>
      <c r="G480" s="4"/>
      <c r="H480" s="4"/>
      <c r="I480" s="4"/>
      <c r="J480" s="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25">
      <c r="A481" s="1"/>
      <c r="B481" s="2"/>
      <c r="C481" s="3"/>
      <c r="D481" s="4"/>
      <c r="E481" s="4"/>
      <c r="F481" s="4"/>
      <c r="G481" s="4"/>
      <c r="H481" s="4"/>
      <c r="I481" s="4"/>
      <c r="J481" s="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25">
      <c r="A482" s="1"/>
      <c r="B482" s="2"/>
      <c r="C482" s="3"/>
      <c r="D482" s="4"/>
      <c r="E482" s="4"/>
      <c r="F482" s="4"/>
      <c r="G482" s="4"/>
      <c r="H482" s="4"/>
      <c r="I482" s="4"/>
      <c r="J482" s="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25">
      <c r="A483" s="1"/>
      <c r="B483" s="2"/>
      <c r="C483" s="3"/>
      <c r="D483" s="4"/>
      <c r="E483" s="4"/>
      <c r="F483" s="4"/>
      <c r="G483" s="4"/>
      <c r="H483" s="4"/>
      <c r="I483" s="4"/>
      <c r="J483" s="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25">
      <c r="A484" s="1"/>
      <c r="B484" s="2"/>
      <c r="C484" s="3"/>
      <c r="D484" s="4"/>
      <c r="E484" s="4"/>
      <c r="F484" s="4"/>
      <c r="G484" s="4"/>
      <c r="H484" s="4"/>
      <c r="I484" s="4"/>
      <c r="J484" s="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25">
      <c r="A485" s="1"/>
      <c r="B485" s="2"/>
      <c r="C485" s="3"/>
      <c r="D485" s="4"/>
      <c r="E485" s="4"/>
      <c r="F485" s="4"/>
      <c r="G485" s="4"/>
      <c r="H485" s="4"/>
      <c r="I485" s="4"/>
      <c r="J485" s="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25">
      <c r="A486" s="1"/>
      <c r="B486" s="2"/>
      <c r="C486" s="3"/>
      <c r="D486" s="4"/>
      <c r="E486" s="4"/>
      <c r="F486" s="4"/>
      <c r="G486" s="4"/>
      <c r="H486" s="4"/>
      <c r="I486" s="4"/>
      <c r="J486" s="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25">
      <c r="A487" s="1"/>
      <c r="B487" s="2"/>
      <c r="C487" s="3"/>
      <c r="D487" s="4"/>
      <c r="E487" s="4"/>
      <c r="F487" s="4"/>
      <c r="G487" s="4"/>
      <c r="H487" s="4"/>
      <c r="I487" s="4"/>
      <c r="J487" s="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25">
      <c r="A488" s="1"/>
      <c r="B488" s="2"/>
      <c r="C488" s="3"/>
      <c r="D488" s="4"/>
      <c r="E488" s="4"/>
      <c r="F488" s="4"/>
      <c r="G488" s="4"/>
      <c r="H488" s="4"/>
      <c r="I488" s="4"/>
      <c r="J488" s="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25">
      <c r="A489" s="1"/>
      <c r="B489" s="2"/>
      <c r="C489" s="3"/>
      <c r="D489" s="4"/>
      <c r="E489" s="4"/>
      <c r="F489" s="4"/>
      <c r="G489" s="4"/>
      <c r="H489" s="4"/>
      <c r="I489" s="4"/>
      <c r="J489" s="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25">
      <c r="A490" s="1"/>
      <c r="B490" s="2"/>
      <c r="C490" s="3"/>
      <c r="D490" s="4"/>
      <c r="E490" s="4"/>
      <c r="F490" s="4"/>
      <c r="G490" s="4"/>
      <c r="H490" s="4"/>
      <c r="I490" s="4"/>
      <c r="J490" s="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25">
      <c r="A491" s="1"/>
      <c r="B491" s="2"/>
      <c r="C491" s="3"/>
      <c r="D491" s="4"/>
      <c r="E491" s="4"/>
      <c r="F491" s="4"/>
      <c r="G491" s="4"/>
      <c r="H491" s="4"/>
      <c r="I491" s="4"/>
      <c r="J491" s="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25">
      <c r="A492" s="1"/>
      <c r="B492" s="2"/>
      <c r="C492" s="3"/>
      <c r="D492" s="4"/>
      <c r="E492" s="4"/>
      <c r="F492" s="4"/>
      <c r="G492" s="4"/>
      <c r="H492" s="4"/>
      <c r="I492" s="4"/>
      <c r="J492" s="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25">
      <c r="A493" s="1"/>
      <c r="B493" s="2"/>
      <c r="C493" s="3"/>
      <c r="D493" s="4"/>
      <c r="E493" s="4"/>
      <c r="F493" s="4"/>
      <c r="G493" s="4"/>
      <c r="H493" s="4"/>
      <c r="I493" s="4"/>
      <c r="J493" s="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25">
      <c r="A494" s="1"/>
      <c r="B494" s="2"/>
      <c r="C494" s="3"/>
      <c r="D494" s="4"/>
      <c r="E494" s="4"/>
      <c r="F494" s="4"/>
      <c r="G494" s="4"/>
      <c r="H494" s="4"/>
      <c r="I494" s="4"/>
      <c r="J494" s="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25">
      <c r="A495" s="1"/>
      <c r="B495" s="2"/>
      <c r="C495" s="3"/>
      <c r="D495" s="4"/>
      <c r="E495" s="4"/>
      <c r="F495" s="4"/>
      <c r="G495" s="4"/>
      <c r="H495" s="4"/>
      <c r="I495" s="4"/>
      <c r="J495" s="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25">
      <c r="A496" s="1"/>
      <c r="B496" s="2"/>
      <c r="C496" s="3"/>
      <c r="D496" s="4"/>
      <c r="E496" s="4"/>
      <c r="F496" s="4"/>
      <c r="G496" s="4"/>
      <c r="H496" s="4"/>
      <c r="I496" s="4"/>
      <c r="J496" s="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25">
      <c r="A497" s="1"/>
      <c r="B497" s="2"/>
      <c r="C497" s="3"/>
      <c r="D497" s="4"/>
      <c r="E497" s="4"/>
      <c r="F497" s="4"/>
      <c r="G497" s="4"/>
      <c r="H497" s="4"/>
      <c r="I497" s="4"/>
      <c r="J497" s="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25">
      <c r="A498" s="1"/>
      <c r="B498" s="2"/>
      <c r="C498" s="3"/>
      <c r="D498" s="4"/>
      <c r="E498" s="4"/>
      <c r="F498" s="4"/>
      <c r="G498" s="4"/>
      <c r="H498" s="4"/>
      <c r="I498" s="4"/>
      <c r="J498" s="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25">
      <c r="A499" s="1"/>
      <c r="B499" s="2"/>
      <c r="C499" s="3"/>
      <c r="D499" s="4"/>
      <c r="E499" s="4"/>
      <c r="F499" s="4"/>
      <c r="G499" s="4"/>
      <c r="H499" s="4"/>
      <c r="I499" s="4"/>
      <c r="J499" s="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25">
      <c r="A500" s="1"/>
      <c r="B500" s="2"/>
      <c r="C500" s="3"/>
      <c r="D500" s="4"/>
      <c r="E500" s="4"/>
      <c r="F500" s="4"/>
      <c r="G500" s="4"/>
      <c r="H500" s="4"/>
      <c r="I500" s="4"/>
      <c r="J500" s="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25">
      <c r="A501" s="1"/>
      <c r="B501" s="2"/>
      <c r="C501" s="3"/>
      <c r="D501" s="4"/>
      <c r="E501" s="4"/>
      <c r="F501" s="4"/>
      <c r="G501" s="4"/>
      <c r="H501" s="4"/>
      <c r="I501" s="4"/>
      <c r="J501" s="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25">
      <c r="A502" s="1"/>
      <c r="B502" s="2"/>
      <c r="C502" s="3"/>
      <c r="D502" s="4"/>
      <c r="E502" s="4"/>
      <c r="F502" s="4"/>
      <c r="G502" s="4"/>
      <c r="H502" s="4"/>
      <c r="I502" s="4"/>
      <c r="J502" s="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25">
      <c r="A503" s="1"/>
      <c r="B503" s="2"/>
      <c r="C503" s="3"/>
      <c r="D503" s="4"/>
      <c r="E503" s="4"/>
      <c r="F503" s="4"/>
      <c r="G503" s="4"/>
      <c r="H503" s="4"/>
      <c r="I503" s="4"/>
      <c r="J503" s="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25">
      <c r="A504" s="1"/>
      <c r="B504" s="2"/>
      <c r="C504" s="3"/>
      <c r="D504" s="4"/>
      <c r="E504" s="4"/>
      <c r="F504" s="4"/>
      <c r="G504" s="4"/>
      <c r="H504" s="4"/>
      <c r="I504" s="4"/>
      <c r="J504" s="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25">
      <c r="A505" s="1"/>
      <c r="B505" s="2"/>
      <c r="C505" s="3"/>
      <c r="D505" s="4"/>
      <c r="E505" s="4"/>
      <c r="F505" s="4"/>
      <c r="G505" s="4"/>
      <c r="H505" s="4"/>
      <c r="I505" s="4"/>
      <c r="J505" s="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25">
      <c r="A506" s="1"/>
      <c r="B506" s="2"/>
      <c r="C506" s="3"/>
      <c r="D506" s="4"/>
      <c r="E506" s="4"/>
      <c r="F506" s="4"/>
      <c r="G506" s="4"/>
      <c r="H506" s="4"/>
      <c r="I506" s="4"/>
      <c r="J506" s="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25">
      <c r="A507" s="1"/>
      <c r="B507" s="2"/>
      <c r="C507" s="3"/>
      <c r="D507" s="4"/>
      <c r="E507" s="4"/>
      <c r="F507" s="4"/>
      <c r="G507" s="4"/>
      <c r="H507" s="4"/>
      <c r="I507" s="4"/>
      <c r="J507" s="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25">
      <c r="A508" s="1"/>
      <c r="B508" s="2"/>
      <c r="C508" s="3"/>
      <c r="D508" s="4"/>
      <c r="E508" s="4"/>
      <c r="F508" s="4"/>
      <c r="G508" s="4"/>
      <c r="H508" s="4"/>
      <c r="I508" s="4"/>
      <c r="J508" s="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25">
      <c r="A509" s="1"/>
      <c r="B509" s="2"/>
      <c r="C509" s="3"/>
      <c r="D509" s="4"/>
      <c r="E509" s="4"/>
      <c r="F509" s="4"/>
      <c r="G509" s="4"/>
      <c r="H509" s="4"/>
      <c r="I509" s="4"/>
      <c r="J509" s="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25">
      <c r="A510" s="1"/>
      <c r="B510" s="2"/>
      <c r="C510" s="3"/>
      <c r="D510" s="4"/>
      <c r="E510" s="4"/>
      <c r="F510" s="4"/>
      <c r="G510" s="4"/>
      <c r="H510" s="4"/>
      <c r="I510" s="4"/>
      <c r="J510" s="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25">
      <c r="A511" s="1"/>
      <c r="B511" s="2"/>
      <c r="C511" s="3"/>
      <c r="D511" s="4"/>
      <c r="E511" s="4"/>
      <c r="F511" s="4"/>
      <c r="G511" s="4"/>
      <c r="H511" s="4"/>
      <c r="I511" s="4"/>
      <c r="J511" s="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25">
      <c r="A512" s="1"/>
      <c r="B512" s="2"/>
      <c r="C512" s="3"/>
      <c r="D512" s="4"/>
      <c r="E512" s="4"/>
      <c r="F512" s="4"/>
      <c r="G512" s="4"/>
      <c r="H512" s="4"/>
      <c r="I512" s="4"/>
      <c r="J512" s="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25">
      <c r="A513" s="1"/>
      <c r="B513" s="2"/>
      <c r="C513" s="3"/>
      <c r="D513" s="4"/>
      <c r="E513" s="4"/>
      <c r="F513" s="4"/>
      <c r="G513" s="4"/>
      <c r="H513" s="4"/>
      <c r="I513" s="4"/>
      <c r="J513" s="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25">
      <c r="A514" s="1"/>
      <c r="B514" s="2"/>
      <c r="C514" s="3"/>
      <c r="D514" s="4"/>
      <c r="E514" s="4"/>
      <c r="F514" s="4"/>
      <c r="G514" s="4"/>
      <c r="H514" s="4"/>
      <c r="I514" s="4"/>
      <c r="J514" s="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25">
      <c r="A515" s="1"/>
      <c r="B515" s="2"/>
      <c r="C515" s="3"/>
      <c r="D515" s="4"/>
      <c r="E515" s="4"/>
      <c r="F515" s="4"/>
      <c r="G515" s="4"/>
      <c r="H515" s="4"/>
      <c r="I515" s="4"/>
      <c r="J515" s="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25">
      <c r="A516" s="1"/>
      <c r="B516" s="2"/>
      <c r="C516" s="3"/>
      <c r="D516" s="4"/>
      <c r="E516" s="4"/>
      <c r="F516" s="4"/>
      <c r="G516" s="4"/>
      <c r="H516" s="4"/>
      <c r="I516" s="4"/>
      <c r="J516" s="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25">
      <c r="A517" s="1"/>
      <c r="B517" s="2"/>
      <c r="C517" s="3"/>
      <c r="D517" s="4"/>
      <c r="E517" s="4"/>
      <c r="F517" s="4"/>
      <c r="G517" s="4"/>
      <c r="H517" s="4"/>
      <c r="I517" s="4"/>
      <c r="J517" s="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25">
      <c r="A518" s="1"/>
      <c r="B518" s="2"/>
      <c r="C518" s="3"/>
      <c r="D518" s="4"/>
      <c r="E518" s="4"/>
      <c r="F518" s="4"/>
      <c r="G518" s="4"/>
      <c r="H518" s="4"/>
      <c r="I518" s="4"/>
      <c r="J518" s="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25">
      <c r="A519" s="1"/>
      <c r="B519" s="2"/>
      <c r="C519" s="3"/>
      <c r="D519" s="4"/>
      <c r="E519" s="4"/>
      <c r="F519" s="4"/>
      <c r="G519" s="4"/>
      <c r="H519" s="4"/>
      <c r="I519" s="4"/>
      <c r="J519" s="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25">
      <c r="A520" s="1"/>
      <c r="B520" s="2"/>
      <c r="C520" s="3"/>
      <c r="D520" s="4"/>
      <c r="E520" s="4"/>
      <c r="F520" s="4"/>
      <c r="G520" s="4"/>
      <c r="H520" s="4"/>
      <c r="I520" s="4"/>
      <c r="J520" s="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25">
      <c r="A521" s="1"/>
      <c r="B521" s="2"/>
      <c r="C521" s="3"/>
      <c r="D521" s="4"/>
      <c r="E521" s="4"/>
      <c r="F521" s="4"/>
      <c r="G521" s="4"/>
      <c r="H521" s="4"/>
      <c r="I521" s="4"/>
      <c r="J521" s="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25">
      <c r="A522" s="1"/>
      <c r="B522" s="2"/>
      <c r="C522" s="3"/>
      <c r="D522" s="4"/>
      <c r="E522" s="4"/>
      <c r="F522" s="4"/>
      <c r="G522" s="4"/>
      <c r="H522" s="4"/>
      <c r="I522" s="4"/>
      <c r="J522" s="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25">
      <c r="A523" s="1"/>
      <c r="B523" s="2"/>
      <c r="C523" s="3"/>
      <c r="D523" s="4"/>
      <c r="E523" s="4"/>
      <c r="F523" s="4"/>
      <c r="G523" s="4"/>
      <c r="H523" s="4"/>
      <c r="I523" s="4"/>
      <c r="J523" s="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25">
      <c r="A524" s="1"/>
      <c r="B524" s="2"/>
      <c r="C524" s="3"/>
      <c r="D524" s="4"/>
      <c r="E524" s="4"/>
      <c r="F524" s="4"/>
      <c r="G524" s="4"/>
      <c r="H524" s="4"/>
      <c r="I524" s="4"/>
      <c r="J524" s="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25">
      <c r="A525" s="1"/>
      <c r="B525" s="2"/>
      <c r="C525" s="3"/>
      <c r="D525" s="4"/>
      <c r="E525" s="4"/>
      <c r="F525" s="4"/>
      <c r="G525" s="4"/>
      <c r="H525" s="4"/>
      <c r="I525" s="4"/>
      <c r="J525" s="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25">
      <c r="A526" s="1"/>
      <c r="B526" s="2"/>
      <c r="C526" s="3"/>
      <c r="D526" s="4"/>
      <c r="E526" s="4"/>
      <c r="F526" s="4"/>
      <c r="G526" s="4"/>
      <c r="H526" s="4"/>
      <c r="I526" s="4"/>
      <c r="J526" s="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25">
      <c r="A527" s="1"/>
      <c r="B527" s="2"/>
      <c r="C527" s="3"/>
      <c r="D527" s="4"/>
      <c r="E527" s="4"/>
      <c r="F527" s="4"/>
      <c r="G527" s="4"/>
      <c r="H527" s="4"/>
      <c r="I527" s="4"/>
      <c r="J527" s="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25">
      <c r="A528" s="1"/>
      <c r="B528" s="2"/>
      <c r="C528" s="3"/>
      <c r="D528" s="4"/>
      <c r="E528" s="4"/>
      <c r="F528" s="4"/>
      <c r="G528" s="4"/>
      <c r="H528" s="4"/>
      <c r="I528" s="4"/>
      <c r="J528" s="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25">
      <c r="A529" s="1"/>
      <c r="B529" s="2"/>
      <c r="C529" s="3"/>
      <c r="D529" s="4"/>
      <c r="E529" s="4"/>
      <c r="F529" s="4"/>
      <c r="G529" s="4"/>
      <c r="H529" s="4"/>
      <c r="I529" s="4"/>
      <c r="J529" s="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25">
      <c r="A530" s="1"/>
      <c r="B530" s="2"/>
      <c r="C530" s="3"/>
      <c r="D530" s="4"/>
      <c r="E530" s="4"/>
      <c r="F530" s="4"/>
      <c r="G530" s="4"/>
      <c r="H530" s="4"/>
      <c r="I530" s="4"/>
      <c r="J530" s="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25">
      <c r="A531" s="1"/>
      <c r="B531" s="2"/>
      <c r="C531" s="3"/>
      <c r="D531" s="4"/>
      <c r="E531" s="4"/>
      <c r="F531" s="4"/>
      <c r="G531" s="4"/>
      <c r="H531" s="4"/>
      <c r="I531" s="4"/>
      <c r="J531" s="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25">
      <c r="A532" s="1"/>
      <c r="B532" s="2"/>
      <c r="C532" s="3"/>
      <c r="D532" s="4"/>
      <c r="E532" s="4"/>
      <c r="F532" s="4"/>
      <c r="G532" s="4"/>
      <c r="H532" s="4"/>
      <c r="I532" s="4"/>
      <c r="J532" s="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25">
      <c r="A533" s="1"/>
      <c r="B533" s="2"/>
      <c r="C533" s="3"/>
      <c r="D533" s="4"/>
      <c r="E533" s="4"/>
      <c r="F533" s="4"/>
      <c r="G533" s="4"/>
      <c r="H533" s="4"/>
      <c r="I533" s="4"/>
      <c r="J533" s="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25">
      <c r="A534" s="1"/>
      <c r="B534" s="2"/>
      <c r="C534" s="3"/>
      <c r="D534" s="4"/>
      <c r="E534" s="4"/>
      <c r="F534" s="4"/>
      <c r="G534" s="4"/>
      <c r="H534" s="4"/>
      <c r="I534" s="4"/>
      <c r="J534" s="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25">
      <c r="A535" s="1"/>
      <c r="B535" s="2"/>
      <c r="C535" s="3"/>
      <c r="D535" s="4"/>
      <c r="E535" s="4"/>
      <c r="F535" s="4"/>
      <c r="G535" s="4"/>
      <c r="H535" s="4"/>
      <c r="I535" s="4"/>
      <c r="J535" s="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25">
      <c r="A536" s="1"/>
      <c r="B536" s="2"/>
      <c r="C536" s="3"/>
      <c r="D536" s="4"/>
      <c r="E536" s="4"/>
      <c r="F536" s="4"/>
      <c r="G536" s="4"/>
      <c r="H536" s="4"/>
      <c r="I536" s="4"/>
      <c r="J536" s="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25">
      <c r="A537" s="1"/>
      <c r="B537" s="2"/>
      <c r="C537" s="3"/>
      <c r="D537" s="4"/>
      <c r="E537" s="4"/>
      <c r="F537" s="4"/>
      <c r="G537" s="4"/>
      <c r="H537" s="4"/>
      <c r="I537" s="4"/>
      <c r="J537" s="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25">
      <c r="A538" s="1"/>
      <c r="B538" s="2"/>
      <c r="C538" s="3"/>
      <c r="D538" s="4"/>
      <c r="E538" s="4"/>
      <c r="F538" s="4"/>
      <c r="G538" s="4"/>
      <c r="H538" s="4"/>
      <c r="I538" s="4"/>
      <c r="J538" s="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25">
      <c r="A539" s="1"/>
      <c r="B539" s="2"/>
      <c r="C539" s="3"/>
      <c r="D539" s="4"/>
      <c r="E539" s="4"/>
      <c r="F539" s="4"/>
      <c r="G539" s="4"/>
      <c r="H539" s="4"/>
      <c r="I539" s="4"/>
      <c r="J539" s="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25">
      <c r="A540" s="1"/>
      <c r="B540" s="2"/>
      <c r="C540" s="3"/>
      <c r="D540" s="4"/>
      <c r="E540" s="4"/>
      <c r="F540" s="4"/>
      <c r="G540" s="4"/>
      <c r="H540" s="4"/>
      <c r="I540" s="4"/>
      <c r="J540" s="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25">
      <c r="A541" s="1"/>
      <c r="B541" s="2"/>
      <c r="C541" s="3"/>
      <c r="D541" s="4"/>
      <c r="E541" s="4"/>
      <c r="F541" s="4"/>
      <c r="G541" s="4"/>
      <c r="H541" s="4"/>
      <c r="I541" s="4"/>
      <c r="J541" s="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25">
      <c r="A542" s="1"/>
      <c r="B542" s="2"/>
      <c r="C542" s="3"/>
      <c r="D542" s="4"/>
      <c r="E542" s="4"/>
      <c r="F542" s="4"/>
      <c r="G542" s="4"/>
      <c r="H542" s="4"/>
      <c r="I542" s="4"/>
      <c r="J542" s="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25">
      <c r="A543" s="1"/>
      <c r="B543" s="2"/>
      <c r="C543" s="3"/>
      <c r="D543" s="4"/>
      <c r="E543" s="4"/>
      <c r="F543" s="4"/>
      <c r="G543" s="4"/>
      <c r="H543" s="4"/>
      <c r="I543" s="4"/>
      <c r="J543" s="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25">
      <c r="A544" s="1"/>
      <c r="B544" s="2"/>
      <c r="C544" s="3"/>
      <c r="D544" s="4"/>
      <c r="E544" s="4"/>
      <c r="F544" s="4"/>
      <c r="G544" s="4"/>
      <c r="H544" s="4"/>
      <c r="I544" s="4"/>
      <c r="J544" s="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25">
      <c r="A545" s="1"/>
      <c r="B545" s="2"/>
      <c r="C545" s="3"/>
      <c r="D545" s="4"/>
      <c r="E545" s="4"/>
      <c r="F545" s="4"/>
      <c r="G545" s="4"/>
      <c r="H545" s="4"/>
      <c r="I545" s="4"/>
      <c r="J545" s="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25">
      <c r="A546" s="1"/>
      <c r="B546" s="2"/>
      <c r="C546" s="3"/>
      <c r="D546" s="4"/>
      <c r="E546" s="4"/>
      <c r="F546" s="4"/>
      <c r="G546" s="4"/>
      <c r="H546" s="4"/>
      <c r="I546" s="4"/>
      <c r="J546" s="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25">
      <c r="A547" s="1"/>
      <c r="B547" s="2"/>
      <c r="C547" s="3"/>
      <c r="D547" s="4"/>
      <c r="E547" s="4"/>
      <c r="F547" s="4"/>
      <c r="G547" s="4"/>
      <c r="H547" s="4"/>
      <c r="I547" s="4"/>
      <c r="J547" s="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25">
      <c r="A548" s="1"/>
      <c r="B548" s="2"/>
      <c r="C548" s="3"/>
      <c r="D548" s="4"/>
      <c r="E548" s="4"/>
      <c r="F548" s="4"/>
      <c r="G548" s="4"/>
      <c r="H548" s="4"/>
      <c r="I548" s="4"/>
      <c r="J548" s="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25">
      <c r="A549" s="1"/>
      <c r="B549" s="2"/>
      <c r="C549" s="3"/>
      <c r="D549" s="4"/>
      <c r="E549" s="4"/>
      <c r="F549" s="4"/>
      <c r="G549" s="4"/>
      <c r="H549" s="4"/>
      <c r="I549" s="4"/>
      <c r="J549" s="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25">
      <c r="A550" s="1"/>
      <c r="B550" s="2"/>
      <c r="C550" s="3"/>
      <c r="D550" s="4"/>
      <c r="E550" s="4"/>
      <c r="F550" s="4"/>
      <c r="G550" s="4"/>
      <c r="H550" s="4"/>
      <c r="I550" s="4"/>
      <c r="J550" s="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25">
      <c r="A551" s="1"/>
      <c r="B551" s="2"/>
      <c r="C551" s="3"/>
      <c r="D551" s="4"/>
      <c r="E551" s="4"/>
      <c r="F551" s="4"/>
      <c r="G551" s="4"/>
      <c r="H551" s="4"/>
      <c r="I551" s="4"/>
      <c r="J551" s="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25">
      <c r="A552" s="1"/>
      <c r="B552" s="2"/>
      <c r="C552" s="3"/>
      <c r="D552" s="4"/>
      <c r="E552" s="4"/>
      <c r="F552" s="4"/>
      <c r="G552" s="4"/>
      <c r="H552" s="4"/>
      <c r="I552" s="4"/>
      <c r="J552" s="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25">
      <c r="A553" s="1"/>
      <c r="B553" s="2"/>
      <c r="C553" s="3"/>
      <c r="D553" s="4"/>
      <c r="E553" s="4"/>
      <c r="F553" s="4"/>
      <c r="G553" s="4"/>
      <c r="H553" s="4"/>
      <c r="I553" s="4"/>
      <c r="J553" s="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25">
      <c r="A554" s="1"/>
      <c r="B554" s="2"/>
      <c r="C554" s="3"/>
      <c r="D554" s="4"/>
      <c r="E554" s="4"/>
      <c r="F554" s="4"/>
      <c r="G554" s="4"/>
      <c r="H554" s="4"/>
      <c r="I554" s="4"/>
      <c r="J554" s="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25">
      <c r="A555" s="1"/>
      <c r="B555" s="2"/>
      <c r="C555" s="3"/>
      <c r="D555" s="4"/>
      <c r="E555" s="4"/>
      <c r="F555" s="4"/>
      <c r="G555" s="4"/>
      <c r="H555" s="4"/>
      <c r="I555" s="4"/>
      <c r="J555" s="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25">
      <c r="A556" s="1"/>
      <c r="B556" s="2"/>
      <c r="C556" s="3"/>
      <c r="D556" s="4"/>
      <c r="E556" s="4"/>
      <c r="F556" s="4"/>
      <c r="G556" s="4"/>
      <c r="H556" s="4"/>
      <c r="I556" s="4"/>
      <c r="J556" s="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25">
      <c r="A557" s="1"/>
      <c r="B557" s="2"/>
      <c r="C557" s="3"/>
      <c r="D557" s="4"/>
      <c r="E557" s="4"/>
      <c r="F557" s="4"/>
      <c r="G557" s="4"/>
      <c r="H557" s="4"/>
      <c r="I557" s="4"/>
      <c r="J557" s="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25">
      <c r="A558" s="1"/>
      <c r="B558" s="2"/>
      <c r="C558" s="3"/>
      <c r="D558" s="4"/>
      <c r="E558" s="4"/>
      <c r="F558" s="4"/>
      <c r="G558" s="4"/>
      <c r="H558" s="4"/>
      <c r="I558" s="4"/>
      <c r="J558" s="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25">
      <c r="A559" s="1"/>
      <c r="B559" s="2"/>
      <c r="C559" s="3"/>
      <c r="D559" s="4"/>
      <c r="E559" s="4"/>
      <c r="F559" s="4"/>
      <c r="G559" s="4"/>
      <c r="H559" s="4"/>
      <c r="I559" s="4"/>
      <c r="J559" s="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25">
      <c r="A560" s="1"/>
      <c r="B560" s="2"/>
      <c r="C560" s="3"/>
      <c r="D560" s="4"/>
      <c r="E560" s="4"/>
      <c r="F560" s="4"/>
      <c r="G560" s="4"/>
      <c r="H560" s="4"/>
      <c r="I560" s="4"/>
      <c r="J560" s="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25">
      <c r="A561" s="1"/>
      <c r="B561" s="2"/>
      <c r="C561" s="3"/>
      <c r="D561" s="4"/>
      <c r="E561" s="4"/>
      <c r="F561" s="4"/>
      <c r="G561" s="4"/>
      <c r="H561" s="4"/>
      <c r="I561" s="4"/>
      <c r="J561" s="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25">
      <c r="A562" s="1"/>
      <c r="B562" s="2"/>
      <c r="C562" s="3"/>
      <c r="D562" s="4"/>
      <c r="E562" s="4"/>
      <c r="F562" s="4"/>
      <c r="G562" s="4"/>
      <c r="H562" s="4"/>
      <c r="I562" s="4"/>
      <c r="J562" s="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25">
      <c r="A563" s="1"/>
      <c r="B563" s="2"/>
      <c r="C563" s="3"/>
      <c r="D563" s="4"/>
      <c r="E563" s="4"/>
      <c r="F563" s="4"/>
      <c r="G563" s="4"/>
      <c r="H563" s="4"/>
      <c r="I563" s="4"/>
      <c r="J563" s="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25">
      <c r="A564" s="1"/>
      <c r="B564" s="2"/>
      <c r="C564" s="3"/>
      <c r="D564" s="4"/>
      <c r="E564" s="4"/>
      <c r="F564" s="4"/>
      <c r="G564" s="4"/>
      <c r="H564" s="4"/>
      <c r="I564" s="4"/>
      <c r="J564" s="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25">
      <c r="A565" s="1"/>
      <c r="B565" s="2"/>
      <c r="C565" s="3"/>
      <c r="D565" s="4"/>
      <c r="E565" s="4"/>
      <c r="F565" s="4"/>
      <c r="G565" s="4"/>
      <c r="H565" s="4"/>
      <c r="I565" s="4"/>
      <c r="J565" s="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25">
      <c r="A566" s="1"/>
      <c r="B566" s="2"/>
      <c r="C566" s="3"/>
      <c r="D566" s="4"/>
      <c r="E566" s="4"/>
      <c r="F566" s="4"/>
      <c r="G566" s="4"/>
      <c r="H566" s="4"/>
      <c r="I566" s="4"/>
      <c r="J566" s="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25">
      <c r="A567" s="1"/>
      <c r="B567" s="2"/>
      <c r="C567" s="3"/>
      <c r="D567" s="4"/>
      <c r="E567" s="4"/>
      <c r="F567" s="4"/>
      <c r="G567" s="4"/>
      <c r="H567" s="4"/>
      <c r="I567" s="4"/>
      <c r="J567" s="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25">
      <c r="A568" s="1"/>
      <c r="B568" s="2"/>
      <c r="C568" s="3"/>
      <c r="D568" s="4"/>
      <c r="E568" s="4"/>
      <c r="F568" s="4"/>
      <c r="G568" s="4"/>
      <c r="H568" s="4"/>
      <c r="I568" s="4"/>
      <c r="J568" s="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25">
      <c r="A569" s="1"/>
      <c r="B569" s="2"/>
      <c r="C569" s="3"/>
      <c r="D569" s="4"/>
      <c r="E569" s="4"/>
      <c r="F569" s="4"/>
      <c r="G569" s="4"/>
      <c r="H569" s="4"/>
      <c r="I569" s="4"/>
      <c r="J569" s="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25">
      <c r="A570" s="1"/>
      <c r="B570" s="2"/>
      <c r="C570" s="3"/>
      <c r="D570" s="4"/>
      <c r="E570" s="4"/>
      <c r="F570" s="4"/>
      <c r="G570" s="4"/>
      <c r="H570" s="4"/>
      <c r="I570" s="4"/>
      <c r="J570" s="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25">
      <c r="A571" s="1"/>
      <c r="B571" s="2"/>
      <c r="C571" s="3"/>
      <c r="D571" s="4"/>
      <c r="E571" s="4"/>
      <c r="F571" s="4"/>
      <c r="G571" s="4"/>
      <c r="H571" s="4"/>
      <c r="I571" s="4"/>
      <c r="J571" s="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25">
      <c r="A572" s="1"/>
      <c r="B572" s="2"/>
      <c r="C572" s="3"/>
      <c r="D572" s="4"/>
      <c r="E572" s="4"/>
      <c r="F572" s="4"/>
      <c r="G572" s="4"/>
      <c r="H572" s="4"/>
      <c r="I572" s="4"/>
      <c r="J572" s="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25">
      <c r="A573" s="1"/>
      <c r="B573" s="2"/>
      <c r="C573" s="3"/>
      <c r="D573" s="4"/>
      <c r="E573" s="4"/>
      <c r="F573" s="4"/>
      <c r="G573" s="4"/>
      <c r="H573" s="4"/>
      <c r="I573" s="4"/>
      <c r="J573" s="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25">
      <c r="A574" s="1"/>
      <c r="B574" s="2"/>
      <c r="C574" s="3"/>
      <c r="D574" s="4"/>
      <c r="E574" s="4"/>
      <c r="F574" s="4"/>
      <c r="G574" s="4"/>
      <c r="H574" s="4"/>
      <c r="I574" s="4"/>
      <c r="J574" s="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25">
      <c r="A575" s="1"/>
      <c r="B575" s="2"/>
      <c r="C575" s="3"/>
      <c r="D575" s="4"/>
      <c r="E575" s="4"/>
      <c r="F575" s="4"/>
      <c r="G575" s="4"/>
      <c r="H575" s="4"/>
      <c r="I575" s="4"/>
      <c r="J575" s="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25">
      <c r="A576" s="1"/>
      <c r="B576" s="2"/>
      <c r="C576" s="3"/>
      <c r="D576" s="4"/>
      <c r="E576" s="4"/>
      <c r="F576" s="4"/>
      <c r="G576" s="4"/>
      <c r="H576" s="4"/>
      <c r="I576" s="4"/>
      <c r="J576" s="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25">
      <c r="A577" s="1"/>
      <c r="B577" s="2"/>
      <c r="C577" s="3"/>
      <c r="D577" s="4"/>
      <c r="E577" s="4"/>
      <c r="F577" s="4"/>
      <c r="G577" s="4"/>
      <c r="H577" s="4"/>
      <c r="I577" s="4"/>
      <c r="J577" s="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25">
      <c r="A578" s="1"/>
      <c r="B578" s="2"/>
      <c r="C578" s="3"/>
      <c r="D578" s="4"/>
      <c r="E578" s="4"/>
      <c r="F578" s="4"/>
      <c r="G578" s="4"/>
      <c r="H578" s="4"/>
      <c r="I578" s="4"/>
      <c r="J578" s="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25">
      <c r="A579" s="1"/>
      <c r="B579" s="2"/>
      <c r="C579" s="3"/>
      <c r="D579" s="4"/>
      <c r="E579" s="4"/>
      <c r="F579" s="4"/>
      <c r="G579" s="4"/>
      <c r="H579" s="4"/>
      <c r="I579" s="4"/>
      <c r="J579" s="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25">
      <c r="A580" s="1"/>
      <c r="B580" s="2"/>
      <c r="C580" s="3"/>
      <c r="D580" s="4"/>
      <c r="E580" s="4"/>
      <c r="F580" s="4"/>
      <c r="G580" s="4"/>
      <c r="H580" s="4"/>
      <c r="I580" s="4"/>
      <c r="J580" s="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25">
      <c r="A581" s="1"/>
      <c r="B581" s="2"/>
      <c r="C581" s="3"/>
      <c r="D581" s="4"/>
      <c r="E581" s="4"/>
      <c r="F581" s="4"/>
      <c r="G581" s="4"/>
      <c r="H581" s="4"/>
      <c r="I581" s="4"/>
      <c r="J581" s="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25">
      <c r="A582" s="1"/>
      <c r="B582" s="2"/>
      <c r="C582" s="3"/>
      <c r="D582" s="4"/>
      <c r="E582" s="4"/>
      <c r="F582" s="4"/>
      <c r="G582" s="4"/>
      <c r="H582" s="4"/>
      <c r="I582" s="4"/>
      <c r="J582" s="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25">
      <c r="A583" s="1"/>
      <c r="B583" s="2"/>
      <c r="C583" s="3"/>
      <c r="D583" s="4"/>
      <c r="E583" s="4"/>
      <c r="F583" s="4"/>
      <c r="G583" s="4"/>
      <c r="H583" s="4"/>
      <c r="I583" s="4"/>
      <c r="J583" s="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25">
      <c r="A584" s="1"/>
      <c r="B584" s="2"/>
      <c r="C584" s="3"/>
      <c r="D584" s="4"/>
      <c r="E584" s="4"/>
      <c r="F584" s="4"/>
      <c r="G584" s="4"/>
      <c r="H584" s="4"/>
      <c r="I584" s="4"/>
      <c r="J584" s="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25">
      <c r="A585" s="1"/>
      <c r="B585" s="2"/>
      <c r="C585" s="3"/>
      <c r="D585" s="4"/>
      <c r="E585" s="4"/>
      <c r="F585" s="4"/>
      <c r="G585" s="4"/>
      <c r="H585" s="4"/>
      <c r="I585" s="4"/>
      <c r="J585" s="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25">
      <c r="A586" s="1"/>
      <c r="B586" s="2"/>
      <c r="C586" s="3"/>
      <c r="D586" s="4"/>
      <c r="E586" s="4"/>
      <c r="F586" s="4"/>
      <c r="G586" s="4"/>
      <c r="H586" s="4"/>
      <c r="I586" s="4"/>
      <c r="J586" s="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25">
      <c r="A587" s="1"/>
      <c r="B587" s="2"/>
      <c r="C587" s="3"/>
      <c r="D587" s="4"/>
      <c r="E587" s="4"/>
      <c r="F587" s="4"/>
      <c r="G587" s="4"/>
      <c r="H587" s="4"/>
      <c r="I587" s="4"/>
      <c r="J587" s="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25">
      <c r="A588" s="1"/>
      <c r="B588" s="2"/>
      <c r="C588" s="3"/>
      <c r="D588" s="4"/>
      <c r="E588" s="4"/>
      <c r="F588" s="4"/>
      <c r="G588" s="4"/>
      <c r="H588" s="4"/>
      <c r="I588" s="4"/>
      <c r="J588" s="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25">
      <c r="A589" s="1"/>
      <c r="B589" s="2"/>
      <c r="C589" s="3"/>
      <c r="D589" s="4"/>
      <c r="E589" s="4"/>
      <c r="F589" s="4"/>
      <c r="G589" s="4"/>
      <c r="H589" s="4"/>
      <c r="I589" s="4"/>
      <c r="J589" s="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25">
      <c r="A590" s="1"/>
      <c r="B590" s="2"/>
      <c r="C590" s="3"/>
      <c r="D590" s="4"/>
      <c r="E590" s="4"/>
      <c r="F590" s="4"/>
      <c r="G590" s="4"/>
      <c r="H590" s="4"/>
      <c r="I590" s="4"/>
      <c r="J590" s="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25">
      <c r="A591" s="1"/>
      <c r="B591" s="2"/>
      <c r="C591" s="3"/>
      <c r="D591" s="4"/>
      <c r="E591" s="4"/>
      <c r="F591" s="4"/>
      <c r="G591" s="4"/>
      <c r="H591" s="4"/>
      <c r="I591" s="4"/>
      <c r="J591" s="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25">
      <c r="A592" s="1"/>
      <c r="B592" s="2"/>
      <c r="C592" s="3"/>
      <c r="D592" s="4"/>
      <c r="E592" s="4"/>
      <c r="F592" s="4"/>
      <c r="G592" s="4"/>
      <c r="H592" s="4"/>
      <c r="I592" s="4"/>
      <c r="J592" s="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25">
      <c r="A593" s="1"/>
      <c r="B593" s="2"/>
      <c r="C593" s="3"/>
      <c r="D593" s="4"/>
      <c r="E593" s="4"/>
      <c r="F593" s="4"/>
      <c r="G593" s="4"/>
      <c r="H593" s="4"/>
      <c r="I593" s="4"/>
      <c r="J593" s="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25">
      <c r="A594" s="1"/>
      <c r="B594" s="2"/>
      <c r="C594" s="3"/>
      <c r="D594" s="4"/>
      <c r="E594" s="4"/>
      <c r="F594" s="4"/>
      <c r="G594" s="4"/>
      <c r="H594" s="4"/>
      <c r="I594" s="4"/>
      <c r="J594" s="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25">
      <c r="A595" s="1"/>
      <c r="B595" s="2"/>
      <c r="C595" s="3"/>
      <c r="D595" s="4"/>
      <c r="E595" s="4"/>
      <c r="F595" s="4"/>
      <c r="G595" s="4"/>
      <c r="H595" s="4"/>
      <c r="I595" s="4"/>
      <c r="J595" s="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25">
      <c r="A596" s="1"/>
      <c r="B596" s="2"/>
      <c r="C596" s="3"/>
      <c r="D596" s="4"/>
      <c r="E596" s="4"/>
      <c r="F596" s="4"/>
      <c r="G596" s="4"/>
      <c r="H596" s="4"/>
      <c r="I596" s="4"/>
      <c r="J596" s="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25">
      <c r="A597" s="1"/>
      <c r="B597" s="2"/>
      <c r="C597" s="3"/>
      <c r="D597" s="4"/>
      <c r="E597" s="4"/>
      <c r="F597" s="4"/>
      <c r="G597" s="4"/>
      <c r="H597" s="4"/>
      <c r="I597" s="4"/>
      <c r="J597" s="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25">
      <c r="A598" s="1"/>
      <c r="B598" s="2"/>
      <c r="C598" s="3"/>
      <c r="D598" s="4"/>
      <c r="E598" s="4"/>
      <c r="F598" s="4"/>
      <c r="G598" s="4"/>
      <c r="H598" s="4"/>
      <c r="I598" s="4"/>
      <c r="J598" s="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25">
      <c r="A599" s="1"/>
      <c r="B599" s="2"/>
      <c r="C599" s="3"/>
      <c r="D599" s="4"/>
      <c r="E599" s="4"/>
      <c r="F599" s="4"/>
      <c r="G599" s="4"/>
      <c r="H599" s="4"/>
      <c r="I599" s="4"/>
      <c r="J599" s="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25">
      <c r="A600" s="1"/>
      <c r="B600" s="2"/>
      <c r="C600" s="3"/>
      <c r="D600" s="4"/>
      <c r="E600" s="4"/>
      <c r="F600" s="4"/>
      <c r="G600" s="4"/>
      <c r="H600" s="4"/>
      <c r="I600" s="4"/>
      <c r="J600" s="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25">
      <c r="A601" s="1"/>
      <c r="B601" s="2"/>
      <c r="C601" s="3"/>
      <c r="D601" s="4"/>
      <c r="E601" s="4"/>
      <c r="F601" s="4"/>
      <c r="G601" s="4"/>
      <c r="H601" s="4"/>
      <c r="I601" s="4"/>
      <c r="J601" s="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25">
      <c r="A602" s="1"/>
      <c r="B602" s="2"/>
      <c r="C602" s="3"/>
      <c r="D602" s="4"/>
      <c r="E602" s="4"/>
      <c r="F602" s="4"/>
      <c r="G602" s="4"/>
      <c r="H602" s="4"/>
      <c r="I602" s="4"/>
      <c r="J602" s="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25">
      <c r="A603" s="1"/>
      <c r="B603" s="2"/>
      <c r="C603" s="3"/>
      <c r="D603" s="4"/>
      <c r="E603" s="4"/>
      <c r="F603" s="4"/>
      <c r="G603" s="4"/>
      <c r="H603" s="4"/>
      <c r="I603" s="4"/>
      <c r="J603" s="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25">
      <c r="A604" s="1"/>
      <c r="B604" s="2"/>
      <c r="C604" s="3"/>
      <c r="D604" s="4"/>
      <c r="E604" s="4"/>
      <c r="F604" s="4"/>
      <c r="G604" s="4"/>
      <c r="H604" s="4"/>
      <c r="I604" s="4"/>
      <c r="J604" s="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25">
      <c r="A605" s="1"/>
      <c r="B605" s="2"/>
      <c r="C605" s="3"/>
      <c r="D605" s="4"/>
      <c r="E605" s="4"/>
      <c r="F605" s="4"/>
      <c r="G605" s="4"/>
      <c r="H605" s="4"/>
      <c r="I605" s="4"/>
      <c r="J605" s="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25">
      <c r="A606" s="1"/>
      <c r="B606" s="2"/>
      <c r="C606" s="3"/>
      <c r="D606" s="4"/>
      <c r="E606" s="4"/>
      <c r="F606" s="4"/>
      <c r="G606" s="4"/>
      <c r="H606" s="4"/>
      <c r="I606" s="4"/>
      <c r="J606" s="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25">
      <c r="A607" s="1"/>
      <c r="B607" s="2"/>
      <c r="C607" s="3"/>
      <c r="D607" s="4"/>
      <c r="E607" s="4"/>
      <c r="F607" s="4"/>
      <c r="G607" s="4"/>
      <c r="H607" s="4"/>
      <c r="I607" s="4"/>
      <c r="J607" s="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25">
      <c r="A608" s="1"/>
      <c r="B608" s="2"/>
      <c r="C608" s="3"/>
      <c r="D608" s="4"/>
      <c r="E608" s="4"/>
      <c r="F608" s="4"/>
      <c r="G608" s="4"/>
      <c r="H608" s="4"/>
      <c r="I608" s="4"/>
      <c r="J608" s="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25">
      <c r="A609" s="1"/>
      <c r="B609" s="2"/>
      <c r="C609" s="3"/>
      <c r="D609" s="4"/>
      <c r="E609" s="4"/>
      <c r="F609" s="4"/>
      <c r="G609" s="4"/>
      <c r="H609" s="4"/>
      <c r="I609" s="4"/>
      <c r="J609" s="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25">
      <c r="A610" s="1"/>
      <c r="B610" s="2"/>
      <c r="C610" s="3"/>
      <c r="D610" s="4"/>
      <c r="E610" s="4"/>
      <c r="F610" s="4"/>
      <c r="G610" s="4"/>
      <c r="H610" s="4"/>
      <c r="I610" s="4"/>
      <c r="J610" s="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25">
      <c r="A611" s="1"/>
      <c r="B611" s="2"/>
      <c r="C611" s="3"/>
      <c r="D611" s="4"/>
      <c r="E611" s="4"/>
      <c r="F611" s="4"/>
      <c r="G611" s="4"/>
      <c r="H611" s="4"/>
      <c r="I611" s="4"/>
      <c r="J611" s="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25">
      <c r="A612" s="1"/>
      <c r="B612" s="2"/>
      <c r="C612" s="3"/>
      <c r="D612" s="4"/>
      <c r="E612" s="4"/>
      <c r="F612" s="4"/>
      <c r="G612" s="4"/>
      <c r="H612" s="4"/>
      <c r="I612" s="4"/>
      <c r="J612" s="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25">
      <c r="A613" s="1"/>
      <c r="B613" s="2"/>
      <c r="C613" s="3"/>
      <c r="D613" s="4"/>
      <c r="E613" s="4"/>
      <c r="F613" s="4"/>
      <c r="G613" s="4"/>
      <c r="H613" s="4"/>
      <c r="I613" s="4"/>
      <c r="J613" s="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25">
      <c r="A614" s="1"/>
      <c r="B614" s="2"/>
      <c r="C614" s="3"/>
      <c r="D614" s="4"/>
      <c r="E614" s="4"/>
      <c r="F614" s="4"/>
      <c r="G614" s="4"/>
      <c r="H614" s="4"/>
      <c r="I614" s="4"/>
      <c r="J614" s="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25">
      <c r="A615" s="1"/>
      <c r="B615" s="2"/>
      <c r="C615" s="3"/>
      <c r="D615" s="4"/>
      <c r="E615" s="4"/>
      <c r="F615" s="4"/>
      <c r="G615" s="4"/>
      <c r="H615" s="4"/>
      <c r="I615" s="4"/>
      <c r="J615" s="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25">
      <c r="A616" s="1"/>
      <c r="B616" s="2"/>
      <c r="C616" s="3"/>
      <c r="D616" s="4"/>
      <c r="E616" s="4"/>
      <c r="F616" s="4"/>
      <c r="G616" s="4"/>
      <c r="H616" s="4"/>
      <c r="I616" s="4"/>
      <c r="J616" s="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25">
      <c r="A617" s="1"/>
      <c r="B617" s="2"/>
      <c r="C617" s="3"/>
      <c r="D617" s="4"/>
      <c r="E617" s="4"/>
      <c r="F617" s="4"/>
      <c r="G617" s="4"/>
      <c r="H617" s="4"/>
      <c r="I617" s="4"/>
      <c r="J617" s="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25">
      <c r="A618" s="1"/>
      <c r="B618" s="2"/>
      <c r="C618" s="3"/>
      <c r="D618" s="4"/>
      <c r="E618" s="4"/>
      <c r="F618" s="4"/>
      <c r="G618" s="4"/>
      <c r="H618" s="4"/>
      <c r="I618" s="4"/>
      <c r="J618" s="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25">
      <c r="A619" s="1"/>
      <c r="B619" s="2"/>
      <c r="C619" s="3"/>
      <c r="D619" s="4"/>
      <c r="E619" s="4"/>
      <c r="F619" s="4"/>
      <c r="G619" s="4"/>
      <c r="H619" s="4"/>
      <c r="I619" s="4"/>
      <c r="J619" s="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25">
      <c r="A620" s="1"/>
      <c r="B620" s="2"/>
      <c r="C620" s="3"/>
      <c r="D620" s="4"/>
      <c r="E620" s="4"/>
      <c r="F620" s="4"/>
      <c r="G620" s="4"/>
      <c r="H620" s="4"/>
      <c r="I620" s="4"/>
      <c r="J620" s="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25">
      <c r="A621" s="1"/>
      <c r="B621" s="2"/>
      <c r="C621" s="3"/>
      <c r="D621" s="4"/>
      <c r="E621" s="4"/>
      <c r="F621" s="4"/>
      <c r="G621" s="4"/>
      <c r="H621" s="4"/>
      <c r="I621" s="4"/>
      <c r="J621" s="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25">
      <c r="A622" s="1"/>
      <c r="B622" s="2"/>
      <c r="C622" s="3"/>
      <c r="D622" s="4"/>
      <c r="E622" s="4"/>
      <c r="F622" s="4"/>
      <c r="G622" s="4"/>
      <c r="H622" s="4"/>
      <c r="I622" s="4"/>
      <c r="J622" s="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25">
      <c r="A623" s="1"/>
      <c r="B623" s="2"/>
      <c r="C623" s="3"/>
      <c r="D623" s="4"/>
      <c r="E623" s="4"/>
      <c r="F623" s="4"/>
      <c r="G623" s="4"/>
      <c r="H623" s="4"/>
      <c r="I623" s="4"/>
      <c r="J623" s="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25">
      <c r="A624" s="1"/>
      <c r="B624" s="2"/>
      <c r="C624" s="3"/>
      <c r="D624" s="4"/>
      <c r="E624" s="4"/>
      <c r="F624" s="4"/>
      <c r="G624" s="4"/>
      <c r="H624" s="4"/>
      <c r="I624" s="4"/>
      <c r="J624" s="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25">
      <c r="A625" s="1"/>
      <c r="B625" s="2"/>
      <c r="C625" s="3"/>
      <c r="D625" s="4"/>
      <c r="E625" s="4"/>
      <c r="F625" s="4"/>
      <c r="G625" s="4"/>
      <c r="H625" s="4"/>
      <c r="I625" s="4"/>
      <c r="J625" s="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25">
      <c r="A626" s="1"/>
      <c r="B626" s="2"/>
      <c r="C626" s="3"/>
      <c r="D626" s="4"/>
      <c r="E626" s="4"/>
      <c r="F626" s="4"/>
      <c r="G626" s="4"/>
      <c r="H626" s="4"/>
      <c r="I626" s="4"/>
      <c r="J626" s="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25">
      <c r="A627" s="1"/>
      <c r="B627" s="2"/>
      <c r="C627" s="3"/>
      <c r="D627" s="4"/>
      <c r="E627" s="4"/>
      <c r="F627" s="4"/>
      <c r="G627" s="4"/>
      <c r="H627" s="4"/>
      <c r="I627" s="4"/>
      <c r="J627" s="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25">
      <c r="A628" s="1"/>
      <c r="B628" s="2"/>
      <c r="C628" s="3"/>
      <c r="D628" s="4"/>
      <c r="E628" s="4"/>
      <c r="F628" s="4"/>
      <c r="G628" s="4"/>
      <c r="H628" s="4"/>
      <c r="I628" s="4"/>
      <c r="J628" s="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25">
      <c r="A629" s="1"/>
      <c r="B629" s="2"/>
      <c r="C629" s="3"/>
      <c r="D629" s="4"/>
      <c r="E629" s="4"/>
      <c r="F629" s="4"/>
      <c r="G629" s="4"/>
      <c r="H629" s="4"/>
      <c r="I629" s="4"/>
      <c r="J629" s="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25">
      <c r="A630" s="1"/>
      <c r="B630" s="2"/>
      <c r="C630" s="3"/>
      <c r="D630" s="4"/>
      <c r="E630" s="4"/>
      <c r="F630" s="4"/>
      <c r="G630" s="4"/>
      <c r="H630" s="4"/>
      <c r="I630" s="4"/>
      <c r="J630" s="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25">
      <c r="A631" s="1"/>
      <c r="B631" s="2"/>
      <c r="C631" s="3"/>
      <c r="D631" s="4"/>
      <c r="E631" s="4"/>
      <c r="F631" s="4"/>
      <c r="G631" s="4"/>
      <c r="H631" s="4"/>
      <c r="I631" s="4"/>
      <c r="J631" s="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25">
      <c r="A632" s="1"/>
      <c r="B632" s="2"/>
      <c r="C632" s="3"/>
      <c r="D632" s="4"/>
      <c r="E632" s="4"/>
      <c r="F632" s="4"/>
      <c r="G632" s="4"/>
      <c r="H632" s="4"/>
      <c r="I632" s="4"/>
      <c r="J632" s="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25">
      <c r="A633" s="1"/>
      <c r="B633" s="2"/>
      <c r="C633" s="3"/>
      <c r="D633" s="4"/>
      <c r="E633" s="4"/>
      <c r="F633" s="4"/>
      <c r="G633" s="4"/>
      <c r="H633" s="4"/>
      <c r="I633" s="4"/>
      <c r="J633" s="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25">
      <c r="A634" s="1"/>
      <c r="B634" s="2"/>
      <c r="C634" s="3"/>
      <c r="D634" s="4"/>
      <c r="E634" s="4"/>
      <c r="F634" s="4"/>
      <c r="G634" s="4"/>
      <c r="H634" s="4"/>
      <c r="I634" s="4"/>
      <c r="J634" s="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25">
      <c r="A635" s="1"/>
      <c r="B635" s="2"/>
      <c r="C635" s="3"/>
      <c r="D635" s="4"/>
      <c r="E635" s="4"/>
      <c r="F635" s="4"/>
      <c r="G635" s="4"/>
      <c r="H635" s="4"/>
      <c r="I635" s="4"/>
      <c r="J635" s="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25">
      <c r="A636" s="1"/>
      <c r="B636" s="2"/>
      <c r="C636" s="3"/>
      <c r="D636" s="4"/>
      <c r="E636" s="4"/>
      <c r="F636" s="4"/>
      <c r="G636" s="4"/>
      <c r="H636" s="4"/>
      <c r="I636" s="4"/>
      <c r="J636" s="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25">
      <c r="A637" s="1"/>
      <c r="B637" s="2"/>
      <c r="C637" s="3"/>
      <c r="D637" s="4"/>
      <c r="E637" s="4"/>
      <c r="F637" s="4"/>
      <c r="G637" s="4"/>
      <c r="H637" s="4"/>
      <c r="I637" s="4"/>
      <c r="J637" s="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25">
      <c r="A638" s="1"/>
      <c r="B638" s="2"/>
      <c r="C638" s="3"/>
      <c r="D638" s="4"/>
      <c r="E638" s="4"/>
      <c r="F638" s="4"/>
      <c r="G638" s="4"/>
      <c r="H638" s="4"/>
      <c r="I638" s="4"/>
      <c r="J638" s="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25">
      <c r="A639" s="1"/>
      <c r="B639" s="2"/>
      <c r="C639" s="3"/>
      <c r="D639" s="4"/>
      <c r="E639" s="4"/>
      <c r="F639" s="4"/>
      <c r="G639" s="4"/>
      <c r="H639" s="4"/>
      <c r="I639" s="4"/>
      <c r="J639" s="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25">
      <c r="A640" s="1"/>
      <c r="B640" s="2"/>
      <c r="C640" s="3"/>
      <c r="D640" s="4"/>
      <c r="E640" s="4"/>
      <c r="F640" s="4"/>
      <c r="G640" s="4"/>
      <c r="H640" s="4"/>
      <c r="I640" s="4"/>
      <c r="J640" s="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25">
      <c r="A641" s="1"/>
      <c r="B641" s="2"/>
      <c r="C641" s="3"/>
      <c r="D641" s="4"/>
      <c r="E641" s="4"/>
      <c r="F641" s="4"/>
      <c r="G641" s="4"/>
      <c r="H641" s="4"/>
      <c r="I641" s="4"/>
      <c r="J641" s="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25">
      <c r="A642" s="1"/>
      <c r="B642" s="2"/>
      <c r="C642" s="3"/>
      <c r="D642" s="4"/>
      <c r="E642" s="4"/>
      <c r="F642" s="4"/>
      <c r="G642" s="4"/>
      <c r="H642" s="4"/>
      <c r="I642" s="4"/>
      <c r="J642" s="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25">
      <c r="A643" s="1"/>
      <c r="B643" s="2"/>
      <c r="C643" s="3"/>
      <c r="D643" s="4"/>
      <c r="E643" s="4"/>
      <c r="F643" s="4"/>
      <c r="G643" s="4"/>
      <c r="H643" s="4"/>
      <c r="I643" s="4"/>
      <c r="J643" s="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25">
      <c r="A644" s="1"/>
      <c r="B644" s="2"/>
      <c r="C644" s="3"/>
      <c r="D644" s="4"/>
      <c r="E644" s="4"/>
      <c r="F644" s="4"/>
      <c r="G644" s="4"/>
      <c r="H644" s="4"/>
      <c r="I644" s="4"/>
      <c r="J644" s="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25">
      <c r="A645" s="1"/>
      <c r="B645" s="2"/>
      <c r="C645" s="3"/>
      <c r="D645" s="4"/>
      <c r="E645" s="4"/>
      <c r="F645" s="4"/>
      <c r="G645" s="4"/>
      <c r="H645" s="4"/>
      <c r="I645" s="4"/>
      <c r="J645" s="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25">
      <c r="A646" s="1"/>
      <c r="B646" s="2"/>
      <c r="C646" s="3"/>
      <c r="D646" s="4"/>
      <c r="E646" s="4"/>
      <c r="F646" s="4"/>
      <c r="G646" s="4"/>
      <c r="H646" s="4"/>
      <c r="I646" s="4"/>
      <c r="J646" s="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25">
      <c r="A647" s="1"/>
      <c r="B647" s="2"/>
      <c r="C647" s="3"/>
      <c r="D647" s="4"/>
      <c r="E647" s="4"/>
      <c r="F647" s="4"/>
      <c r="G647" s="4"/>
      <c r="H647" s="4"/>
      <c r="I647" s="4"/>
      <c r="J647" s="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25">
      <c r="A648" s="1"/>
      <c r="B648" s="2"/>
      <c r="C648" s="3"/>
      <c r="D648" s="4"/>
      <c r="E648" s="4"/>
      <c r="F648" s="4"/>
      <c r="G648" s="4"/>
      <c r="H648" s="4"/>
      <c r="I648" s="4"/>
      <c r="J648" s="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25">
      <c r="A649" s="1"/>
      <c r="B649" s="2"/>
      <c r="C649" s="3"/>
      <c r="D649" s="4"/>
      <c r="E649" s="4"/>
      <c r="F649" s="4"/>
      <c r="G649" s="4"/>
      <c r="H649" s="4"/>
      <c r="I649" s="4"/>
      <c r="J649" s="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25">
      <c r="A650" s="1"/>
      <c r="B650" s="2"/>
      <c r="C650" s="3"/>
      <c r="D650" s="4"/>
      <c r="E650" s="4"/>
      <c r="F650" s="4"/>
      <c r="G650" s="4"/>
      <c r="H650" s="4"/>
      <c r="I650" s="4"/>
      <c r="J650" s="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25">
      <c r="A651" s="1"/>
      <c r="B651" s="2"/>
      <c r="C651" s="3"/>
      <c r="D651" s="4"/>
      <c r="E651" s="4"/>
      <c r="F651" s="4"/>
      <c r="G651" s="4"/>
      <c r="H651" s="4"/>
      <c r="I651" s="4"/>
      <c r="J651" s="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25">
      <c r="A652" s="1"/>
      <c r="B652" s="2"/>
      <c r="C652" s="3"/>
      <c r="D652" s="4"/>
      <c r="E652" s="4"/>
      <c r="F652" s="4"/>
      <c r="G652" s="4"/>
      <c r="H652" s="4"/>
      <c r="I652" s="4"/>
      <c r="J652" s="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25">
      <c r="A653" s="1"/>
      <c r="B653" s="2"/>
      <c r="C653" s="3"/>
      <c r="D653" s="4"/>
      <c r="E653" s="4"/>
      <c r="F653" s="4"/>
      <c r="G653" s="4"/>
      <c r="H653" s="4"/>
      <c r="I653" s="4"/>
      <c r="J653" s="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25">
      <c r="A654" s="1"/>
      <c r="B654" s="2"/>
      <c r="C654" s="3"/>
      <c r="D654" s="4"/>
      <c r="E654" s="4"/>
      <c r="F654" s="4"/>
      <c r="G654" s="4"/>
      <c r="H654" s="4"/>
      <c r="I654" s="4"/>
      <c r="J654" s="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25">
      <c r="A655" s="1"/>
      <c r="B655" s="2"/>
      <c r="C655" s="3"/>
      <c r="D655" s="4"/>
      <c r="E655" s="4"/>
      <c r="F655" s="4"/>
      <c r="G655" s="4"/>
      <c r="H655" s="4"/>
      <c r="I655" s="4"/>
      <c r="J655" s="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25">
      <c r="A656" s="1"/>
      <c r="B656" s="2"/>
      <c r="C656" s="3"/>
      <c r="D656" s="4"/>
      <c r="E656" s="4"/>
      <c r="F656" s="4"/>
      <c r="G656" s="4"/>
      <c r="H656" s="4"/>
      <c r="I656" s="4"/>
      <c r="J656" s="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25">
      <c r="A657" s="1"/>
      <c r="B657" s="2"/>
      <c r="C657" s="3"/>
      <c r="D657" s="4"/>
      <c r="E657" s="4"/>
      <c r="F657" s="4"/>
      <c r="G657" s="4"/>
      <c r="H657" s="4"/>
      <c r="I657" s="4"/>
      <c r="J657" s="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25">
      <c r="A658" s="1"/>
      <c r="B658" s="2"/>
      <c r="C658" s="3"/>
      <c r="D658" s="4"/>
      <c r="E658" s="4"/>
      <c r="F658" s="4"/>
      <c r="G658" s="4"/>
      <c r="H658" s="4"/>
      <c r="I658" s="4"/>
      <c r="J658" s="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25">
      <c r="A659" s="1"/>
      <c r="B659" s="2"/>
      <c r="C659" s="3"/>
      <c r="D659" s="4"/>
      <c r="E659" s="4"/>
      <c r="F659" s="4"/>
      <c r="G659" s="4"/>
      <c r="H659" s="4"/>
      <c r="I659" s="4"/>
      <c r="J659" s="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25">
      <c r="A660" s="1"/>
      <c r="B660" s="2"/>
      <c r="C660" s="3"/>
      <c r="D660" s="4"/>
      <c r="E660" s="4"/>
      <c r="F660" s="4"/>
      <c r="G660" s="4"/>
      <c r="H660" s="4"/>
      <c r="I660" s="4"/>
      <c r="J660" s="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25">
      <c r="A661" s="1"/>
      <c r="B661" s="2"/>
      <c r="C661" s="3"/>
      <c r="D661" s="4"/>
      <c r="E661" s="4"/>
      <c r="F661" s="4"/>
      <c r="G661" s="4"/>
      <c r="H661" s="4"/>
      <c r="I661" s="4"/>
      <c r="J661" s="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25">
      <c r="A662" s="1"/>
      <c r="B662" s="2"/>
      <c r="C662" s="3"/>
      <c r="D662" s="4"/>
      <c r="E662" s="4"/>
      <c r="F662" s="4"/>
      <c r="G662" s="4"/>
      <c r="H662" s="4"/>
      <c r="I662" s="4"/>
      <c r="J662" s="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25">
      <c r="A663" s="1"/>
      <c r="B663" s="2"/>
      <c r="C663" s="3"/>
      <c r="D663" s="4"/>
      <c r="E663" s="4"/>
      <c r="F663" s="4"/>
      <c r="G663" s="4"/>
      <c r="H663" s="4"/>
      <c r="I663" s="4"/>
      <c r="J663" s="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25">
      <c r="A664" s="1"/>
      <c r="B664" s="2"/>
      <c r="C664" s="3"/>
      <c r="D664" s="4"/>
      <c r="E664" s="4"/>
      <c r="F664" s="4"/>
      <c r="G664" s="4"/>
      <c r="H664" s="4"/>
      <c r="I664" s="4"/>
      <c r="J664" s="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25">
      <c r="A665" s="1"/>
      <c r="B665" s="2"/>
      <c r="C665" s="3"/>
      <c r="D665" s="4"/>
      <c r="E665" s="4"/>
      <c r="F665" s="4"/>
      <c r="G665" s="4"/>
      <c r="H665" s="4"/>
      <c r="I665" s="4"/>
      <c r="J665" s="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25">
      <c r="A666" s="1"/>
      <c r="B666" s="2"/>
      <c r="C666" s="3"/>
      <c r="D666" s="4"/>
      <c r="E666" s="4"/>
      <c r="F666" s="4"/>
      <c r="G666" s="4"/>
      <c r="H666" s="4"/>
      <c r="I666" s="4"/>
      <c r="J666" s="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25">
      <c r="A667" s="1"/>
      <c r="B667" s="2"/>
      <c r="C667" s="3"/>
      <c r="D667" s="4"/>
      <c r="E667" s="4"/>
      <c r="F667" s="4"/>
      <c r="G667" s="4"/>
      <c r="H667" s="4"/>
      <c r="I667" s="4"/>
      <c r="J667" s="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25">
      <c r="A668" s="1"/>
      <c r="B668" s="2"/>
      <c r="C668" s="3"/>
      <c r="D668" s="4"/>
      <c r="E668" s="4"/>
      <c r="F668" s="4"/>
      <c r="G668" s="4"/>
      <c r="H668" s="4"/>
      <c r="I668" s="4"/>
      <c r="J668" s="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25">
      <c r="A669" s="1"/>
      <c r="B669" s="2"/>
      <c r="C669" s="3"/>
      <c r="D669" s="4"/>
      <c r="E669" s="4"/>
      <c r="F669" s="4"/>
      <c r="G669" s="4"/>
      <c r="H669" s="4"/>
      <c r="I669" s="4"/>
      <c r="J669" s="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25">
      <c r="A670" s="1"/>
      <c r="B670" s="2"/>
      <c r="C670" s="3"/>
      <c r="D670" s="4"/>
      <c r="E670" s="4"/>
      <c r="F670" s="4"/>
      <c r="G670" s="4"/>
      <c r="H670" s="4"/>
      <c r="I670" s="4"/>
      <c r="J670" s="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25">
      <c r="A671" s="1"/>
      <c r="B671" s="2"/>
      <c r="C671" s="3"/>
      <c r="D671" s="4"/>
      <c r="E671" s="4"/>
      <c r="F671" s="4"/>
      <c r="G671" s="4"/>
      <c r="H671" s="4"/>
      <c r="I671" s="4"/>
      <c r="J671" s="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25">
      <c r="A672" s="1"/>
      <c r="B672" s="2"/>
      <c r="C672" s="3"/>
      <c r="D672" s="4"/>
      <c r="E672" s="4"/>
      <c r="F672" s="4"/>
      <c r="G672" s="4"/>
      <c r="H672" s="4"/>
      <c r="I672" s="4"/>
      <c r="J672" s="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25">
      <c r="A673" s="1"/>
      <c r="B673" s="2"/>
      <c r="C673" s="3"/>
      <c r="D673" s="4"/>
      <c r="E673" s="4"/>
      <c r="F673" s="4"/>
      <c r="G673" s="4"/>
      <c r="H673" s="4"/>
      <c r="I673" s="4"/>
      <c r="J673" s="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25">
      <c r="A674" s="1"/>
      <c r="B674" s="2"/>
      <c r="C674" s="3"/>
      <c r="D674" s="4"/>
      <c r="E674" s="4"/>
      <c r="F674" s="4"/>
      <c r="G674" s="4"/>
      <c r="H674" s="4"/>
      <c r="I674" s="4"/>
      <c r="J674" s="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25">
      <c r="A675" s="1"/>
      <c r="B675" s="2"/>
      <c r="C675" s="3"/>
      <c r="D675" s="4"/>
      <c r="E675" s="4"/>
      <c r="F675" s="4"/>
      <c r="G675" s="4"/>
      <c r="H675" s="4"/>
      <c r="I675" s="4"/>
      <c r="J675" s="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25">
      <c r="A676" s="1"/>
      <c r="B676" s="2"/>
      <c r="C676" s="3"/>
      <c r="D676" s="4"/>
      <c r="E676" s="4"/>
      <c r="F676" s="4"/>
      <c r="G676" s="4"/>
      <c r="H676" s="4"/>
      <c r="I676" s="4"/>
      <c r="J676" s="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25">
      <c r="A677" s="1"/>
      <c r="B677" s="2"/>
      <c r="C677" s="3"/>
      <c r="D677" s="4"/>
      <c r="E677" s="4"/>
      <c r="F677" s="4"/>
      <c r="G677" s="4"/>
      <c r="H677" s="4"/>
      <c r="I677" s="4"/>
      <c r="J677" s="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25">
      <c r="A678" s="1"/>
      <c r="B678" s="2"/>
      <c r="C678" s="3"/>
      <c r="D678" s="4"/>
      <c r="E678" s="4"/>
      <c r="F678" s="4"/>
      <c r="G678" s="4"/>
      <c r="H678" s="4"/>
      <c r="I678" s="4"/>
      <c r="J678" s="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25">
      <c r="A679" s="1"/>
      <c r="B679" s="2"/>
      <c r="C679" s="3"/>
      <c r="D679" s="4"/>
      <c r="E679" s="4"/>
      <c r="F679" s="4"/>
      <c r="G679" s="4"/>
      <c r="H679" s="4"/>
      <c r="I679" s="4"/>
      <c r="J679" s="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25">
      <c r="A680" s="1"/>
      <c r="B680" s="2"/>
      <c r="C680" s="3"/>
      <c r="D680" s="4"/>
      <c r="E680" s="4"/>
      <c r="F680" s="4"/>
      <c r="G680" s="4"/>
      <c r="H680" s="4"/>
      <c r="I680" s="4"/>
      <c r="J680" s="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25">
      <c r="A681" s="1"/>
      <c r="B681" s="2"/>
      <c r="C681" s="3"/>
      <c r="D681" s="4"/>
      <c r="E681" s="4"/>
      <c r="F681" s="4"/>
      <c r="G681" s="4"/>
      <c r="H681" s="4"/>
      <c r="I681" s="4"/>
      <c r="J681" s="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25">
      <c r="A682" s="1"/>
      <c r="B682" s="2"/>
      <c r="C682" s="3"/>
      <c r="D682" s="4"/>
      <c r="E682" s="4"/>
      <c r="F682" s="4"/>
      <c r="G682" s="4"/>
      <c r="H682" s="4"/>
      <c r="I682" s="4"/>
      <c r="J682" s="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25">
      <c r="A683" s="1"/>
      <c r="B683" s="2"/>
      <c r="C683" s="3"/>
      <c r="D683" s="4"/>
      <c r="E683" s="4"/>
      <c r="F683" s="4"/>
      <c r="G683" s="4"/>
      <c r="H683" s="4"/>
      <c r="I683" s="4"/>
      <c r="J683" s="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25">
      <c r="A684" s="1"/>
      <c r="B684" s="2"/>
      <c r="C684" s="3"/>
      <c r="D684" s="4"/>
      <c r="E684" s="4"/>
      <c r="F684" s="4"/>
      <c r="G684" s="4"/>
      <c r="H684" s="4"/>
      <c r="I684" s="4"/>
      <c r="J684" s="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25">
      <c r="A685" s="1"/>
      <c r="B685" s="2"/>
      <c r="C685" s="3"/>
      <c r="D685" s="4"/>
      <c r="E685" s="4"/>
      <c r="F685" s="4"/>
      <c r="G685" s="4"/>
      <c r="H685" s="4"/>
      <c r="I685" s="4"/>
      <c r="J685" s="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25">
      <c r="A686" s="1"/>
      <c r="B686" s="2"/>
      <c r="C686" s="3"/>
      <c r="D686" s="4"/>
      <c r="E686" s="4"/>
      <c r="F686" s="4"/>
      <c r="G686" s="4"/>
      <c r="H686" s="4"/>
      <c r="I686" s="4"/>
      <c r="J686" s="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25">
      <c r="A687" s="1"/>
      <c r="B687" s="2"/>
      <c r="C687" s="3"/>
      <c r="D687" s="4"/>
      <c r="E687" s="4"/>
      <c r="F687" s="4"/>
      <c r="G687" s="4"/>
      <c r="H687" s="4"/>
      <c r="I687" s="4"/>
      <c r="J687" s="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25">
      <c r="A688" s="1"/>
      <c r="B688" s="2"/>
      <c r="C688" s="3"/>
      <c r="D688" s="4"/>
      <c r="E688" s="4"/>
      <c r="F688" s="4"/>
      <c r="G688" s="4"/>
      <c r="H688" s="4"/>
      <c r="I688" s="4"/>
      <c r="J688" s="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25">
      <c r="A689" s="1"/>
      <c r="B689" s="2"/>
      <c r="C689" s="3"/>
      <c r="D689" s="4"/>
      <c r="E689" s="4"/>
      <c r="F689" s="4"/>
      <c r="G689" s="4"/>
      <c r="H689" s="4"/>
      <c r="I689" s="4"/>
      <c r="J689" s="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25">
      <c r="A690" s="1"/>
      <c r="B690" s="2"/>
      <c r="C690" s="3"/>
      <c r="D690" s="4"/>
      <c r="E690" s="4"/>
      <c r="F690" s="4"/>
      <c r="G690" s="4"/>
      <c r="H690" s="4"/>
      <c r="I690" s="4"/>
      <c r="J690" s="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25">
      <c r="A691" s="1"/>
      <c r="B691" s="2"/>
      <c r="C691" s="3"/>
      <c r="D691" s="4"/>
      <c r="E691" s="4"/>
      <c r="F691" s="4"/>
      <c r="G691" s="4"/>
      <c r="H691" s="4"/>
      <c r="I691" s="4"/>
      <c r="J691" s="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25">
      <c r="A692" s="1"/>
      <c r="B692" s="2"/>
      <c r="C692" s="3"/>
      <c r="D692" s="4"/>
      <c r="E692" s="4"/>
      <c r="F692" s="4"/>
      <c r="G692" s="4"/>
      <c r="H692" s="4"/>
      <c r="I692" s="4"/>
      <c r="J692" s="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25">
      <c r="A693" s="1"/>
      <c r="B693" s="2"/>
      <c r="C693" s="3"/>
      <c r="D693" s="4"/>
      <c r="E693" s="4"/>
      <c r="F693" s="4"/>
      <c r="G693" s="4"/>
      <c r="H693" s="4"/>
      <c r="I693" s="4"/>
      <c r="J693" s="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25">
      <c r="A694" s="1"/>
      <c r="B694" s="2"/>
      <c r="C694" s="3"/>
      <c r="D694" s="4"/>
      <c r="E694" s="4"/>
      <c r="F694" s="4"/>
      <c r="G694" s="4"/>
      <c r="H694" s="4"/>
      <c r="I694" s="4"/>
      <c r="J694" s="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25">
      <c r="A695" s="1"/>
      <c r="B695" s="2"/>
      <c r="C695" s="3"/>
      <c r="D695" s="4"/>
      <c r="E695" s="4"/>
      <c r="F695" s="4"/>
      <c r="G695" s="4"/>
      <c r="H695" s="4"/>
      <c r="I695" s="4"/>
      <c r="J695" s="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25">
      <c r="A696" s="1"/>
      <c r="B696" s="2"/>
      <c r="C696" s="3"/>
      <c r="D696" s="4"/>
      <c r="E696" s="4"/>
      <c r="F696" s="4"/>
      <c r="G696" s="4"/>
      <c r="H696" s="4"/>
      <c r="I696" s="4"/>
      <c r="J696" s="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25">
      <c r="A697" s="1"/>
      <c r="B697" s="2"/>
      <c r="C697" s="3"/>
      <c r="D697" s="4"/>
      <c r="E697" s="4"/>
      <c r="F697" s="4"/>
      <c r="G697" s="4"/>
      <c r="H697" s="4"/>
      <c r="I697" s="4"/>
      <c r="J697" s="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25">
      <c r="A698" s="1"/>
      <c r="B698" s="2"/>
      <c r="C698" s="3"/>
      <c r="D698" s="4"/>
      <c r="E698" s="4"/>
      <c r="F698" s="4"/>
      <c r="G698" s="4"/>
      <c r="H698" s="4"/>
      <c r="I698" s="4"/>
      <c r="J698" s="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25">
      <c r="A699" s="1"/>
      <c r="B699" s="2"/>
      <c r="C699" s="3"/>
      <c r="D699" s="4"/>
      <c r="E699" s="4"/>
      <c r="F699" s="4"/>
      <c r="G699" s="4"/>
      <c r="H699" s="4"/>
      <c r="I699" s="4"/>
      <c r="J699" s="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25">
      <c r="A700" s="1"/>
      <c r="B700" s="2"/>
      <c r="C700" s="3"/>
      <c r="D700" s="4"/>
      <c r="E700" s="4"/>
      <c r="F700" s="4"/>
      <c r="G700" s="4"/>
      <c r="H700" s="4"/>
      <c r="I700" s="4"/>
      <c r="J700" s="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25">
      <c r="A701" s="1"/>
      <c r="B701" s="2"/>
      <c r="C701" s="3"/>
      <c r="D701" s="4"/>
      <c r="E701" s="4"/>
      <c r="F701" s="4"/>
      <c r="G701" s="4"/>
      <c r="H701" s="4"/>
      <c r="I701" s="4"/>
      <c r="J701" s="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25">
      <c r="A702" s="1"/>
      <c r="B702" s="2"/>
      <c r="C702" s="3"/>
      <c r="D702" s="4"/>
      <c r="E702" s="4"/>
      <c r="F702" s="4"/>
      <c r="G702" s="4"/>
      <c r="H702" s="4"/>
      <c r="I702" s="4"/>
      <c r="J702" s="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25">
      <c r="A703" s="1"/>
      <c r="B703" s="2"/>
      <c r="C703" s="3"/>
      <c r="D703" s="4"/>
      <c r="E703" s="4"/>
      <c r="F703" s="4"/>
      <c r="G703" s="4"/>
      <c r="H703" s="4"/>
      <c r="I703" s="4"/>
      <c r="J703" s="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25">
      <c r="A704" s="1"/>
      <c r="B704" s="2"/>
      <c r="C704" s="3"/>
      <c r="D704" s="4"/>
      <c r="E704" s="4"/>
      <c r="F704" s="4"/>
      <c r="G704" s="4"/>
      <c r="H704" s="4"/>
      <c r="I704" s="4"/>
      <c r="J704" s="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25">
      <c r="A705" s="1"/>
      <c r="B705" s="2"/>
      <c r="C705" s="3"/>
      <c r="D705" s="4"/>
      <c r="E705" s="4"/>
      <c r="F705" s="4"/>
      <c r="G705" s="4"/>
      <c r="H705" s="4"/>
      <c r="I705" s="4"/>
      <c r="J705" s="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25">
      <c r="A706" s="1"/>
      <c r="B706" s="2"/>
      <c r="C706" s="3"/>
      <c r="D706" s="4"/>
      <c r="E706" s="4"/>
      <c r="F706" s="4"/>
      <c r="G706" s="4"/>
      <c r="H706" s="4"/>
      <c r="I706" s="4"/>
      <c r="J706" s="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25">
      <c r="A707" s="1"/>
      <c r="B707" s="2"/>
      <c r="C707" s="3"/>
      <c r="D707" s="4"/>
      <c r="E707" s="4"/>
      <c r="F707" s="4"/>
      <c r="G707" s="4"/>
      <c r="H707" s="4"/>
      <c r="I707" s="4"/>
      <c r="J707" s="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25">
      <c r="A708" s="1"/>
      <c r="B708" s="2"/>
      <c r="C708" s="3"/>
      <c r="D708" s="4"/>
      <c r="E708" s="4"/>
      <c r="F708" s="4"/>
      <c r="G708" s="4"/>
      <c r="H708" s="4"/>
      <c r="I708" s="4"/>
      <c r="J708" s="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25">
      <c r="A709" s="1"/>
      <c r="B709" s="2"/>
      <c r="C709" s="3"/>
      <c r="D709" s="4"/>
      <c r="E709" s="4"/>
      <c r="F709" s="4"/>
      <c r="G709" s="4"/>
      <c r="H709" s="4"/>
      <c r="I709" s="4"/>
      <c r="J709" s="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25">
      <c r="A710" s="1"/>
      <c r="B710" s="2"/>
      <c r="C710" s="3"/>
      <c r="D710" s="4"/>
      <c r="E710" s="4"/>
      <c r="F710" s="4"/>
      <c r="G710" s="4"/>
      <c r="H710" s="4"/>
      <c r="I710" s="4"/>
      <c r="J710" s="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25">
      <c r="A711" s="1"/>
      <c r="B711" s="2"/>
      <c r="C711" s="3"/>
      <c r="D711" s="4"/>
      <c r="E711" s="4"/>
      <c r="F711" s="4"/>
      <c r="G711" s="4"/>
      <c r="H711" s="4"/>
      <c r="I711" s="4"/>
      <c r="J711" s="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25">
      <c r="A712" s="1"/>
      <c r="B712" s="2"/>
      <c r="C712" s="3"/>
      <c r="D712" s="4"/>
      <c r="E712" s="4"/>
      <c r="F712" s="4"/>
      <c r="G712" s="4"/>
      <c r="H712" s="4"/>
      <c r="I712" s="4"/>
      <c r="J712" s="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25">
      <c r="A713" s="1"/>
      <c r="B713" s="2"/>
      <c r="C713" s="3"/>
      <c r="D713" s="4"/>
      <c r="E713" s="4"/>
      <c r="F713" s="4"/>
      <c r="G713" s="4"/>
      <c r="H713" s="4"/>
      <c r="I713" s="4"/>
      <c r="J713" s="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25">
      <c r="A714" s="1"/>
      <c r="B714" s="2"/>
      <c r="C714" s="3"/>
      <c r="D714" s="4"/>
      <c r="E714" s="4"/>
      <c r="F714" s="4"/>
      <c r="G714" s="4"/>
      <c r="H714" s="4"/>
      <c r="I714" s="4"/>
      <c r="J714" s="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25">
      <c r="A715" s="1"/>
      <c r="B715" s="2"/>
      <c r="C715" s="3"/>
      <c r="D715" s="4"/>
      <c r="E715" s="4"/>
      <c r="F715" s="4"/>
      <c r="G715" s="4"/>
      <c r="H715" s="4"/>
      <c r="I715" s="4"/>
      <c r="J715" s="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25">
      <c r="A716" s="1"/>
      <c r="B716" s="2"/>
      <c r="C716" s="3"/>
      <c r="D716" s="4"/>
      <c r="E716" s="4"/>
      <c r="F716" s="4"/>
      <c r="G716" s="4"/>
      <c r="H716" s="4"/>
      <c r="I716" s="4"/>
      <c r="J716" s="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25">
      <c r="A717" s="1"/>
      <c r="B717" s="2"/>
      <c r="C717" s="3"/>
      <c r="D717" s="4"/>
      <c r="E717" s="4"/>
      <c r="F717" s="4"/>
      <c r="G717" s="4"/>
      <c r="H717" s="4"/>
      <c r="I717" s="4"/>
      <c r="J717" s="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25">
      <c r="A718" s="1"/>
      <c r="B718" s="2"/>
      <c r="C718" s="3"/>
      <c r="D718" s="4"/>
      <c r="E718" s="4"/>
      <c r="F718" s="4"/>
      <c r="G718" s="4"/>
      <c r="H718" s="4"/>
      <c r="I718" s="4"/>
      <c r="J718" s="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25">
      <c r="A719" s="1"/>
      <c r="B719" s="2"/>
      <c r="C719" s="3"/>
      <c r="D719" s="4"/>
      <c r="E719" s="4"/>
      <c r="F719" s="4"/>
      <c r="G719" s="4"/>
      <c r="H719" s="4"/>
      <c r="I719" s="4"/>
      <c r="J719" s="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25">
      <c r="A720" s="1"/>
      <c r="B720" s="2"/>
      <c r="C720" s="3"/>
      <c r="D720" s="4"/>
      <c r="E720" s="4"/>
      <c r="F720" s="4"/>
      <c r="G720" s="4"/>
      <c r="H720" s="4"/>
      <c r="I720" s="4"/>
      <c r="J720" s="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25">
      <c r="A721" s="1"/>
      <c r="B721" s="2"/>
      <c r="C721" s="3"/>
      <c r="D721" s="4"/>
      <c r="E721" s="4"/>
      <c r="F721" s="4"/>
      <c r="G721" s="4"/>
      <c r="H721" s="4"/>
      <c r="I721" s="4"/>
      <c r="J721" s="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25">
      <c r="A722" s="1"/>
      <c r="B722" s="2"/>
      <c r="C722" s="3"/>
      <c r="D722" s="4"/>
      <c r="E722" s="4"/>
      <c r="F722" s="4"/>
      <c r="G722" s="4"/>
      <c r="H722" s="4"/>
      <c r="I722" s="4"/>
      <c r="J722" s="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25">
      <c r="A723" s="1"/>
      <c r="B723" s="2"/>
      <c r="C723" s="3"/>
      <c r="D723" s="4"/>
      <c r="E723" s="4"/>
      <c r="F723" s="4"/>
      <c r="G723" s="4"/>
      <c r="H723" s="4"/>
      <c r="I723" s="4"/>
      <c r="J723" s="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25">
      <c r="A724" s="1"/>
      <c r="B724" s="2"/>
      <c r="C724" s="3"/>
      <c r="D724" s="4"/>
      <c r="E724" s="4"/>
      <c r="F724" s="4"/>
      <c r="G724" s="4"/>
      <c r="H724" s="4"/>
      <c r="I724" s="4"/>
      <c r="J724" s="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25">
      <c r="A725" s="1"/>
      <c r="B725" s="2"/>
      <c r="C725" s="3"/>
      <c r="D725" s="4"/>
      <c r="E725" s="4"/>
      <c r="F725" s="4"/>
      <c r="G725" s="4"/>
      <c r="H725" s="4"/>
      <c r="I725" s="4"/>
      <c r="J725" s="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25">
      <c r="A726" s="1"/>
      <c r="B726" s="2"/>
      <c r="C726" s="3"/>
      <c r="D726" s="4"/>
      <c r="E726" s="4"/>
      <c r="F726" s="4"/>
      <c r="G726" s="4"/>
      <c r="H726" s="4"/>
      <c r="I726" s="4"/>
      <c r="J726" s="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25">
      <c r="A727" s="1"/>
      <c r="B727" s="2"/>
      <c r="C727" s="3"/>
      <c r="D727" s="4"/>
      <c r="E727" s="4"/>
      <c r="F727" s="4"/>
      <c r="G727" s="4"/>
      <c r="H727" s="4"/>
      <c r="I727" s="4"/>
      <c r="J727" s="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25">
      <c r="A728" s="1"/>
      <c r="B728" s="2"/>
      <c r="C728" s="3"/>
      <c r="D728" s="4"/>
      <c r="E728" s="4"/>
      <c r="F728" s="4"/>
      <c r="G728" s="4"/>
      <c r="H728" s="4"/>
      <c r="I728" s="4"/>
      <c r="J728" s="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25">
      <c r="A729" s="1"/>
      <c r="B729" s="2"/>
      <c r="C729" s="3"/>
      <c r="D729" s="4"/>
      <c r="E729" s="4"/>
      <c r="F729" s="4"/>
      <c r="G729" s="4"/>
      <c r="H729" s="4"/>
      <c r="I729" s="4"/>
      <c r="J729" s="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25">
      <c r="A730" s="1"/>
      <c r="B730" s="2"/>
      <c r="C730" s="3"/>
      <c r="D730" s="4"/>
      <c r="E730" s="4"/>
      <c r="F730" s="4"/>
      <c r="G730" s="4"/>
      <c r="H730" s="4"/>
      <c r="I730" s="4"/>
      <c r="J730" s="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25">
      <c r="A731" s="1"/>
      <c r="B731" s="2"/>
      <c r="C731" s="3"/>
      <c r="D731" s="4"/>
      <c r="E731" s="4"/>
      <c r="F731" s="4"/>
      <c r="G731" s="4"/>
      <c r="H731" s="4"/>
      <c r="I731" s="4"/>
      <c r="J731" s="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25">
      <c r="A732" s="1"/>
      <c r="B732" s="2"/>
      <c r="C732" s="3"/>
      <c r="D732" s="4"/>
      <c r="E732" s="4"/>
      <c r="F732" s="4"/>
      <c r="G732" s="4"/>
      <c r="H732" s="4"/>
      <c r="I732" s="4"/>
      <c r="J732" s="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25">
      <c r="A733" s="1"/>
      <c r="B733" s="2"/>
      <c r="C733" s="3"/>
      <c r="D733" s="4"/>
      <c r="E733" s="4"/>
      <c r="F733" s="4"/>
      <c r="G733" s="4"/>
      <c r="H733" s="4"/>
      <c r="I733" s="4"/>
      <c r="J733" s="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25">
      <c r="A734" s="1"/>
      <c r="B734" s="2"/>
      <c r="C734" s="3"/>
      <c r="D734" s="4"/>
      <c r="E734" s="4"/>
      <c r="F734" s="4"/>
      <c r="G734" s="4"/>
      <c r="H734" s="4"/>
      <c r="I734" s="4"/>
      <c r="J734" s="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25">
      <c r="A735" s="1"/>
      <c r="B735" s="2"/>
      <c r="C735" s="3"/>
      <c r="D735" s="4"/>
      <c r="E735" s="4"/>
      <c r="F735" s="4"/>
      <c r="G735" s="4"/>
      <c r="H735" s="4"/>
      <c r="I735" s="4"/>
      <c r="J735" s="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25">
      <c r="A736" s="1"/>
      <c r="B736" s="2"/>
      <c r="C736" s="3"/>
      <c r="D736" s="4"/>
      <c r="E736" s="4"/>
      <c r="F736" s="4"/>
      <c r="G736" s="4"/>
      <c r="H736" s="4"/>
      <c r="I736" s="4"/>
      <c r="J736" s="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25">
      <c r="A737" s="1"/>
      <c r="B737" s="2"/>
      <c r="C737" s="3"/>
      <c r="D737" s="4"/>
      <c r="E737" s="4"/>
      <c r="F737" s="4"/>
      <c r="G737" s="4"/>
      <c r="H737" s="4"/>
      <c r="I737" s="4"/>
      <c r="J737" s="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25">
      <c r="A738" s="1"/>
      <c r="B738" s="2"/>
      <c r="C738" s="3"/>
      <c r="D738" s="4"/>
      <c r="E738" s="4"/>
      <c r="F738" s="4"/>
      <c r="G738" s="4"/>
      <c r="H738" s="4"/>
      <c r="I738" s="4"/>
      <c r="J738" s="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25">
      <c r="A739" s="1"/>
      <c r="B739" s="2"/>
      <c r="C739" s="3"/>
      <c r="D739" s="4"/>
      <c r="E739" s="4"/>
      <c r="F739" s="4"/>
      <c r="G739" s="4"/>
      <c r="H739" s="4"/>
      <c r="I739" s="4"/>
      <c r="J739" s="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25">
      <c r="A740" s="1"/>
      <c r="B740" s="2"/>
      <c r="C740" s="3"/>
      <c r="D740" s="4"/>
      <c r="E740" s="4"/>
      <c r="F740" s="4"/>
      <c r="G740" s="4"/>
      <c r="H740" s="4"/>
      <c r="I740" s="4"/>
      <c r="J740" s="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25">
      <c r="A741" s="1"/>
      <c r="B741" s="2"/>
      <c r="C741" s="3"/>
      <c r="D741" s="4"/>
      <c r="E741" s="4"/>
      <c r="F741" s="4"/>
      <c r="G741" s="4"/>
      <c r="H741" s="4"/>
      <c r="I741" s="4"/>
      <c r="J741" s="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25">
      <c r="A742" s="1"/>
      <c r="B742" s="2"/>
      <c r="C742" s="3"/>
      <c r="D742" s="4"/>
      <c r="E742" s="4"/>
      <c r="F742" s="4"/>
      <c r="G742" s="4"/>
      <c r="H742" s="4"/>
      <c r="I742" s="4"/>
      <c r="J742" s="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25">
      <c r="A743" s="1"/>
      <c r="B743" s="2"/>
      <c r="C743" s="3"/>
      <c r="D743" s="4"/>
      <c r="E743" s="4"/>
      <c r="F743" s="4"/>
      <c r="G743" s="4"/>
      <c r="H743" s="4"/>
      <c r="I743" s="4"/>
      <c r="J743" s="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25">
      <c r="A744" s="1"/>
      <c r="B744" s="2"/>
      <c r="C744" s="3"/>
      <c r="D744" s="4"/>
      <c r="E744" s="4"/>
      <c r="F744" s="4"/>
      <c r="G744" s="4"/>
      <c r="H744" s="4"/>
      <c r="I744" s="4"/>
      <c r="J744" s="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25">
      <c r="A745" s="1"/>
      <c r="B745" s="2"/>
      <c r="C745" s="3"/>
      <c r="D745" s="4"/>
      <c r="E745" s="4"/>
      <c r="F745" s="4"/>
      <c r="G745" s="4"/>
      <c r="H745" s="4"/>
      <c r="I745" s="4"/>
      <c r="J745" s="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25">
      <c r="A746" s="1"/>
      <c r="B746" s="2"/>
      <c r="C746" s="3"/>
      <c r="D746" s="4"/>
      <c r="E746" s="4"/>
      <c r="F746" s="4"/>
      <c r="G746" s="4"/>
      <c r="H746" s="4"/>
      <c r="I746" s="4"/>
      <c r="J746" s="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25">
      <c r="A747" s="1"/>
      <c r="B747" s="2"/>
      <c r="C747" s="3"/>
      <c r="D747" s="4"/>
      <c r="E747" s="4"/>
      <c r="F747" s="4"/>
      <c r="G747" s="4"/>
      <c r="H747" s="4"/>
      <c r="I747" s="4"/>
      <c r="J747" s="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25">
      <c r="A748" s="1"/>
      <c r="B748" s="2"/>
      <c r="C748" s="3"/>
      <c r="D748" s="4"/>
      <c r="E748" s="4"/>
      <c r="F748" s="4"/>
      <c r="G748" s="4"/>
      <c r="H748" s="4"/>
      <c r="I748" s="4"/>
      <c r="J748" s="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25">
      <c r="A749" s="1"/>
      <c r="B749" s="2"/>
      <c r="C749" s="3"/>
      <c r="D749" s="4"/>
      <c r="E749" s="4"/>
      <c r="F749" s="4"/>
      <c r="G749" s="4"/>
      <c r="H749" s="4"/>
      <c r="I749" s="4"/>
      <c r="J749" s="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25">
      <c r="A750" s="1"/>
      <c r="B750" s="2"/>
      <c r="C750" s="3"/>
      <c r="D750" s="4"/>
      <c r="E750" s="4"/>
      <c r="F750" s="4"/>
      <c r="G750" s="4"/>
      <c r="H750" s="4"/>
      <c r="I750" s="4"/>
      <c r="J750" s="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25">
      <c r="A751" s="1"/>
      <c r="B751" s="2"/>
      <c r="C751" s="3"/>
      <c r="D751" s="4"/>
      <c r="E751" s="4"/>
      <c r="F751" s="4"/>
      <c r="G751" s="4"/>
      <c r="H751" s="4"/>
      <c r="I751" s="4"/>
      <c r="J751" s="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25">
      <c r="A752" s="1"/>
      <c r="B752" s="2"/>
      <c r="C752" s="3"/>
      <c r="D752" s="4"/>
      <c r="E752" s="4"/>
      <c r="F752" s="4"/>
      <c r="G752" s="4"/>
      <c r="H752" s="4"/>
      <c r="I752" s="4"/>
      <c r="J752" s="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25">
      <c r="A753" s="1"/>
      <c r="B753" s="2"/>
      <c r="C753" s="3"/>
      <c r="D753" s="4"/>
      <c r="E753" s="4"/>
      <c r="F753" s="4"/>
      <c r="G753" s="4"/>
      <c r="H753" s="4"/>
      <c r="I753" s="4"/>
      <c r="J753" s="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25">
      <c r="A754" s="1"/>
      <c r="B754" s="2"/>
      <c r="C754" s="3"/>
      <c r="D754" s="4"/>
      <c r="E754" s="4"/>
      <c r="F754" s="4"/>
      <c r="G754" s="4"/>
      <c r="H754" s="4"/>
      <c r="I754" s="4"/>
      <c r="J754" s="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25">
      <c r="A755" s="1"/>
      <c r="B755" s="2"/>
      <c r="C755" s="3"/>
      <c r="D755" s="4"/>
      <c r="E755" s="4"/>
      <c r="F755" s="4"/>
      <c r="G755" s="4"/>
      <c r="H755" s="4"/>
      <c r="I755" s="4"/>
      <c r="J755" s="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25">
      <c r="A756" s="1"/>
      <c r="B756" s="2"/>
      <c r="C756" s="3"/>
      <c r="D756" s="4"/>
      <c r="E756" s="4"/>
      <c r="F756" s="4"/>
      <c r="G756" s="4"/>
      <c r="H756" s="4"/>
      <c r="I756" s="4"/>
      <c r="J756" s="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25">
      <c r="A757" s="1"/>
      <c r="B757" s="2"/>
      <c r="C757" s="3"/>
      <c r="D757" s="4"/>
      <c r="E757" s="4"/>
      <c r="F757" s="4"/>
      <c r="G757" s="4"/>
      <c r="H757" s="4"/>
      <c r="I757" s="4"/>
      <c r="J757" s="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25">
      <c r="A758" s="1"/>
      <c r="B758" s="2"/>
      <c r="C758" s="3"/>
      <c r="D758" s="4"/>
      <c r="E758" s="4"/>
      <c r="F758" s="4"/>
      <c r="G758" s="4"/>
      <c r="H758" s="4"/>
      <c r="I758" s="4"/>
      <c r="J758" s="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25">
      <c r="A759" s="1"/>
      <c r="B759" s="2"/>
      <c r="C759" s="3"/>
      <c r="D759" s="4"/>
      <c r="E759" s="4"/>
      <c r="F759" s="4"/>
      <c r="G759" s="4"/>
      <c r="H759" s="4"/>
      <c r="I759" s="4"/>
      <c r="J759" s="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25">
      <c r="A760" s="1"/>
      <c r="B760" s="2"/>
      <c r="C760" s="3"/>
      <c r="D760" s="4"/>
      <c r="E760" s="4"/>
      <c r="F760" s="4"/>
      <c r="G760" s="4"/>
      <c r="H760" s="4"/>
      <c r="I760" s="4"/>
      <c r="J760" s="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25">
      <c r="A761" s="1"/>
      <c r="B761" s="2"/>
      <c r="C761" s="3"/>
      <c r="D761" s="4"/>
      <c r="E761" s="4"/>
      <c r="F761" s="4"/>
      <c r="G761" s="4"/>
      <c r="H761" s="4"/>
      <c r="I761" s="4"/>
      <c r="J761" s="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25">
      <c r="A762" s="1"/>
      <c r="B762" s="2"/>
      <c r="C762" s="3"/>
      <c r="D762" s="4"/>
      <c r="E762" s="4"/>
      <c r="F762" s="4"/>
      <c r="G762" s="4"/>
      <c r="H762" s="4"/>
      <c r="I762" s="4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25">
      <c r="A763" s="1"/>
      <c r="B763" s="2"/>
      <c r="C763" s="3"/>
      <c r="D763" s="4"/>
      <c r="E763" s="4"/>
      <c r="F763" s="4"/>
      <c r="G763" s="4"/>
      <c r="H763" s="4"/>
      <c r="I763" s="4"/>
      <c r="J763" s="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25">
      <c r="A764" s="1"/>
      <c r="B764" s="2"/>
      <c r="C764" s="3"/>
      <c r="D764" s="4"/>
      <c r="E764" s="4"/>
      <c r="F764" s="4"/>
      <c r="G764" s="4"/>
      <c r="H764" s="4"/>
      <c r="I764" s="4"/>
      <c r="J764" s="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25">
      <c r="A765" s="1"/>
      <c r="B765" s="2"/>
      <c r="C765" s="3"/>
      <c r="D765" s="4"/>
      <c r="E765" s="4"/>
      <c r="F765" s="4"/>
      <c r="G765" s="4"/>
      <c r="H765" s="4"/>
      <c r="I765" s="4"/>
      <c r="J765" s="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25">
      <c r="A766" s="1"/>
      <c r="B766" s="2"/>
      <c r="C766" s="3"/>
      <c r="D766" s="4"/>
      <c r="E766" s="4"/>
      <c r="F766" s="4"/>
      <c r="G766" s="4"/>
      <c r="H766" s="4"/>
      <c r="I766" s="4"/>
      <c r="J766" s="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25">
      <c r="A767" s="1"/>
      <c r="B767" s="2"/>
      <c r="C767" s="3"/>
      <c r="D767" s="4"/>
      <c r="E767" s="4"/>
      <c r="F767" s="4"/>
      <c r="G767" s="4"/>
      <c r="H767" s="4"/>
      <c r="I767" s="4"/>
      <c r="J767" s="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25">
      <c r="A768" s="1"/>
      <c r="B768" s="2"/>
      <c r="C768" s="3"/>
      <c r="D768" s="4"/>
      <c r="E768" s="4"/>
      <c r="F768" s="4"/>
      <c r="G768" s="4"/>
      <c r="H768" s="4"/>
      <c r="I768" s="4"/>
      <c r="J768" s="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25">
      <c r="A769" s="1"/>
      <c r="B769" s="2"/>
      <c r="C769" s="3"/>
      <c r="D769" s="4"/>
      <c r="E769" s="4"/>
      <c r="F769" s="4"/>
      <c r="G769" s="4"/>
      <c r="H769" s="4"/>
      <c r="I769" s="4"/>
      <c r="J769" s="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25">
      <c r="A770" s="1"/>
      <c r="B770" s="2"/>
      <c r="C770" s="3"/>
      <c r="D770" s="4"/>
      <c r="E770" s="4"/>
      <c r="F770" s="4"/>
      <c r="G770" s="4"/>
      <c r="H770" s="4"/>
      <c r="I770" s="4"/>
      <c r="J770" s="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25">
      <c r="A771" s="1"/>
      <c r="B771" s="2"/>
      <c r="C771" s="3"/>
      <c r="D771" s="4"/>
      <c r="E771" s="4"/>
      <c r="F771" s="4"/>
      <c r="G771" s="4"/>
      <c r="H771" s="4"/>
      <c r="I771" s="4"/>
      <c r="J771" s="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25">
      <c r="A772" s="1"/>
      <c r="B772" s="2"/>
      <c r="C772" s="3"/>
      <c r="D772" s="4"/>
      <c r="E772" s="4"/>
      <c r="F772" s="4"/>
      <c r="G772" s="4"/>
      <c r="H772" s="4"/>
      <c r="I772" s="4"/>
      <c r="J772" s="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25">
      <c r="A773" s="1"/>
      <c r="B773" s="2"/>
      <c r="C773" s="3"/>
      <c r="D773" s="4"/>
      <c r="E773" s="4"/>
      <c r="F773" s="4"/>
      <c r="G773" s="4"/>
      <c r="H773" s="4"/>
      <c r="I773" s="4"/>
      <c r="J773" s="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25">
      <c r="A774" s="1"/>
      <c r="B774" s="2"/>
      <c r="C774" s="3"/>
      <c r="D774" s="4"/>
      <c r="E774" s="4"/>
      <c r="F774" s="4"/>
      <c r="G774" s="4"/>
      <c r="H774" s="4"/>
      <c r="I774" s="4"/>
      <c r="J774" s="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25">
      <c r="A775" s="1"/>
      <c r="B775" s="2"/>
      <c r="C775" s="3"/>
      <c r="D775" s="4"/>
      <c r="E775" s="4"/>
      <c r="F775" s="4"/>
      <c r="G775" s="4"/>
      <c r="H775" s="4"/>
      <c r="I775" s="4"/>
      <c r="J775" s="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25">
      <c r="A776" s="1"/>
      <c r="B776" s="2"/>
      <c r="C776" s="3"/>
      <c r="D776" s="4"/>
      <c r="E776" s="4"/>
      <c r="F776" s="4"/>
      <c r="G776" s="4"/>
      <c r="H776" s="4"/>
      <c r="I776" s="4"/>
      <c r="J776" s="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25">
      <c r="A777" s="1"/>
      <c r="B777" s="2"/>
      <c r="C777" s="3"/>
      <c r="D777" s="4"/>
      <c r="E777" s="4"/>
      <c r="F777" s="4"/>
      <c r="G777" s="4"/>
      <c r="H777" s="4"/>
      <c r="I777" s="4"/>
      <c r="J777" s="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25">
      <c r="A778" s="1"/>
      <c r="B778" s="2"/>
      <c r="C778" s="3"/>
      <c r="D778" s="4"/>
      <c r="E778" s="4"/>
      <c r="F778" s="4"/>
      <c r="G778" s="4"/>
      <c r="H778" s="4"/>
      <c r="I778" s="4"/>
      <c r="J778" s="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25">
      <c r="A779" s="1"/>
      <c r="B779" s="2"/>
      <c r="C779" s="3"/>
      <c r="D779" s="4"/>
      <c r="E779" s="4"/>
      <c r="F779" s="4"/>
      <c r="G779" s="4"/>
      <c r="H779" s="4"/>
      <c r="I779" s="4"/>
      <c r="J779" s="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25">
      <c r="A780" s="1"/>
      <c r="B780" s="2"/>
      <c r="C780" s="3"/>
      <c r="D780" s="4"/>
      <c r="E780" s="4"/>
      <c r="F780" s="4"/>
      <c r="G780" s="4"/>
      <c r="H780" s="4"/>
      <c r="I780" s="4"/>
      <c r="J780" s="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25">
      <c r="A781" s="1"/>
      <c r="B781" s="2"/>
      <c r="C781" s="3"/>
      <c r="D781" s="4"/>
      <c r="E781" s="4"/>
      <c r="F781" s="4"/>
      <c r="G781" s="4"/>
      <c r="H781" s="4"/>
      <c r="I781" s="4"/>
      <c r="J781" s="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25">
      <c r="A782" s="1"/>
      <c r="B782" s="2"/>
      <c r="C782" s="3"/>
      <c r="D782" s="4"/>
      <c r="E782" s="4"/>
      <c r="F782" s="4"/>
      <c r="G782" s="4"/>
      <c r="H782" s="4"/>
      <c r="I782" s="4"/>
      <c r="J782" s="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25">
      <c r="A783" s="1"/>
      <c r="B783" s="2"/>
      <c r="C783" s="3"/>
      <c r="D783" s="4"/>
      <c r="E783" s="4"/>
      <c r="F783" s="4"/>
      <c r="G783" s="4"/>
      <c r="H783" s="4"/>
      <c r="I783" s="4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25">
      <c r="A784" s="1"/>
      <c r="B784" s="2"/>
      <c r="C784" s="3"/>
      <c r="D784" s="4"/>
      <c r="E784" s="4"/>
      <c r="F784" s="4"/>
      <c r="G784" s="4"/>
      <c r="H784" s="4"/>
      <c r="I784" s="4"/>
      <c r="J784" s="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25">
      <c r="A785" s="1"/>
      <c r="B785" s="2"/>
      <c r="C785" s="3"/>
      <c r="D785" s="4"/>
      <c r="E785" s="4"/>
      <c r="F785" s="4"/>
      <c r="G785" s="4"/>
      <c r="H785" s="4"/>
      <c r="I785" s="4"/>
      <c r="J785" s="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25">
      <c r="A786" s="1"/>
      <c r="B786" s="2"/>
      <c r="C786" s="3"/>
      <c r="D786" s="4"/>
      <c r="E786" s="4"/>
      <c r="F786" s="4"/>
      <c r="G786" s="4"/>
      <c r="H786" s="4"/>
      <c r="I786" s="4"/>
      <c r="J786" s="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25">
      <c r="A787" s="1"/>
      <c r="B787" s="2"/>
      <c r="C787" s="3"/>
      <c r="D787" s="4"/>
      <c r="E787" s="4"/>
      <c r="F787" s="4"/>
      <c r="G787" s="4"/>
      <c r="H787" s="4"/>
      <c r="I787" s="4"/>
      <c r="J787" s="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25">
      <c r="A788" s="1"/>
      <c r="B788" s="2"/>
      <c r="C788" s="3"/>
      <c r="D788" s="4"/>
      <c r="E788" s="4"/>
      <c r="F788" s="4"/>
      <c r="G788" s="4"/>
      <c r="H788" s="4"/>
      <c r="I788" s="4"/>
      <c r="J788" s="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25">
      <c r="A789" s="1"/>
      <c r="B789" s="2"/>
      <c r="C789" s="3"/>
      <c r="D789" s="4"/>
      <c r="E789" s="4"/>
      <c r="F789" s="4"/>
      <c r="G789" s="4"/>
      <c r="H789" s="4"/>
      <c r="I789" s="4"/>
      <c r="J789" s="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25">
      <c r="A790" s="1"/>
      <c r="B790" s="2"/>
      <c r="C790" s="3"/>
      <c r="D790" s="4"/>
      <c r="E790" s="4"/>
      <c r="F790" s="4"/>
      <c r="G790" s="4"/>
      <c r="H790" s="4"/>
      <c r="I790" s="4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25">
      <c r="A791" s="1"/>
      <c r="B791" s="2"/>
      <c r="C791" s="3"/>
      <c r="D791" s="4"/>
      <c r="E791" s="4"/>
      <c r="F791" s="4"/>
      <c r="G791" s="4"/>
      <c r="H791" s="4"/>
      <c r="I791" s="4"/>
      <c r="J791" s="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25">
      <c r="A792" s="1"/>
      <c r="B792" s="2"/>
      <c r="C792" s="3"/>
      <c r="D792" s="4"/>
      <c r="E792" s="4"/>
      <c r="F792" s="4"/>
      <c r="G792" s="4"/>
      <c r="H792" s="4"/>
      <c r="I792" s="4"/>
      <c r="J792" s="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25">
      <c r="A793" s="1"/>
      <c r="B793" s="2"/>
      <c r="C793" s="3"/>
      <c r="D793" s="4"/>
      <c r="E793" s="4"/>
      <c r="F793" s="4"/>
      <c r="G793" s="4"/>
      <c r="H793" s="4"/>
      <c r="I793" s="4"/>
      <c r="J793" s="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25">
      <c r="A794" s="1"/>
      <c r="B794" s="2"/>
      <c r="C794" s="3"/>
      <c r="D794" s="4"/>
      <c r="E794" s="4"/>
      <c r="F794" s="4"/>
      <c r="G794" s="4"/>
      <c r="H794" s="4"/>
      <c r="I794" s="4"/>
      <c r="J794" s="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25">
      <c r="A795" s="1"/>
      <c r="B795" s="2"/>
      <c r="C795" s="3"/>
      <c r="D795" s="4"/>
      <c r="E795" s="4"/>
      <c r="F795" s="4"/>
      <c r="G795" s="4"/>
      <c r="H795" s="4"/>
      <c r="I795" s="4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25">
      <c r="A796" s="1"/>
      <c r="B796" s="2"/>
      <c r="C796" s="3"/>
      <c r="D796" s="4"/>
      <c r="E796" s="4"/>
      <c r="F796" s="4"/>
      <c r="G796" s="4"/>
      <c r="H796" s="4"/>
      <c r="I796" s="4"/>
      <c r="J796" s="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25">
      <c r="A797" s="1"/>
      <c r="B797" s="2"/>
      <c r="C797" s="3"/>
      <c r="D797" s="4"/>
      <c r="E797" s="4"/>
      <c r="F797" s="4"/>
      <c r="G797" s="4"/>
      <c r="H797" s="4"/>
      <c r="I797" s="4"/>
      <c r="J797" s="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25">
      <c r="A798" s="1"/>
      <c r="B798" s="2"/>
      <c r="C798" s="3"/>
      <c r="D798" s="4"/>
      <c r="E798" s="4"/>
      <c r="F798" s="4"/>
      <c r="G798" s="4"/>
      <c r="H798" s="4"/>
      <c r="I798" s="4"/>
      <c r="J798" s="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25">
      <c r="A799" s="1"/>
      <c r="B799" s="2"/>
      <c r="C799" s="3"/>
      <c r="D799" s="4"/>
      <c r="E799" s="4"/>
      <c r="F799" s="4"/>
      <c r="G799" s="4"/>
      <c r="H799" s="4"/>
      <c r="I799" s="4"/>
      <c r="J799" s="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25">
      <c r="A800" s="1"/>
      <c r="B800" s="2"/>
      <c r="C800" s="3"/>
      <c r="D800" s="4"/>
      <c r="E800" s="4"/>
      <c r="F800" s="4"/>
      <c r="G800" s="4"/>
      <c r="H800" s="4"/>
      <c r="I800" s="4"/>
      <c r="J800" s="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25">
      <c r="A801" s="1"/>
      <c r="B801" s="2"/>
      <c r="C801" s="3"/>
      <c r="D801" s="4"/>
      <c r="E801" s="4"/>
      <c r="F801" s="4"/>
      <c r="G801" s="4"/>
      <c r="H801" s="4"/>
      <c r="I801" s="4"/>
      <c r="J801" s="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25">
      <c r="A802" s="1"/>
      <c r="B802" s="2"/>
      <c r="C802" s="3"/>
      <c r="D802" s="4"/>
      <c r="E802" s="4"/>
      <c r="F802" s="4"/>
      <c r="G802" s="4"/>
      <c r="H802" s="4"/>
      <c r="I802" s="4"/>
      <c r="J802" s="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25">
      <c r="A803" s="1"/>
      <c r="B803" s="2"/>
      <c r="C803" s="3"/>
      <c r="D803" s="4"/>
      <c r="E803" s="4"/>
      <c r="F803" s="4"/>
      <c r="G803" s="4"/>
      <c r="H803" s="4"/>
      <c r="I803" s="4"/>
      <c r="J803" s="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25">
      <c r="A804" s="1"/>
      <c r="B804" s="2"/>
      <c r="C804" s="3"/>
      <c r="D804" s="4"/>
      <c r="E804" s="4"/>
      <c r="F804" s="4"/>
      <c r="G804" s="4"/>
      <c r="H804" s="4"/>
      <c r="I804" s="4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25">
      <c r="A805" s="1"/>
      <c r="B805" s="2"/>
      <c r="C805" s="3"/>
      <c r="D805" s="4"/>
      <c r="E805" s="4"/>
      <c r="F805" s="4"/>
      <c r="G805" s="4"/>
      <c r="H805" s="4"/>
      <c r="I805" s="4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25">
      <c r="A806" s="1"/>
      <c r="B806" s="2"/>
      <c r="C806" s="3"/>
      <c r="D806" s="4"/>
      <c r="E806" s="4"/>
      <c r="F806" s="4"/>
      <c r="G806" s="4"/>
      <c r="H806" s="4"/>
      <c r="I806" s="4"/>
      <c r="J806" s="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25">
      <c r="A807" s="1"/>
      <c r="B807" s="2"/>
      <c r="C807" s="3"/>
      <c r="D807" s="4"/>
      <c r="E807" s="4"/>
      <c r="F807" s="4"/>
      <c r="G807" s="4"/>
      <c r="H807" s="4"/>
      <c r="I807" s="4"/>
      <c r="J807" s="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25">
      <c r="A808" s="1"/>
      <c r="B808" s="2"/>
      <c r="C808" s="3"/>
      <c r="D808" s="4"/>
      <c r="E808" s="4"/>
      <c r="F808" s="4"/>
      <c r="G808" s="4"/>
      <c r="H808" s="4"/>
      <c r="I808" s="4"/>
      <c r="J808" s="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25">
      <c r="A809" s="1"/>
      <c r="B809" s="2"/>
      <c r="C809" s="3"/>
      <c r="D809" s="4"/>
      <c r="E809" s="4"/>
      <c r="F809" s="4"/>
      <c r="G809" s="4"/>
      <c r="H809" s="4"/>
      <c r="I809" s="4"/>
      <c r="J809" s="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25">
      <c r="A810" s="1"/>
      <c r="B810" s="2"/>
      <c r="C810" s="3"/>
      <c r="D810" s="4"/>
      <c r="E810" s="4"/>
      <c r="F810" s="4"/>
      <c r="G810" s="4"/>
      <c r="H810" s="4"/>
      <c r="I810" s="4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25">
      <c r="A811" s="1"/>
      <c r="B811" s="2"/>
      <c r="C811" s="3"/>
      <c r="D811" s="4"/>
      <c r="E811" s="4"/>
      <c r="F811" s="4"/>
      <c r="G811" s="4"/>
      <c r="H811" s="4"/>
      <c r="I811" s="4"/>
      <c r="J811" s="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25">
      <c r="A812" s="1"/>
      <c r="B812" s="2"/>
      <c r="C812" s="3"/>
      <c r="D812" s="4"/>
      <c r="E812" s="4"/>
      <c r="F812" s="4"/>
      <c r="G812" s="4"/>
      <c r="H812" s="4"/>
      <c r="I812" s="4"/>
      <c r="J812" s="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25">
      <c r="A813" s="1"/>
      <c r="B813" s="2"/>
      <c r="C813" s="3"/>
      <c r="D813" s="4"/>
      <c r="E813" s="4"/>
      <c r="F813" s="4"/>
      <c r="G813" s="4"/>
      <c r="H813" s="4"/>
      <c r="I813" s="4"/>
      <c r="J813" s="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25">
      <c r="A814" s="1"/>
      <c r="B814" s="2"/>
      <c r="C814" s="3"/>
      <c r="D814" s="4"/>
      <c r="E814" s="4"/>
      <c r="F814" s="4"/>
      <c r="G814" s="4"/>
      <c r="H814" s="4"/>
      <c r="I814" s="4"/>
      <c r="J814" s="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25">
      <c r="A815" s="1"/>
      <c r="B815" s="2"/>
      <c r="C815" s="3"/>
      <c r="D815" s="4"/>
      <c r="E815" s="4"/>
      <c r="F815" s="4"/>
      <c r="G815" s="4"/>
      <c r="H815" s="4"/>
      <c r="I815" s="4"/>
      <c r="J815" s="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25">
      <c r="A816" s="1"/>
      <c r="B816" s="2"/>
      <c r="C816" s="3"/>
      <c r="D816" s="4"/>
      <c r="E816" s="4"/>
      <c r="F816" s="4"/>
      <c r="G816" s="4"/>
      <c r="H816" s="4"/>
      <c r="I816" s="4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25">
      <c r="A817" s="1"/>
      <c r="B817" s="2"/>
      <c r="C817" s="3"/>
      <c r="D817" s="4"/>
      <c r="E817" s="4"/>
      <c r="F817" s="4"/>
      <c r="G817" s="4"/>
      <c r="H817" s="4"/>
      <c r="I817" s="4"/>
      <c r="J817" s="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25">
      <c r="A818" s="1"/>
      <c r="B818" s="2"/>
      <c r="C818" s="3"/>
      <c r="D818" s="4"/>
      <c r="E818" s="4"/>
      <c r="F818" s="4"/>
      <c r="G818" s="4"/>
      <c r="H818" s="4"/>
      <c r="I818" s="4"/>
      <c r="J818" s="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25">
      <c r="A819" s="1"/>
      <c r="B819" s="2"/>
      <c r="C819" s="3"/>
      <c r="D819" s="4"/>
      <c r="E819" s="4"/>
      <c r="F819" s="4"/>
      <c r="G819" s="4"/>
      <c r="H819" s="4"/>
      <c r="I819" s="4"/>
      <c r="J819" s="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25">
      <c r="A820" s="1"/>
      <c r="B820" s="2"/>
      <c r="C820" s="3"/>
      <c r="D820" s="4"/>
      <c r="E820" s="4"/>
      <c r="F820" s="4"/>
      <c r="G820" s="4"/>
      <c r="H820" s="4"/>
      <c r="I820" s="4"/>
      <c r="J820" s="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25">
      <c r="A821" s="1"/>
      <c r="B821" s="2"/>
      <c r="C821" s="3"/>
      <c r="D821" s="4"/>
      <c r="E821" s="4"/>
      <c r="F821" s="4"/>
      <c r="G821" s="4"/>
      <c r="H821" s="4"/>
      <c r="I821" s="4"/>
      <c r="J821" s="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25">
      <c r="A822" s="1"/>
      <c r="B822" s="2"/>
      <c r="C822" s="3"/>
      <c r="D822" s="4"/>
      <c r="E822" s="4"/>
      <c r="F822" s="4"/>
      <c r="G822" s="4"/>
      <c r="H822" s="4"/>
      <c r="I822" s="4"/>
      <c r="J822" s="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25">
      <c r="A823" s="1"/>
      <c r="B823" s="2"/>
      <c r="C823" s="3"/>
      <c r="D823" s="4"/>
      <c r="E823" s="4"/>
      <c r="F823" s="4"/>
      <c r="G823" s="4"/>
      <c r="H823" s="4"/>
      <c r="I823" s="4"/>
      <c r="J823" s="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25">
      <c r="A824" s="1"/>
      <c r="B824" s="2"/>
      <c r="C824" s="3"/>
      <c r="D824" s="4"/>
      <c r="E824" s="4"/>
      <c r="F824" s="4"/>
      <c r="G824" s="4"/>
      <c r="H824" s="4"/>
      <c r="I824" s="4"/>
      <c r="J824" s="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25">
      <c r="A825" s="1"/>
      <c r="B825" s="2"/>
      <c r="C825" s="3"/>
      <c r="D825" s="4"/>
      <c r="E825" s="4"/>
      <c r="F825" s="4"/>
      <c r="G825" s="4"/>
      <c r="H825" s="4"/>
      <c r="I825" s="4"/>
      <c r="J825" s="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25">
      <c r="A826" s="1"/>
      <c r="B826" s="2"/>
      <c r="C826" s="3"/>
      <c r="D826" s="4"/>
      <c r="E826" s="4"/>
      <c r="F826" s="4"/>
      <c r="G826" s="4"/>
      <c r="H826" s="4"/>
      <c r="I826" s="4"/>
      <c r="J826" s="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25">
      <c r="A827" s="1"/>
      <c r="B827" s="2"/>
      <c r="C827" s="3"/>
      <c r="D827" s="4"/>
      <c r="E827" s="4"/>
      <c r="F827" s="4"/>
      <c r="G827" s="4"/>
      <c r="H827" s="4"/>
      <c r="I827" s="4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25">
      <c r="A828" s="1"/>
      <c r="B828" s="2"/>
      <c r="C828" s="3"/>
      <c r="D828" s="4"/>
      <c r="E828" s="4"/>
      <c r="F828" s="4"/>
      <c r="G828" s="4"/>
      <c r="H828" s="4"/>
      <c r="I828" s="4"/>
      <c r="J828" s="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25">
      <c r="A829" s="1"/>
      <c r="B829" s="2"/>
      <c r="C829" s="3"/>
      <c r="D829" s="4"/>
      <c r="E829" s="4"/>
      <c r="F829" s="4"/>
      <c r="G829" s="4"/>
      <c r="H829" s="4"/>
      <c r="I829" s="4"/>
      <c r="J829" s="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25">
      <c r="A830" s="1"/>
      <c r="B830" s="2"/>
      <c r="C830" s="3"/>
      <c r="D830" s="4"/>
      <c r="E830" s="4"/>
      <c r="F830" s="4"/>
      <c r="G830" s="4"/>
      <c r="H830" s="4"/>
      <c r="I830" s="4"/>
      <c r="J830" s="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25">
      <c r="A831" s="1"/>
      <c r="B831" s="2"/>
      <c r="C831" s="3"/>
      <c r="D831" s="4"/>
      <c r="E831" s="4"/>
      <c r="F831" s="4"/>
      <c r="G831" s="4"/>
      <c r="H831" s="4"/>
      <c r="I831" s="4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25">
      <c r="A832" s="1"/>
      <c r="B832" s="2"/>
      <c r="C832" s="3"/>
      <c r="D832" s="4"/>
      <c r="E832" s="4"/>
      <c r="F832" s="4"/>
      <c r="G832" s="4"/>
      <c r="H832" s="4"/>
      <c r="I832" s="4"/>
      <c r="J832" s="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25">
      <c r="A833" s="1"/>
      <c r="B833" s="2"/>
      <c r="C833" s="3"/>
      <c r="D833" s="4"/>
      <c r="E833" s="4"/>
      <c r="F833" s="4"/>
      <c r="G833" s="4"/>
      <c r="H833" s="4"/>
      <c r="I833" s="4"/>
      <c r="J833" s="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25">
      <c r="A834" s="1"/>
      <c r="B834" s="2"/>
      <c r="C834" s="3"/>
      <c r="D834" s="4"/>
      <c r="E834" s="4"/>
      <c r="F834" s="4"/>
      <c r="G834" s="4"/>
      <c r="H834" s="4"/>
      <c r="I834" s="4"/>
      <c r="J834" s="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25">
      <c r="A835" s="1"/>
      <c r="B835" s="2"/>
      <c r="C835" s="3"/>
      <c r="D835" s="4"/>
      <c r="E835" s="4"/>
      <c r="F835" s="4"/>
      <c r="G835" s="4"/>
      <c r="H835" s="4"/>
      <c r="I835" s="4"/>
      <c r="J835" s="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25">
      <c r="A836" s="1"/>
      <c r="B836" s="2"/>
      <c r="C836" s="3"/>
      <c r="D836" s="4"/>
      <c r="E836" s="4"/>
      <c r="F836" s="4"/>
      <c r="G836" s="4"/>
      <c r="H836" s="4"/>
      <c r="I836" s="4"/>
      <c r="J836" s="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25">
      <c r="A837" s="1"/>
      <c r="B837" s="2"/>
      <c r="C837" s="3"/>
      <c r="D837" s="4"/>
      <c r="E837" s="4"/>
      <c r="F837" s="4"/>
      <c r="G837" s="4"/>
      <c r="H837" s="4"/>
      <c r="I837" s="4"/>
      <c r="J837" s="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25">
      <c r="A838" s="1"/>
      <c r="B838" s="2"/>
      <c r="C838" s="3"/>
      <c r="D838" s="4"/>
      <c r="E838" s="4"/>
      <c r="F838" s="4"/>
      <c r="G838" s="4"/>
      <c r="H838" s="4"/>
      <c r="I838" s="4"/>
      <c r="J838" s="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25">
      <c r="A839" s="1"/>
      <c r="B839" s="2"/>
      <c r="C839" s="3"/>
      <c r="D839" s="4"/>
      <c r="E839" s="4"/>
      <c r="F839" s="4"/>
      <c r="G839" s="4"/>
      <c r="H839" s="4"/>
      <c r="I839" s="4"/>
      <c r="J839" s="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25">
      <c r="A840" s="1"/>
      <c r="B840" s="2"/>
      <c r="C840" s="3"/>
      <c r="D840" s="4"/>
      <c r="E840" s="4"/>
      <c r="F840" s="4"/>
      <c r="G840" s="4"/>
      <c r="H840" s="4"/>
      <c r="I840" s="4"/>
      <c r="J840" s="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25">
      <c r="A841" s="1"/>
      <c r="B841" s="2"/>
      <c r="C841" s="3"/>
      <c r="D841" s="4"/>
      <c r="E841" s="4"/>
      <c r="F841" s="4"/>
      <c r="G841" s="4"/>
      <c r="H841" s="4"/>
      <c r="I841" s="4"/>
      <c r="J841" s="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25">
      <c r="A842" s="1"/>
      <c r="B842" s="2"/>
      <c r="C842" s="3"/>
      <c r="D842" s="4"/>
      <c r="E842" s="4"/>
      <c r="F842" s="4"/>
      <c r="G842" s="4"/>
      <c r="H842" s="4"/>
      <c r="I842" s="4"/>
      <c r="J842" s="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25">
      <c r="A843" s="1"/>
      <c r="B843" s="2"/>
      <c r="C843" s="3"/>
      <c r="D843" s="4"/>
      <c r="E843" s="4"/>
      <c r="F843" s="4"/>
      <c r="G843" s="4"/>
      <c r="H843" s="4"/>
      <c r="I843" s="4"/>
      <c r="J843" s="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25">
      <c r="A844" s="1"/>
      <c r="B844" s="2"/>
      <c r="C844" s="3"/>
      <c r="D844" s="4"/>
      <c r="E844" s="4"/>
      <c r="F844" s="4"/>
      <c r="G844" s="4"/>
      <c r="H844" s="4"/>
      <c r="I844" s="4"/>
      <c r="J844" s="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25">
      <c r="A845" s="1"/>
      <c r="B845" s="2"/>
      <c r="C845" s="3"/>
      <c r="D845" s="4"/>
      <c r="E845" s="4"/>
      <c r="F845" s="4"/>
      <c r="G845" s="4"/>
      <c r="H845" s="4"/>
      <c r="I845" s="4"/>
      <c r="J845" s="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25">
      <c r="A846" s="1"/>
      <c r="B846" s="2"/>
      <c r="C846" s="3"/>
      <c r="D846" s="4"/>
      <c r="E846" s="4"/>
      <c r="F846" s="4"/>
      <c r="G846" s="4"/>
      <c r="H846" s="4"/>
      <c r="I846" s="4"/>
      <c r="J846" s="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25">
      <c r="A847" s="1"/>
      <c r="B847" s="2"/>
      <c r="C847" s="3"/>
      <c r="D847" s="4"/>
      <c r="E847" s="4"/>
      <c r="F847" s="4"/>
      <c r="G847" s="4"/>
      <c r="H847" s="4"/>
      <c r="I847" s="4"/>
      <c r="J847" s="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25">
      <c r="A848" s="1"/>
      <c r="B848" s="2"/>
      <c r="C848" s="3"/>
      <c r="D848" s="4"/>
      <c r="E848" s="4"/>
      <c r="F848" s="4"/>
      <c r="G848" s="4"/>
      <c r="H848" s="4"/>
      <c r="I848" s="4"/>
      <c r="J848" s="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25">
      <c r="A849" s="1"/>
      <c r="B849" s="2"/>
      <c r="C849" s="3"/>
      <c r="D849" s="4"/>
      <c r="E849" s="4"/>
      <c r="F849" s="4"/>
      <c r="G849" s="4"/>
      <c r="H849" s="4"/>
      <c r="I849" s="4"/>
      <c r="J849" s="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25">
      <c r="A850" s="1"/>
      <c r="B850" s="2"/>
      <c r="C850" s="3"/>
      <c r="D850" s="4"/>
      <c r="E850" s="4"/>
      <c r="F850" s="4"/>
      <c r="G850" s="4"/>
      <c r="H850" s="4"/>
      <c r="I850" s="4"/>
      <c r="J850" s="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25">
      <c r="A851" s="1"/>
      <c r="B851" s="2"/>
      <c r="C851" s="3"/>
      <c r="D851" s="4"/>
      <c r="E851" s="4"/>
      <c r="F851" s="4"/>
      <c r="G851" s="4"/>
      <c r="H851" s="4"/>
      <c r="I851" s="4"/>
      <c r="J851" s="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25">
      <c r="A852" s="1"/>
      <c r="B852" s="2"/>
      <c r="C852" s="3"/>
      <c r="D852" s="4"/>
      <c r="E852" s="4"/>
      <c r="F852" s="4"/>
      <c r="G852" s="4"/>
      <c r="H852" s="4"/>
      <c r="I852" s="4"/>
      <c r="J852" s="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25">
      <c r="A853" s="1"/>
      <c r="B853" s="2"/>
      <c r="C853" s="3"/>
      <c r="D853" s="4"/>
      <c r="E853" s="4"/>
      <c r="F853" s="4"/>
      <c r="G853" s="4"/>
      <c r="H853" s="4"/>
      <c r="I853" s="4"/>
      <c r="J853" s="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25">
      <c r="A854" s="1"/>
      <c r="B854" s="2"/>
      <c r="C854" s="3"/>
      <c r="D854" s="4"/>
      <c r="E854" s="4"/>
      <c r="F854" s="4"/>
      <c r="G854" s="4"/>
      <c r="H854" s="4"/>
      <c r="I854" s="4"/>
      <c r="J854" s="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25">
      <c r="A855" s="1"/>
      <c r="B855" s="2"/>
      <c r="C855" s="3"/>
      <c r="D855" s="4"/>
      <c r="E855" s="4"/>
      <c r="F855" s="4"/>
      <c r="G855" s="4"/>
      <c r="H855" s="4"/>
      <c r="I855" s="4"/>
      <c r="J855" s="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25">
      <c r="A856" s="1"/>
      <c r="B856" s="2"/>
      <c r="C856" s="3"/>
      <c r="D856" s="4"/>
      <c r="E856" s="4"/>
      <c r="F856" s="4"/>
      <c r="G856" s="4"/>
      <c r="H856" s="4"/>
      <c r="I856" s="4"/>
      <c r="J856" s="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25">
      <c r="A857" s="1"/>
      <c r="B857" s="2"/>
      <c r="C857" s="3"/>
      <c r="D857" s="4"/>
      <c r="E857" s="4"/>
      <c r="F857" s="4"/>
      <c r="G857" s="4"/>
      <c r="H857" s="4"/>
      <c r="I857" s="4"/>
      <c r="J857" s="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25">
      <c r="A858" s="1"/>
      <c r="B858" s="2"/>
      <c r="C858" s="3"/>
      <c r="D858" s="4"/>
      <c r="E858" s="4"/>
      <c r="F858" s="4"/>
      <c r="G858" s="4"/>
      <c r="H858" s="4"/>
      <c r="I858" s="4"/>
      <c r="J858" s="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25">
      <c r="A859" s="1"/>
      <c r="B859" s="2"/>
      <c r="C859" s="3"/>
      <c r="D859" s="4"/>
      <c r="E859" s="4"/>
      <c r="F859" s="4"/>
      <c r="G859" s="4"/>
      <c r="H859" s="4"/>
      <c r="I859" s="4"/>
      <c r="J859" s="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25">
      <c r="A860" s="1"/>
      <c r="B860" s="2"/>
      <c r="C860" s="3"/>
      <c r="D860" s="4"/>
      <c r="E860" s="4"/>
      <c r="F860" s="4"/>
      <c r="G860" s="4"/>
      <c r="H860" s="4"/>
      <c r="I860" s="4"/>
      <c r="J860" s="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25">
      <c r="A861" s="1"/>
      <c r="B861" s="2"/>
      <c r="C861" s="3"/>
      <c r="D861" s="4"/>
      <c r="E861" s="4"/>
      <c r="F861" s="4"/>
      <c r="G861" s="4"/>
      <c r="H861" s="4"/>
      <c r="I861" s="4"/>
      <c r="J861" s="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25">
      <c r="A862" s="1"/>
      <c r="B862" s="2"/>
      <c r="C862" s="3"/>
      <c r="D862" s="4"/>
      <c r="E862" s="4"/>
      <c r="F862" s="4"/>
      <c r="G862" s="4"/>
      <c r="H862" s="4"/>
      <c r="I862" s="4"/>
      <c r="J862" s="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25">
      <c r="A863" s="1"/>
      <c r="B863" s="2"/>
      <c r="C863" s="3"/>
      <c r="D863" s="4"/>
      <c r="E863" s="4"/>
      <c r="F863" s="4"/>
      <c r="G863" s="4"/>
      <c r="H863" s="4"/>
      <c r="I863" s="4"/>
      <c r="J863" s="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25">
      <c r="A864" s="1"/>
      <c r="B864" s="2"/>
      <c r="C864" s="3"/>
      <c r="D864" s="4"/>
      <c r="E864" s="4"/>
      <c r="F864" s="4"/>
      <c r="G864" s="4"/>
      <c r="H864" s="4"/>
      <c r="I864" s="4"/>
      <c r="J864" s="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25">
      <c r="A865" s="1"/>
      <c r="B865" s="2"/>
      <c r="C865" s="3"/>
      <c r="D865" s="4"/>
      <c r="E865" s="4"/>
      <c r="F865" s="4"/>
      <c r="G865" s="4"/>
      <c r="H865" s="4"/>
      <c r="I865" s="4"/>
      <c r="J865" s="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25">
      <c r="A866" s="1"/>
      <c r="B866" s="2"/>
      <c r="C866" s="3"/>
      <c r="D866" s="4"/>
      <c r="E866" s="4"/>
      <c r="F866" s="4"/>
      <c r="G866" s="4"/>
      <c r="H866" s="4"/>
      <c r="I866" s="4"/>
      <c r="J866" s="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25">
      <c r="A867" s="1"/>
      <c r="B867" s="2"/>
      <c r="C867" s="3"/>
      <c r="D867" s="4"/>
      <c r="E867" s="4"/>
      <c r="F867" s="4"/>
      <c r="G867" s="4"/>
      <c r="H867" s="4"/>
      <c r="I867" s="4"/>
      <c r="J867" s="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25">
      <c r="A868" s="1"/>
      <c r="B868" s="2"/>
      <c r="C868" s="3"/>
      <c r="D868" s="4"/>
      <c r="E868" s="4"/>
      <c r="F868" s="4"/>
      <c r="G868" s="4"/>
      <c r="H868" s="4"/>
      <c r="I868" s="4"/>
      <c r="J868" s="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25">
      <c r="A869" s="1"/>
      <c r="B869" s="2"/>
      <c r="C869" s="3"/>
      <c r="D869" s="4"/>
      <c r="E869" s="4"/>
      <c r="F869" s="4"/>
      <c r="G869" s="4"/>
      <c r="H869" s="4"/>
      <c r="I869" s="4"/>
      <c r="J869" s="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25">
      <c r="A870" s="1"/>
      <c r="B870" s="2"/>
      <c r="C870" s="3"/>
      <c r="D870" s="4"/>
      <c r="E870" s="4"/>
      <c r="F870" s="4"/>
      <c r="G870" s="4"/>
      <c r="H870" s="4"/>
      <c r="I870" s="4"/>
      <c r="J870" s="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25">
      <c r="A871" s="1"/>
      <c r="B871" s="2"/>
      <c r="C871" s="3"/>
      <c r="D871" s="4"/>
      <c r="E871" s="4"/>
      <c r="F871" s="4"/>
      <c r="G871" s="4"/>
      <c r="H871" s="4"/>
      <c r="I871" s="4"/>
      <c r="J871" s="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25">
      <c r="A872" s="1"/>
      <c r="B872" s="2"/>
      <c r="C872" s="3"/>
      <c r="D872" s="4"/>
      <c r="E872" s="4"/>
      <c r="F872" s="4"/>
      <c r="G872" s="4"/>
      <c r="H872" s="4"/>
      <c r="I872" s="4"/>
      <c r="J872" s="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25">
      <c r="A873" s="1"/>
      <c r="B873" s="2"/>
      <c r="C873" s="3"/>
      <c r="D873" s="4"/>
      <c r="E873" s="4"/>
      <c r="F873" s="4"/>
      <c r="G873" s="4"/>
      <c r="H873" s="4"/>
      <c r="I873" s="4"/>
      <c r="J873" s="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25">
      <c r="A874" s="1"/>
      <c r="B874" s="2"/>
      <c r="C874" s="3"/>
      <c r="D874" s="4"/>
      <c r="E874" s="4"/>
      <c r="F874" s="4"/>
      <c r="G874" s="4"/>
      <c r="H874" s="4"/>
      <c r="I874" s="4"/>
      <c r="J874" s="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25">
      <c r="A875" s="1"/>
      <c r="B875" s="2"/>
      <c r="C875" s="3"/>
      <c r="D875" s="4"/>
      <c r="E875" s="4"/>
      <c r="F875" s="4"/>
      <c r="G875" s="4"/>
      <c r="H875" s="4"/>
      <c r="I875" s="4"/>
      <c r="J875" s="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25">
      <c r="A876" s="1"/>
      <c r="B876" s="2"/>
      <c r="C876" s="3"/>
      <c r="D876" s="4"/>
      <c r="E876" s="4"/>
      <c r="F876" s="4"/>
      <c r="G876" s="4"/>
      <c r="H876" s="4"/>
      <c r="I876" s="4"/>
      <c r="J876" s="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25">
      <c r="A877" s="1"/>
      <c r="B877" s="2"/>
      <c r="C877" s="3"/>
      <c r="D877" s="4"/>
      <c r="E877" s="4"/>
      <c r="F877" s="4"/>
      <c r="G877" s="4"/>
      <c r="H877" s="4"/>
      <c r="I877" s="4"/>
      <c r="J877" s="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25">
      <c r="A878" s="1"/>
      <c r="B878" s="2"/>
      <c r="C878" s="3"/>
      <c r="D878" s="4"/>
      <c r="E878" s="4"/>
      <c r="F878" s="4"/>
      <c r="G878" s="4"/>
      <c r="H878" s="4"/>
      <c r="I878" s="4"/>
      <c r="J878" s="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25">
      <c r="A879" s="1"/>
      <c r="B879" s="2"/>
      <c r="C879" s="3"/>
      <c r="D879" s="4"/>
      <c r="E879" s="4"/>
      <c r="F879" s="4"/>
      <c r="G879" s="4"/>
      <c r="H879" s="4"/>
      <c r="I879" s="4"/>
      <c r="J879" s="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25">
      <c r="A880" s="1"/>
      <c r="B880" s="2"/>
      <c r="C880" s="3"/>
      <c r="D880" s="4"/>
      <c r="E880" s="4"/>
      <c r="F880" s="4"/>
      <c r="G880" s="4"/>
      <c r="H880" s="4"/>
      <c r="I880" s="4"/>
      <c r="J880" s="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25">
      <c r="A881" s="1"/>
      <c r="B881" s="2"/>
      <c r="C881" s="3"/>
      <c r="D881" s="4"/>
      <c r="E881" s="4"/>
      <c r="F881" s="4"/>
      <c r="G881" s="4"/>
      <c r="H881" s="4"/>
      <c r="I881" s="4"/>
      <c r="J881" s="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25">
      <c r="A882" s="1"/>
      <c r="B882" s="2"/>
      <c r="C882" s="3"/>
      <c r="D882" s="4"/>
      <c r="E882" s="4"/>
      <c r="F882" s="4"/>
      <c r="G882" s="4"/>
      <c r="H882" s="4"/>
      <c r="I882" s="4"/>
      <c r="J882" s="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25">
      <c r="A883" s="1"/>
      <c r="B883" s="2"/>
      <c r="C883" s="3"/>
      <c r="D883" s="4"/>
      <c r="E883" s="4"/>
      <c r="F883" s="4"/>
      <c r="G883" s="4"/>
      <c r="H883" s="4"/>
      <c r="I883" s="4"/>
      <c r="J883" s="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25">
      <c r="A884" s="1"/>
      <c r="B884" s="2"/>
      <c r="C884" s="3"/>
      <c r="D884" s="4"/>
      <c r="E884" s="4"/>
      <c r="F884" s="4"/>
      <c r="G884" s="4"/>
      <c r="H884" s="4"/>
      <c r="I884" s="4"/>
      <c r="J884" s="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25">
      <c r="A885" s="1"/>
      <c r="B885" s="2"/>
      <c r="C885" s="3"/>
      <c r="D885" s="4"/>
      <c r="E885" s="4"/>
      <c r="F885" s="4"/>
      <c r="G885" s="4"/>
      <c r="H885" s="4"/>
      <c r="I885" s="4"/>
      <c r="J885" s="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25">
      <c r="A886" s="1"/>
      <c r="B886" s="2"/>
      <c r="C886" s="3"/>
      <c r="D886" s="4"/>
      <c r="E886" s="4"/>
      <c r="F886" s="4"/>
      <c r="G886" s="4"/>
      <c r="H886" s="4"/>
      <c r="I886" s="4"/>
      <c r="J886" s="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25">
      <c r="A887" s="1"/>
      <c r="B887" s="2"/>
      <c r="C887" s="3"/>
      <c r="D887" s="4"/>
      <c r="E887" s="4"/>
      <c r="F887" s="4"/>
      <c r="G887" s="4"/>
      <c r="H887" s="4"/>
      <c r="I887" s="4"/>
      <c r="J887" s="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25">
      <c r="A888" s="1"/>
      <c r="B888" s="2"/>
      <c r="C888" s="3"/>
      <c r="D888" s="4"/>
      <c r="E888" s="4"/>
      <c r="F888" s="4"/>
      <c r="G888" s="4"/>
      <c r="H888" s="4"/>
      <c r="I888" s="4"/>
      <c r="J888" s="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25">
      <c r="A889" s="1"/>
      <c r="B889" s="2"/>
      <c r="C889" s="3"/>
      <c r="D889" s="4"/>
      <c r="E889" s="4"/>
      <c r="F889" s="4"/>
      <c r="G889" s="4"/>
      <c r="H889" s="4"/>
      <c r="I889" s="4"/>
      <c r="J889" s="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25">
      <c r="A890" s="1"/>
      <c r="B890" s="2"/>
      <c r="C890" s="3"/>
      <c r="D890" s="4"/>
      <c r="E890" s="4"/>
      <c r="F890" s="4"/>
      <c r="G890" s="4"/>
      <c r="H890" s="4"/>
      <c r="I890" s="4"/>
      <c r="J890" s="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25">
      <c r="A891" s="1"/>
      <c r="B891" s="2"/>
      <c r="C891" s="3"/>
      <c r="D891" s="4"/>
      <c r="E891" s="4"/>
      <c r="F891" s="4"/>
      <c r="G891" s="4"/>
      <c r="H891" s="4"/>
      <c r="I891" s="4"/>
      <c r="J891" s="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25">
      <c r="A892" s="1"/>
      <c r="B892" s="2"/>
      <c r="C892" s="3"/>
      <c r="D892" s="4"/>
      <c r="E892" s="4"/>
      <c r="F892" s="4"/>
      <c r="G892" s="4"/>
      <c r="H892" s="4"/>
      <c r="I892" s="4"/>
      <c r="J892" s="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25">
      <c r="A893" s="1"/>
      <c r="B893" s="2"/>
      <c r="C893" s="3"/>
      <c r="D893" s="4"/>
      <c r="E893" s="4"/>
      <c r="F893" s="4"/>
      <c r="G893" s="4"/>
      <c r="H893" s="4"/>
      <c r="I893" s="4"/>
      <c r="J893" s="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25">
      <c r="A894" s="1"/>
      <c r="B894" s="2"/>
      <c r="C894" s="3"/>
      <c r="D894" s="4"/>
      <c r="E894" s="4"/>
      <c r="F894" s="4"/>
      <c r="G894" s="4"/>
      <c r="H894" s="4"/>
      <c r="I894" s="4"/>
      <c r="J894" s="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25">
      <c r="A895" s="1"/>
      <c r="B895" s="2"/>
      <c r="C895" s="3"/>
      <c r="D895" s="4"/>
      <c r="E895" s="4"/>
      <c r="F895" s="4"/>
      <c r="G895" s="4"/>
      <c r="H895" s="4"/>
      <c r="I895" s="4"/>
      <c r="J895" s="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25">
      <c r="A896" s="1"/>
      <c r="B896" s="2"/>
      <c r="C896" s="3"/>
      <c r="D896" s="4"/>
      <c r="E896" s="4"/>
      <c r="F896" s="4"/>
      <c r="G896" s="4"/>
      <c r="H896" s="4"/>
      <c r="I896" s="4"/>
      <c r="J896" s="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25">
      <c r="A897" s="1"/>
      <c r="B897" s="2"/>
      <c r="C897" s="3"/>
      <c r="D897" s="4"/>
      <c r="E897" s="4"/>
      <c r="F897" s="4"/>
      <c r="G897" s="4"/>
      <c r="H897" s="4"/>
      <c r="I897" s="4"/>
      <c r="J897" s="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25">
      <c r="A898" s="1"/>
      <c r="B898" s="2"/>
      <c r="C898" s="3"/>
      <c r="D898" s="4"/>
      <c r="E898" s="4"/>
      <c r="F898" s="4"/>
      <c r="G898" s="4"/>
      <c r="H898" s="4"/>
      <c r="I898" s="4"/>
      <c r="J898" s="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25">
      <c r="A899" s="1"/>
      <c r="B899" s="2"/>
      <c r="C899" s="3"/>
      <c r="D899" s="4"/>
      <c r="E899" s="4"/>
      <c r="F899" s="4"/>
      <c r="G899" s="4"/>
      <c r="H899" s="4"/>
      <c r="I899" s="4"/>
      <c r="J899" s="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25">
      <c r="A900" s="1"/>
      <c r="B900" s="2"/>
      <c r="C900" s="3"/>
      <c r="D900" s="4"/>
      <c r="E900" s="4"/>
      <c r="F900" s="4"/>
      <c r="G900" s="4"/>
      <c r="H900" s="4"/>
      <c r="I900" s="4"/>
      <c r="J900" s="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25">
      <c r="A901" s="1"/>
      <c r="B901" s="2"/>
      <c r="C901" s="3"/>
      <c r="D901" s="4"/>
      <c r="E901" s="4"/>
      <c r="F901" s="4"/>
      <c r="G901" s="4"/>
      <c r="H901" s="4"/>
      <c r="I901" s="4"/>
      <c r="J901" s="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25">
      <c r="A902" s="1"/>
      <c r="B902" s="2"/>
      <c r="C902" s="3"/>
      <c r="D902" s="4"/>
      <c r="E902" s="4"/>
      <c r="F902" s="4"/>
      <c r="G902" s="4"/>
      <c r="H902" s="4"/>
      <c r="I902" s="4"/>
      <c r="J902" s="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25">
      <c r="A903" s="1"/>
      <c r="B903" s="2"/>
      <c r="C903" s="3"/>
      <c r="D903" s="4"/>
      <c r="E903" s="4"/>
      <c r="F903" s="4"/>
      <c r="G903" s="4"/>
      <c r="H903" s="4"/>
      <c r="I903" s="4"/>
      <c r="J903" s="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25">
      <c r="A904" s="1"/>
      <c r="B904" s="2"/>
      <c r="C904" s="3"/>
      <c r="D904" s="4"/>
      <c r="E904" s="4"/>
      <c r="F904" s="4"/>
      <c r="G904" s="4"/>
      <c r="H904" s="4"/>
      <c r="I904" s="4"/>
      <c r="J904" s="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25">
      <c r="A905" s="1"/>
      <c r="B905" s="2"/>
      <c r="C905" s="3"/>
      <c r="D905" s="4"/>
      <c r="E905" s="4"/>
      <c r="F905" s="4"/>
      <c r="G905" s="4"/>
      <c r="H905" s="4"/>
      <c r="I905" s="4"/>
      <c r="J905" s="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25">
      <c r="A906" s="1"/>
      <c r="B906" s="2"/>
      <c r="C906" s="3"/>
      <c r="D906" s="4"/>
      <c r="E906" s="4"/>
      <c r="F906" s="4"/>
      <c r="G906" s="4"/>
      <c r="H906" s="4"/>
      <c r="I906" s="4"/>
      <c r="J906" s="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25">
      <c r="A907" s="1"/>
      <c r="B907" s="2"/>
      <c r="C907" s="3"/>
      <c r="D907" s="4"/>
      <c r="E907" s="4"/>
      <c r="F907" s="4"/>
      <c r="G907" s="4"/>
      <c r="H907" s="4"/>
      <c r="I907" s="4"/>
      <c r="J907" s="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25">
      <c r="A908" s="1"/>
      <c r="B908" s="2"/>
      <c r="C908" s="3"/>
      <c r="D908" s="4"/>
      <c r="E908" s="4"/>
      <c r="F908" s="4"/>
      <c r="G908" s="4"/>
      <c r="H908" s="4"/>
      <c r="I908" s="4"/>
      <c r="J908" s="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25">
      <c r="A909" s="1"/>
      <c r="B909" s="2"/>
      <c r="C909" s="3"/>
      <c r="D909" s="4"/>
      <c r="E909" s="4"/>
      <c r="F909" s="4"/>
      <c r="G909" s="4"/>
      <c r="H909" s="4"/>
      <c r="I909" s="4"/>
      <c r="J909" s="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25">
      <c r="A910" s="1"/>
      <c r="B910" s="2"/>
      <c r="C910" s="3"/>
      <c r="D910" s="4"/>
      <c r="E910" s="4"/>
      <c r="F910" s="4"/>
      <c r="G910" s="4"/>
      <c r="H910" s="4"/>
      <c r="I910" s="4"/>
      <c r="J910" s="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25">
      <c r="A911" s="1"/>
      <c r="B911" s="2"/>
      <c r="C911" s="3"/>
      <c r="D911" s="4"/>
      <c r="E911" s="4"/>
      <c r="F911" s="4"/>
      <c r="G911" s="4"/>
      <c r="H911" s="4"/>
      <c r="I911" s="4"/>
      <c r="J911" s="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25">
      <c r="A912" s="1"/>
      <c r="B912" s="2"/>
      <c r="C912" s="3"/>
      <c r="D912" s="4"/>
      <c r="E912" s="4"/>
      <c r="F912" s="4"/>
      <c r="G912" s="4"/>
      <c r="H912" s="4"/>
      <c r="I912" s="4"/>
      <c r="J912" s="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25">
      <c r="A913" s="1"/>
      <c r="B913" s="2"/>
      <c r="C913" s="3"/>
      <c r="D913" s="4"/>
      <c r="E913" s="4"/>
      <c r="F913" s="4"/>
      <c r="G913" s="4"/>
      <c r="H913" s="4"/>
      <c r="I913" s="4"/>
      <c r="J913" s="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25">
      <c r="A914" s="1"/>
      <c r="B914" s="2"/>
      <c r="C914" s="3"/>
      <c r="D914" s="4"/>
      <c r="E914" s="4"/>
      <c r="F914" s="4"/>
      <c r="G914" s="4"/>
      <c r="H914" s="4"/>
      <c r="I914" s="4"/>
      <c r="J914" s="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25">
      <c r="A915" s="1"/>
      <c r="B915" s="2"/>
      <c r="C915" s="3"/>
      <c r="D915" s="4"/>
      <c r="E915" s="4"/>
      <c r="F915" s="4"/>
      <c r="G915" s="4"/>
      <c r="H915" s="4"/>
      <c r="I915" s="4"/>
      <c r="J915" s="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25">
      <c r="A916" s="1"/>
      <c r="B916" s="2"/>
      <c r="C916" s="3"/>
      <c r="D916" s="4"/>
      <c r="E916" s="4"/>
      <c r="F916" s="4"/>
      <c r="G916" s="4"/>
      <c r="H916" s="4"/>
      <c r="I916" s="4"/>
      <c r="J916" s="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25">
      <c r="A917" s="1"/>
      <c r="B917" s="2"/>
      <c r="C917" s="3"/>
      <c r="D917" s="4"/>
      <c r="E917" s="4"/>
      <c r="F917" s="4"/>
      <c r="G917" s="4"/>
      <c r="H917" s="4"/>
      <c r="I917" s="4"/>
      <c r="J917" s="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25">
      <c r="A918" s="1"/>
      <c r="B918" s="2"/>
      <c r="C918" s="3"/>
      <c r="D918" s="4"/>
      <c r="E918" s="4"/>
      <c r="F918" s="4"/>
      <c r="G918" s="4"/>
      <c r="H918" s="4"/>
      <c r="I918" s="4"/>
      <c r="J918" s="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25">
      <c r="A919" s="1"/>
      <c r="B919" s="2"/>
      <c r="C919" s="3"/>
      <c r="D919" s="4"/>
      <c r="E919" s="4"/>
      <c r="F919" s="4"/>
      <c r="G919" s="4"/>
      <c r="H919" s="4"/>
      <c r="I919" s="4"/>
      <c r="J919" s="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25">
      <c r="A920" s="1"/>
      <c r="B920" s="2"/>
      <c r="C920" s="3"/>
      <c r="D920" s="4"/>
      <c r="E920" s="4"/>
      <c r="F920" s="4"/>
      <c r="G920" s="4"/>
      <c r="H920" s="4"/>
      <c r="I920" s="4"/>
      <c r="J920" s="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25">
      <c r="A921" s="1"/>
      <c r="B921" s="2"/>
      <c r="C921" s="3"/>
      <c r="D921" s="4"/>
      <c r="E921" s="4"/>
      <c r="F921" s="4"/>
      <c r="G921" s="4"/>
      <c r="H921" s="4"/>
      <c r="I921" s="4"/>
      <c r="J921" s="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25">
      <c r="A922" s="1"/>
      <c r="B922" s="2"/>
      <c r="C922" s="3"/>
      <c r="D922" s="4"/>
      <c r="E922" s="4"/>
      <c r="F922" s="4"/>
      <c r="G922" s="4"/>
      <c r="H922" s="4"/>
      <c r="I922" s="4"/>
      <c r="J922" s="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25">
      <c r="A923" s="1"/>
      <c r="B923" s="2"/>
      <c r="C923" s="3"/>
      <c r="D923" s="4"/>
      <c r="E923" s="4"/>
      <c r="F923" s="4"/>
      <c r="G923" s="4"/>
      <c r="H923" s="4"/>
      <c r="I923" s="4"/>
      <c r="J923" s="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25">
      <c r="A924" s="1"/>
      <c r="B924" s="2"/>
      <c r="C924" s="3"/>
      <c r="D924" s="4"/>
      <c r="E924" s="4"/>
      <c r="F924" s="4"/>
      <c r="G924" s="4"/>
      <c r="H924" s="4"/>
      <c r="I924" s="4"/>
      <c r="J924" s="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25">
      <c r="A925" s="1"/>
      <c r="B925" s="2"/>
      <c r="C925" s="3"/>
      <c r="D925" s="4"/>
      <c r="E925" s="4"/>
      <c r="F925" s="4"/>
      <c r="G925" s="4"/>
      <c r="H925" s="4"/>
      <c r="I925" s="4"/>
      <c r="J925" s="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25">
      <c r="A926" s="1"/>
      <c r="B926" s="2"/>
      <c r="C926" s="3"/>
      <c r="D926" s="4"/>
      <c r="E926" s="4"/>
      <c r="F926" s="4"/>
      <c r="G926" s="4"/>
      <c r="H926" s="4"/>
      <c r="I926" s="4"/>
      <c r="J926" s="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25">
      <c r="A927" s="1"/>
      <c r="B927" s="2"/>
      <c r="C927" s="3"/>
      <c r="D927" s="4"/>
      <c r="E927" s="4"/>
      <c r="F927" s="4"/>
      <c r="G927" s="4"/>
      <c r="H927" s="4"/>
      <c r="I927" s="4"/>
      <c r="J927" s="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25">
      <c r="A928" s="1"/>
      <c r="B928" s="2"/>
      <c r="C928" s="3"/>
      <c r="D928" s="4"/>
      <c r="E928" s="4"/>
      <c r="F928" s="4"/>
      <c r="G928" s="4"/>
      <c r="H928" s="4"/>
      <c r="I928" s="4"/>
      <c r="J928" s="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25">
      <c r="A929" s="1"/>
      <c r="B929" s="2"/>
      <c r="C929" s="3"/>
      <c r="D929" s="4"/>
      <c r="E929" s="4"/>
      <c r="F929" s="4"/>
      <c r="G929" s="4"/>
      <c r="H929" s="4"/>
      <c r="I929" s="4"/>
      <c r="J929" s="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25">
      <c r="A930" s="1"/>
      <c r="B930" s="2"/>
      <c r="C930" s="3"/>
      <c r="D930" s="4"/>
      <c r="E930" s="4"/>
      <c r="F930" s="4"/>
      <c r="G930" s="4"/>
      <c r="H930" s="4"/>
      <c r="I930" s="4"/>
      <c r="J930" s="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25">
      <c r="A931" s="1"/>
      <c r="B931" s="2"/>
      <c r="C931" s="3"/>
      <c r="D931" s="4"/>
      <c r="E931" s="4"/>
      <c r="F931" s="4"/>
      <c r="G931" s="4"/>
      <c r="H931" s="4"/>
      <c r="I931" s="4"/>
      <c r="J931" s="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25">
      <c r="A932" s="1"/>
      <c r="B932" s="2"/>
      <c r="C932" s="3"/>
      <c r="D932" s="4"/>
      <c r="E932" s="4"/>
      <c r="F932" s="4"/>
      <c r="G932" s="4"/>
      <c r="H932" s="4"/>
      <c r="I932" s="4"/>
      <c r="J932" s="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25">
      <c r="A933" s="1"/>
      <c r="B933" s="2"/>
      <c r="C933" s="3"/>
      <c r="D933" s="4"/>
      <c r="E933" s="4"/>
      <c r="F933" s="4"/>
      <c r="G933" s="4"/>
      <c r="H933" s="4"/>
      <c r="I933" s="4"/>
      <c r="J933" s="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25">
      <c r="A934" s="1"/>
      <c r="B934" s="2"/>
      <c r="C934" s="3"/>
      <c r="D934" s="4"/>
      <c r="E934" s="4"/>
      <c r="F934" s="4"/>
      <c r="G934" s="4"/>
      <c r="H934" s="4"/>
      <c r="I934" s="4"/>
      <c r="J934" s="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25">
      <c r="A935" s="1"/>
      <c r="B935" s="2"/>
      <c r="C935" s="3"/>
      <c r="D935" s="4"/>
      <c r="E935" s="4"/>
      <c r="F935" s="4"/>
      <c r="G935" s="4"/>
      <c r="H935" s="4"/>
      <c r="I935" s="4"/>
      <c r="J935" s="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25">
      <c r="A936" s="1"/>
      <c r="B936" s="2"/>
      <c r="C936" s="3"/>
      <c r="D936" s="4"/>
      <c r="E936" s="4"/>
      <c r="F936" s="4"/>
      <c r="G936" s="4"/>
      <c r="H936" s="4"/>
      <c r="I936" s="4"/>
      <c r="J936" s="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25">
      <c r="A937" s="1"/>
      <c r="B937" s="2"/>
      <c r="C937" s="3"/>
      <c r="D937" s="4"/>
      <c r="E937" s="4"/>
      <c r="F937" s="4"/>
      <c r="G937" s="4"/>
      <c r="H937" s="4"/>
      <c r="I937" s="4"/>
      <c r="J937" s="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25">
      <c r="A938" s="1"/>
      <c r="B938" s="2"/>
      <c r="C938" s="3"/>
      <c r="D938" s="4"/>
      <c r="E938" s="4"/>
      <c r="F938" s="4"/>
      <c r="G938" s="4"/>
      <c r="H938" s="4"/>
      <c r="I938" s="4"/>
      <c r="J938" s="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25">
      <c r="A939" s="1"/>
      <c r="B939" s="2"/>
      <c r="C939" s="3"/>
      <c r="D939" s="4"/>
      <c r="E939" s="4"/>
      <c r="F939" s="4"/>
      <c r="G939" s="4"/>
      <c r="H939" s="4"/>
      <c r="I939" s="4"/>
      <c r="J939" s="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25">
      <c r="A940" s="1"/>
      <c r="B940" s="2"/>
      <c r="C940" s="3"/>
      <c r="D940" s="4"/>
      <c r="E940" s="4"/>
      <c r="F940" s="4"/>
      <c r="G940" s="4"/>
      <c r="H940" s="4"/>
      <c r="I940" s="4"/>
      <c r="J940" s="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25">
      <c r="A941" s="1"/>
      <c r="B941" s="2"/>
      <c r="C941" s="3"/>
      <c r="D941" s="4"/>
      <c r="E941" s="4"/>
      <c r="F941" s="4"/>
      <c r="G941" s="4"/>
      <c r="H941" s="4"/>
      <c r="I941" s="4"/>
      <c r="J941" s="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25">
      <c r="A942" s="1"/>
      <c r="B942" s="2"/>
      <c r="C942" s="3"/>
      <c r="D942" s="4"/>
      <c r="E942" s="4"/>
      <c r="F942" s="4"/>
      <c r="G942" s="4"/>
      <c r="H942" s="4"/>
      <c r="I942" s="4"/>
      <c r="J942" s="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25">
      <c r="A943" s="1"/>
      <c r="B943" s="2"/>
      <c r="C943" s="3"/>
      <c r="D943" s="4"/>
      <c r="E943" s="4"/>
      <c r="F943" s="4"/>
      <c r="G943" s="4"/>
      <c r="H943" s="4"/>
      <c r="I943" s="4"/>
      <c r="J943" s="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25">
      <c r="A944" s="1"/>
      <c r="B944" s="2"/>
      <c r="C944" s="3"/>
      <c r="D944" s="4"/>
      <c r="E944" s="4"/>
      <c r="F944" s="4"/>
      <c r="G944" s="4"/>
      <c r="H944" s="4"/>
      <c r="I944" s="4"/>
      <c r="J944" s="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25">
      <c r="A945" s="1"/>
      <c r="B945" s="2"/>
      <c r="C945" s="3"/>
      <c r="D945" s="4"/>
      <c r="E945" s="4"/>
      <c r="F945" s="4"/>
      <c r="G945" s="4"/>
      <c r="H945" s="4"/>
      <c r="I945" s="4"/>
      <c r="J945" s="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25">
      <c r="A946" s="1"/>
      <c r="B946" s="2"/>
      <c r="C946" s="3"/>
      <c r="D946" s="4"/>
      <c r="E946" s="4"/>
      <c r="F946" s="4"/>
      <c r="G946" s="4"/>
      <c r="H946" s="4"/>
      <c r="I946" s="4"/>
      <c r="J946" s="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25">
      <c r="A947" s="1"/>
      <c r="B947" s="2"/>
      <c r="C947" s="3"/>
      <c r="D947" s="4"/>
      <c r="E947" s="4"/>
      <c r="F947" s="4"/>
      <c r="G947" s="4"/>
      <c r="H947" s="4"/>
      <c r="I947" s="4"/>
      <c r="J947" s="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25">
      <c r="A948" s="1"/>
      <c r="B948" s="2"/>
      <c r="C948" s="3"/>
      <c r="D948" s="4"/>
      <c r="E948" s="4"/>
      <c r="F948" s="4"/>
      <c r="G948" s="4"/>
      <c r="H948" s="4"/>
      <c r="I948" s="4"/>
      <c r="J948" s="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25">
      <c r="A949" s="1"/>
      <c r="B949" s="2"/>
      <c r="C949" s="3"/>
      <c r="D949" s="4"/>
      <c r="E949" s="4"/>
      <c r="F949" s="4"/>
      <c r="G949" s="4"/>
      <c r="H949" s="4"/>
      <c r="I949" s="4"/>
      <c r="J949" s="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25">
      <c r="A950" s="1"/>
      <c r="B950" s="2"/>
      <c r="C950" s="3"/>
      <c r="D950" s="4"/>
      <c r="E950" s="4"/>
      <c r="F950" s="4"/>
      <c r="G950" s="4"/>
      <c r="H950" s="4"/>
      <c r="I950" s="4"/>
      <c r="J950" s="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25">
      <c r="A951" s="1"/>
      <c r="B951" s="2"/>
      <c r="C951" s="3"/>
      <c r="D951" s="4"/>
      <c r="E951" s="4"/>
      <c r="F951" s="4"/>
      <c r="G951" s="4"/>
      <c r="H951" s="4"/>
      <c r="I951" s="4"/>
      <c r="J951" s="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25">
      <c r="A952" s="1"/>
      <c r="B952" s="2"/>
      <c r="C952" s="3"/>
      <c r="D952" s="4"/>
      <c r="E952" s="4"/>
      <c r="F952" s="4"/>
      <c r="G952" s="4"/>
      <c r="H952" s="4"/>
      <c r="I952" s="4"/>
      <c r="J952" s="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25">
      <c r="A953" s="1"/>
      <c r="B953" s="2"/>
      <c r="C953" s="3"/>
      <c r="D953" s="4"/>
      <c r="E953" s="4"/>
      <c r="F953" s="4"/>
      <c r="G953" s="4"/>
      <c r="H953" s="4"/>
      <c r="I953" s="4"/>
      <c r="J953" s="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25">
      <c r="A954" s="1"/>
      <c r="B954" s="2"/>
      <c r="C954" s="3"/>
      <c r="D954" s="4"/>
      <c r="E954" s="4"/>
      <c r="F954" s="4"/>
      <c r="G954" s="4"/>
      <c r="H954" s="4"/>
      <c r="I954" s="4"/>
      <c r="J954" s="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25">
      <c r="A955" s="1"/>
      <c r="B955" s="2"/>
      <c r="C955" s="3"/>
      <c r="D955" s="4"/>
      <c r="E955" s="4"/>
      <c r="F955" s="4"/>
      <c r="G955" s="4"/>
      <c r="H955" s="4"/>
      <c r="I955" s="4"/>
      <c r="J955" s="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25">
      <c r="A956" s="1"/>
      <c r="B956" s="2"/>
      <c r="C956" s="3"/>
      <c r="D956" s="4"/>
      <c r="E956" s="4"/>
      <c r="F956" s="4"/>
      <c r="G956" s="4"/>
      <c r="H956" s="4"/>
      <c r="I956" s="4"/>
      <c r="J956" s="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25">
      <c r="A957" s="1"/>
      <c r="B957" s="2"/>
      <c r="C957" s="3"/>
      <c r="D957" s="4"/>
      <c r="E957" s="4"/>
      <c r="F957" s="4"/>
      <c r="G957" s="4"/>
      <c r="H957" s="4"/>
      <c r="I957" s="4"/>
      <c r="J957" s="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25">
      <c r="A958" s="1"/>
      <c r="B958" s="2"/>
      <c r="C958" s="3"/>
      <c r="D958" s="4"/>
      <c r="E958" s="4"/>
      <c r="F958" s="4"/>
      <c r="G958" s="4"/>
      <c r="H958" s="4"/>
      <c r="I958" s="4"/>
      <c r="J958" s="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25">
      <c r="A959" s="1"/>
      <c r="B959" s="2"/>
      <c r="C959" s="3"/>
      <c r="D959" s="4"/>
      <c r="E959" s="4"/>
      <c r="F959" s="4"/>
      <c r="G959" s="4"/>
      <c r="H959" s="4"/>
      <c r="I959" s="4"/>
      <c r="J959" s="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25">
      <c r="A960" s="1"/>
      <c r="B960" s="2"/>
      <c r="C960" s="3"/>
      <c r="D960" s="4"/>
      <c r="E960" s="4"/>
      <c r="F960" s="4"/>
      <c r="G960" s="4"/>
      <c r="H960" s="4"/>
      <c r="I960" s="4"/>
      <c r="J960" s="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25">
      <c r="A961" s="1"/>
      <c r="B961" s="2"/>
      <c r="C961" s="3"/>
      <c r="D961" s="4"/>
      <c r="E961" s="4"/>
      <c r="F961" s="4"/>
      <c r="G961" s="4"/>
      <c r="H961" s="4"/>
      <c r="I961" s="4"/>
      <c r="J961" s="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25">
      <c r="A962" s="1"/>
      <c r="B962" s="2"/>
      <c r="C962" s="3"/>
      <c r="D962" s="4"/>
      <c r="E962" s="4"/>
      <c r="F962" s="4"/>
      <c r="G962" s="4"/>
      <c r="H962" s="4"/>
      <c r="I962" s="4"/>
      <c r="J962" s="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25">
      <c r="A963" s="1"/>
      <c r="B963" s="2"/>
      <c r="C963" s="3"/>
      <c r="D963" s="4"/>
      <c r="E963" s="4"/>
      <c r="F963" s="4"/>
      <c r="G963" s="4"/>
      <c r="H963" s="4"/>
      <c r="I963" s="4"/>
      <c r="J963" s="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25">
      <c r="A964" s="1"/>
      <c r="B964" s="2"/>
      <c r="C964" s="3"/>
      <c r="D964" s="4"/>
      <c r="E964" s="4"/>
      <c r="F964" s="4"/>
      <c r="G964" s="4"/>
      <c r="H964" s="4"/>
      <c r="I964" s="4"/>
      <c r="J964" s="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25">
      <c r="A965" s="1"/>
      <c r="B965" s="2"/>
      <c r="C965" s="3"/>
      <c r="D965" s="4"/>
      <c r="E965" s="4"/>
      <c r="F965" s="4"/>
      <c r="G965" s="4"/>
      <c r="H965" s="4"/>
      <c r="I965" s="4"/>
      <c r="J965" s="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25">
      <c r="A966" s="1"/>
      <c r="B966" s="2"/>
      <c r="C966" s="3"/>
      <c r="D966" s="4"/>
      <c r="E966" s="4"/>
      <c r="F966" s="4"/>
      <c r="G966" s="4"/>
      <c r="H966" s="4"/>
      <c r="I966" s="4"/>
      <c r="J966" s="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25">
      <c r="A967" s="1"/>
      <c r="B967" s="2"/>
      <c r="C967" s="3"/>
      <c r="D967" s="4"/>
      <c r="E967" s="4"/>
      <c r="F967" s="4"/>
      <c r="G967" s="4"/>
      <c r="H967" s="4"/>
      <c r="I967" s="4"/>
      <c r="J967" s="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25">
      <c r="A968" s="1"/>
      <c r="B968" s="2"/>
      <c r="C968" s="3"/>
      <c r="D968" s="4"/>
      <c r="E968" s="4"/>
      <c r="F968" s="4"/>
      <c r="G968" s="4"/>
      <c r="H968" s="4"/>
      <c r="I968" s="4"/>
      <c r="J968" s="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25">
      <c r="A969" s="1"/>
      <c r="B969" s="2"/>
      <c r="C969" s="3"/>
      <c r="D969" s="4"/>
      <c r="E969" s="4"/>
      <c r="F969" s="4"/>
      <c r="G969" s="4"/>
      <c r="H969" s="4"/>
      <c r="I969" s="4"/>
      <c r="J969" s="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25">
      <c r="A970" s="1"/>
      <c r="B970" s="2"/>
      <c r="C970" s="3"/>
      <c r="D970" s="4"/>
      <c r="E970" s="4"/>
      <c r="F970" s="4"/>
      <c r="G970" s="4"/>
      <c r="H970" s="4"/>
      <c r="I970" s="4"/>
      <c r="J970" s="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25">
      <c r="A971" s="1"/>
      <c r="B971" s="2"/>
      <c r="C971" s="3"/>
      <c r="D971" s="4"/>
      <c r="E971" s="4"/>
      <c r="F971" s="4"/>
      <c r="G971" s="4"/>
      <c r="H971" s="4"/>
      <c r="I971" s="4"/>
      <c r="J971" s="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25">
      <c r="A972" s="1"/>
      <c r="B972" s="2"/>
      <c r="C972" s="3"/>
      <c r="D972" s="4"/>
      <c r="E972" s="4"/>
      <c r="F972" s="4"/>
      <c r="G972" s="4"/>
      <c r="H972" s="4"/>
      <c r="I972" s="4"/>
      <c r="J972" s="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25">
      <c r="A973" s="1"/>
      <c r="B973" s="2"/>
      <c r="C973" s="3"/>
      <c r="D973" s="4"/>
      <c r="E973" s="4"/>
      <c r="F973" s="4"/>
      <c r="G973" s="4"/>
      <c r="H973" s="4"/>
      <c r="I973" s="4"/>
      <c r="J973" s="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25">
      <c r="A974" s="1"/>
      <c r="B974" s="2"/>
      <c r="C974" s="3"/>
      <c r="D974" s="4"/>
      <c r="E974" s="4"/>
      <c r="F974" s="4"/>
      <c r="G974" s="4"/>
      <c r="H974" s="4"/>
      <c r="I974" s="4"/>
      <c r="J974" s="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25">
      <c r="A975" s="1"/>
      <c r="B975" s="2"/>
      <c r="C975" s="3"/>
      <c r="D975" s="4"/>
      <c r="E975" s="4"/>
      <c r="F975" s="4"/>
      <c r="G975" s="4"/>
      <c r="H975" s="4"/>
      <c r="I975" s="4"/>
      <c r="J975" s="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25">
      <c r="A976" s="1"/>
      <c r="B976" s="2"/>
      <c r="C976" s="3"/>
      <c r="D976" s="4"/>
      <c r="E976" s="4"/>
      <c r="F976" s="4"/>
      <c r="G976" s="4"/>
      <c r="H976" s="4"/>
      <c r="I976" s="4"/>
      <c r="J976" s="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25">
      <c r="A977" s="1"/>
      <c r="B977" s="2"/>
      <c r="C977" s="3"/>
      <c r="D977" s="4"/>
      <c r="E977" s="4"/>
      <c r="F977" s="4"/>
      <c r="G977" s="4"/>
      <c r="H977" s="4"/>
      <c r="I977" s="4"/>
      <c r="J977" s="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25">
      <c r="A978" s="1"/>
      <c r="B978" s="2"/>
      <c r="C978" s="3"/>
      <c r="D978" s="4"/>
      <c r="E978" s="4"/>
      <c r="F978" s="4"/>
      <c r="G978" s="4"/>
      <c r="H978" s="4"/>
      <c r="I978" s="4"/>
      <c r="J978" s="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25">
      <c r="A979" s="1"/>
      <c r="B979" s="2"/>
      <c r="C979" s="3"/>
      <c r="D979" s="4"/>
      <c r="E979" s="4"/>
      <c r="F979" s="4"/>
      <c r="G979" s="4"/>
      <c r="H979" s="4"/>
      <c r="I979" s="4"/>
      <c r="J979" s="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25">
      <c r="A980" s="1"/>
      <c r="B980" s="2"/>
      <c r="C980" s="3"/>
      <c r="D980" s="4"/>
      <c r="E980" s="4"/>
      <c r="F980" s="4"/>
      <c r="G980" s="4"/>
      <c r="H980" s="4"/>
      <c r="I980" s="4"/>
      <c r="J980" s="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25">
      <c r="A981" s="1"/>
      <c r="B981" s="2"/>
      <c r="C981" s="3"/>
      <c r="D981" s="4"/>
      <c r="E981" s="4"/>
      <c r="F981" s="4"/>
      <c r="G981" s="4"/>
      <c r="H981" s="4"/>
      <c r="I981" s="4"/>
      <c r="J981" s="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25">
      <c r="A982" s="1"/>
      <c r="B982" s="2"/>
      <c r="C982" s="3"/>
      <c r="D982" s="4"/>
      <c r="E982" s="4"/>
      <c r="F982" s="4"/>
      <c r="G982" s="4"/>
      <c r="H982" s="4"/>
      <c r="I982" s="4"/>
      <c r="J982" s="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25">
      <c r="A983" s="1"/>
      <c r="B983" s="2"/>
      <c r="C983" s="3"/>
      <c r="D983" s="4"/>
      <c r="E983" s="4"/>
      <c r="F983" s="4"/>
      <c r="G983" s="4"/>
      <c r="H983" s="4"/>
      <c r="I983" s="4"/>
      <c r="J983" s="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25">
      <c r="A984" s="1"/>
      <c r="B984" s="2"/>
      <c r="C984" s="3"/>
      <c r="D984" s="4"/>
      <c r="E984" s="4"/>
      <c r="F984" s="4"/>
      <c r="G984" s="4"/>
      <c r="H984" s="4"/>
      <c r="I984" s="4"/>
      <c r="J984" s="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25">
      <c r="A985" s="1"/>
      <c r="B985" s="2"/>
      <c r="C985" s="3"/>
      <c r="D985" s="4"/>
      <c r="E985" s="4"/>
      <c r="F985" s="4"/>
      <c r="G985" s="4"/>
      <c r="H985" s="4"/>
      <c r="I985" s="4"/>
      <c r="J985" s="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25">
      <c r="A986" s="1"/>
      <c r="B986" s="2"/>
      <c r="C986" s="3"/>
      <c r="D986" s="4"/>
      <c r="E986" s="4"/>
      <c r="F986" s="4"/>
      <c r="G986" s="4"/>
      <c r="H986" s="4"/>
      <c r="I986" s="4"/>
      <c r="J986" s="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25">
      <c r="A987" s="1"/>
      <c r="B987" s="2"/>
      <c r="C987" s="3"/>
      <c r="D987" s="4"/>
      <c r="E987" s="4"/>
      <c r="F987" s="4"/>
      <c r="G987" s="4"/>
      <c r="H987" s="4"/>
      <c r="I987" s="4"/>
      <c r="J987" s="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25">
      <c r="A988" s="1"/>
      <c r="B988" s="2"/>
      <c r="C988" s="3"/>
      <c r="D988" s="4"/>
      <c r="E988" s="4"/>
      <c r="F988" s="4"/>
      <c r="G988" s="4"/>
      <c r="H988" s="4"/>
      <c r="I988" s="4"/>
      <c r="J988" s="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25">
      <c r="A989" s="1"/>
      <c r="B989" s="2"/>
      <c r="C989" s="3"/>
      <c r="D989" s="4"/>
      <c r="E989" s="4"/>
      <c r="F989" s="4"/>
      <c r="G989" s="4"/>
      <c r="H989" s="4"/>
      <c r="I989" s="4"/>
      <c r="J989" s="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25">
      <c r="A990" s="1"/>
      <c r="B990" s="2"/>
      <c r="C990" s="3"/>
      <c r="D990" s="4"/>
      <c r="E990" s="4"/>
      <c r="F990" s="4"/>
      <c r="G990" s="4"/>
      <c r="H990" s="4"/>
      <c r="I990" s="4"/>
      <c r="J990" s="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25">
      <c r="A991" s="1"/>
      <c r="B991" s="2"/>
      <c r="C991" s="3"/>
      <c r="D991" s="4"/>
      <c r="E991" s="4"/>
      <c r="F991" s="4"/>
      <c r="G991" s="4"/>
      <c r="H991" s="4"/>
      <c r="I991" s="4"/>
      <c r="J991" s="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25">
      <c r="A992" s="1"/>
      <c r="B992" s="2"/>
      <c r="C992" s="3"/>
      <c r="D992" s="4"/>
      <c r="E992" s="4"/>
      <c r="F992" s="4"/>
      <c r="G992" s="4"/>
      <c r="H992" s="4"/>
      <c r="I992" s="4"/>
      <c r="J992" s="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25">
      <c r="A993" s="1"/>
      <c r="B993" s="2"/>
      <c r="C993" s="3"/>
      <c r="D993" s="4"/>
      <c r="E993" s="4"/>
      <c r="F993" s="4"/>
      <c r="G993" s="4"/>
      <c r="H993" s="4"/>
      <c r="I993" s="4"/>
      <c r="J993" s="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25">
      <c r="A994" s="1"/>
      <c r="B994" s="2"/>
      <c r="C994" s="3"/>
      <c r="D994" s="4"/>
      <c r="E994" s="4"/>
      <c r="F994" s="4"/>
      <c r="G994" s="4"/>
      <c r="H994" s="4"/>
      <c r="I994" s="4"/>
      <c r="J994" s="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25">
      <c r="A995" s="1"/>
      <c r="B995" s="2"/>
      <c r="C995" s="3"/>
      <c r="D995" s="4"/>
      <c r="E995" s="4"/>
      <c r="F995" s="4"/>
      <c r="G995" s="4"/>
      <c r="H995" s="4"/>
      <c r="I995" s="4"/>
      <c r="J995" s="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25">
      <c r="A996" s="1"/>
      <c r="B996" s="2"/>
      <c r="C996" s="3"/>
      <c r="D996" s="4"/>
      <c r="E996" s="4"/>
      <c r="F996" s="4"/>
      <c r="G996" s="4"/>
      <c r="H996" s="4"/>
      <c r="I996" s="4"/>
      <c r="J996" s="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25">
      <c r="A997" s="1"/>
      <c r="B997" s="2"/>
      <c r="C997" s="3"/>
      <c r="D997" s="4"/>
      <c r="E997" s="4"/>
      <c r="F997" s="4"/>
      <c r="G997" s="4"/>
      <c r="H997" s="4"/>
      <c r="I997" s="4"/>
      <c r="J997" s="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25">
      <c r="A998" s="1"/>
      <c r="B998" s="2"/>
      <c r="C998" s="3"/>
      <c r="D998" s="4"/>
      <c r="E998" s="4"/>
      <c r="F998" s="4"/>
      <c r="G998" s="4"/>
      <c r="H998" s="4"/>
      <c r="I998" s="4"/>
      <c r="J998" s="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25">
      <c r="A999" s="1"/>
      <c r="B999" s="2"/>
      <c r="C999" s="3"/>
      <c r="D999" s="4"/>
      <c r="E999" s="4"/>
      <c r="F999" s="4"/>
      <c r="G999" s="4"/>
      <c r="H999" s="4"/>
      <c r="I999" s="4"/>
      <c r="J999" s="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25">
      <c r="A1000" s="1"/>
      <c r="B1000" s="2"/>
      <c r="C1000" s="3"/>
      <c r="D1000" s="4"/>
      <c r="E1000" s="4"/>
      <c r="F1000" s="4"/>
      <c r="G1000" s="4"/>
      <c r="H1000" s="4"/>
      <c r="I1000" s="4"/>
      <c r="J1000" s="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E102:F102"/>
    <mergeCell ref="B3:K3"/>
    <mergeCell ref="B5:B6"/>
    <mergeCell ref="C5:C6"/>
    <mergeCell ref="D5:I5"/>
    <mergeCell ref="J5:J6"/>
    <mergeCell ref="K5:K6"/>
  </mergeCells>
  <pageMargins left="0.7" right="0.7" top="0.75" bottom="0.75" header="0" footer="0"/>
  <pageSetup scale="37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 x14ac:dyDescent="0.25"/>
  <cols>
    <col min="1" max="2" width="8.7109375" customWidth="1"/>
    <col min="3" max="3" width="39.7109375" customWidth="1"/>
    <col min="4" max="5" width="22.42578125" customWidth="1"/>
    <col min="6" max="6" width="23.5703125" customWidth="1"/>
    <col min="7" max="7" width="24.42578125" customWidth="1"/>
    <col min="8" max="8" width="25.42578125" customWidth="1"/>
    <col min="9" max="9" width="26.28515625" customWidth="1"/>
    <col min="10" max="11" width="22.7109375" customWidth="1"/>
    <col min="12" max="12" width="11" customWidth="1"/>
    <col min="13" max="26" width="8.7109375" customWidth="1"/>
  </cols>
  <sheetData>
    <row r="1" spans="1:26" ht="13.5" customHeight="1" x14ac:dyDescent="0.25">
      <c r="A1" s="1"/>
      <c r="B1" s="2"/>
      <c r="C1" s="3"/>
      <c r="D1" s="4"/>
      <c r="E1" s="4"/>
      <c r="F1" s="4"/>
      <c r="G1" s="4"/>
      <c r="H1" s="4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2"/>
      <c r="C2" s="3"/>
      <c r="D2" s="4"/>
      <c r="E2" s="4"/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6" customHeight="1" x14ac:dyDescent="0.25">
      <c r="A3" s="1"/>
      <c r="B3" s="217" t="s">
        <v>169</v>
      </c>
      <c r="C3" s="218"/>
      <c r="D3" s="218"/>
      <c r="E3" s="218"/>
      <c r="F3" s="218"/>
      <c r="G3" s="218"/>
      <c r="H3" s="218"/>
      <c r="I3" s="218"/>
      <c r="J3" s="218"/>
      <c r="K3" s="21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114" t="s">
        <v>155</v>
      </c>
      <c r="C4" s="3"/>
      <c r="D4" s="4"/>
      <c r="E4" s="4"/>
      <c r="F4" s="4"/>
      <c r="G4" s="4"/>
      <c r="H4" s="4"/>
      <c r="I4" s="4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5">
      <c r="A5" s="5"/>
      <c r="B5" s="225" t="s">
        <v>0</v>
      </c>
      <c r="C5" s="225" t="s">
        <v>1</v>
      </c>
      <c r="D5" s="227" t="s">
        <v>2</v>
      </c>
      <c r="E5" s="222"/>
      <c r="F5" s="222"/>
      <c r="G5" s="222"/>
      <c r="H5" s="222"/>
      <c r="I5" s="223"/>
      <c r="J5" s="228" t="s">
        <v>156</v>
      </c>
      <c r="K5" s="225" t="s">
        <v>157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25">
      <c r="A6" s="5"/>
      <c r="B6" s="226"/>
      <c r="C6" s="226"/>
      <c r="D6" s="115" t="s">
        <v>4</v>
      </c>
      <c r="E6" s="115" t="s">
        <v>5</v>
      </c>
      <c r="F6" s="115" t="s">
        <v>6</v>
      </c>
      <c r="G6" s="115" t="s">
        <v>7</v>
      </c>
      <c r="H6" s="115" t="s">
        <v>8</v>
      </c>
      <c r="I6" s="115" t="s">
        <v>170</v>
      </c>
      <c r="J6" s="226"/>
      <c r="K6" s="22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25">
      <c r="A7" s="5"/>
      <c r="B7" s="6"/>
      <c r="C7" s="6"/>
      <c r="D7" s="8"/>
      <c r="E7" s="8"/>
      <c r="F7" s="8"/>
      <c r="G7" s="8"/>
      <c r="H7" s="8"/>
      <c r="I7" s="8"/>
      <c r="J7" s="116"/>
      <c r="K7" s="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2.5" customHeight="1" x14ac:dyDescent="0.25">
      <c r="A8" s="9"/>
      <c r="B8" s="10">
        <v>1</v>
      </c>
      <c r="C8" s="7" t="s">
        <v>9</v>
      </c>
      <c r="D8" s="11">
        <f>76502105000+4928791000</f>
        <v>81430896000</v>
      </c>
      <c r="E8" s="11">
        <f>182349000+1980793000+3656795000+6318187000</f>
        <v>12138124000</v>
      </c>
      <c r="F8" s="11">
        <f>8025985000</f>
        <v>8025985000</v>
      </c>
      <c r="G8" s="11">
        <f>632383000+250000000+11160125000</f>
        <v>12042508000</v>
      </c>
      <c r="H8" s="11">
        <f>88844000+823580000+295679000+4812459000+2520995000+270688000+6866089000</f>
        <v>15678334000</v>
      </c>
      <c r="I8" s="11">
        <f>43760000+1414819000+4607896000+117144000+728004000+230688000+78096000+228820000+19524000+824128000+158592000+356694000+19524000+335370000</f>
        <v>9163059000</v>
      </c>
      <c r="J8" s="118">
        <f t="shared" ref="J8:J77" si="0">SUM(D8:I8)</f>
        <v>138478906000</v>
      </c>
      <c r="K8" s="11">
        <f t="shared" ref="K8:K77" si="1">J8-D8</f>
        <v>57048010000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2.5" customHeight="1" x14ac:dyDescent="0.25">
      <c r="A9" s="9"/>
      <c r="B9" s="10">
        <v>2</v>
      </c>
      <c r="C9" s="7" t="s">
        <v>10</v>
      </c>
      <c r="D9" s="11">
        <v>73470000</v>
      </c>
      <c r="E9" s="11"/>
      <c r="F9" s="11"/>
      <c r="G9" s="11">
        <v>203838000</v>
      </c>
      <c r="H9" s="11"/>
      <c r="I9" s="11"/>
      <c r="J9" s="118">
        <f t="shared" si="0"/>
        <v>277308000</v>
      </c>
      <c r="K9" s="11">
        <f t="shared" si="1"/>
        <v>203838000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2.5" customHeight="1" x14ac:dyDescent="0.25">
      <c r="A10" s="9"/>
      <c r="B10" s="10">
        <v>3</v>
      </c>
      <c r="C10" s="7" t="s">
        <v>11</v>
      </c>
      <c r="D10" s="11">
        <v>206018000</v>
      </c>
      <c r="E10" s="11"/>
      <c r="F10" s="11">
        <f>194482000</f>
        <v>194482000</v>
      </c>
      <c r="G10" s="11">
        <f>69821000</f>
        <v>69821000</v>
      </c>
      <c r="H10" s="11">
        <f>38300000+293800000+1028669000+282760000+163530000+33360000</f>
        <v>1840419000</v>
      </c>
      <c r="I10" s="11"/>
      <c r="J10" s="118">
        <f t="shared" si="0"/>
        <v>2310740000</v>
      </c>
      <c r="K10" s="11">
        <f t="shared" si="1"/>
        <v>2104722000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2.5" customHeight="1" x14ac:dyDescent="0.25">
      <c r="A11" s="9"/>
      <c r="B11" s="10">
        <v>4</v>
      </c>
      <c r="C11" s="7" t="s">
        <v>12</v>
      </c>
      <c r="D11" s="11">
        <v>158684000</v>
      </c>
      <c r="E11" s="11"/>
      <c r="F11" s="11">
        <f>19668000</f>
        <v>19668000</v>
      </c>
      <c r="G11" s="11"/>
      <c r="H11" s="11">
        <f>22600000+82980000</f>
        <v>105580000</v>
      </c>
      <c r="I11" s="11">
        <v>1959850000</v>
      </c>
      <c r="J11" s="118">
        <f t="shared" si="0"/>
        <v>2243782000</v>
      </c>
      <c r="K11" s="11">
        <f t="shared" si="1"/>
        <v>2085098000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2.5" customHeight="1" x14ac:dyDescent="0.25">
      <c r="A12" s="9"/>
      <c r="B12" s="10">
        <v>5</v>
      </c>
      <c r="C12" s="7" t="s">
        <v>13</v>
      </c>
      <c r="D12" s="11">
        <v>225322000</v>
      </c>
      <c r="E12" s="11"/>
      <c r="F12" s="11">
        <f>1385560000+166942000+144493000+975736000+52606000+3186083000</f>
        <v>5911420000</v>
      </c>
      <c r="G12" s="11">
        <f>166390000</f>
        <v>166390000</v>
      </c>
      <c r="H12" s="11">
        <f>12650000+82600000+75434000+172110000</f>
        <v>342794000</v>
      </c>
      <c r="I12" s="11">
        <f>930789000</f>
        <v>930789000</v>
      </c>
      <c r="J12" s="118">
        <f t="shared" si="0"/>
        <v>7576715000</v>
      </c>
      <c r="K12" s="11">
        <f t="shared" si="1"/>
        <v>7351393000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2.5" customHeight="1" x14ac:dyDescent="0.25">
      <c r="A13" s="9"/>
      <c r="B13" s="10">
        <v>6</v>
      </c>
      <c r="C13" s="7" t="s">
        <v>14</v>
      </c>
      <c r="D13" s="11">
        <v>146404000</v>
      </c>
      <c r="E13" s="11"/>
      <c r="F13" s="11">
        <v>400000000</v>
      </c>
      <c r="G13" s="11"/>
      <c r="H13" s="11">
        <f>22600000+86480000</f>
        <v>109080000</v>
      </c>
      <c r="I13" s="11"/>
      <c r="J13" s="118">
        <f t="shared" si="0"/>
        <v>655484000</v>
      </c>
      <c r="K13" s="11">
        <f t="shared" si="1"/>
        <v>509080000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2.5" customHeight="1" x14ac:dyDescent="0.25">
      <c r="A14" s="9"/>
      <c r="B14" s="10">
        <v>7</v>
      </c>
      <c r="C14" s="7" t="s">
        <v>15</v>
      </c>
      <c r="D14" s="11">
        <v>158218000</v>
      </c>
      <c r="E14" s="11"/>
      <c r="F14" s="11"/>
      <c r="G14" s="11"/>
      <c r="H14" s="11">
        <v>285254000</v>
      </c>
      <c r="I14" s="11"/>
      <c r="J14" s="118">
        <f t="shared" si="0"/>
        <v>443472000</v>
      </c>
      <c r="K14" s="11">
        <f t="shared" si="1"/>
        <v>285254000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2.5" customHeight="1" x14ac:dyDescent="0.25">
      <c r="A15" s="9"/>
      <c r="B15" s="10">
        <v>8</v>
      </c>
      <c r="C15" s="7" t="s">
        <v>16</v>
      </c>
      <c r="D15" s="11">
        <v>169418000</v>
      </c>
      <c r="E15" s="11"/>
      <c r="F15" s="11">
        <v>184881000</v>
      </c>
      <c r="G15" s="11"/>
      <c r="H15" s="11">
        <f>12470000+248062000+126990000+222480000</f>
        <v>610002000</v>
      </c>
      <c r="I15" s="11"/>
      <c r="J15" s="118">
        <f t="shared" si="0"/>
        <v>964301000</v>
      </c>
      <c r="K15" s="11">
        <f t="shared" si="1"/>
        <v>794883000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2.5" customHeight="1" x14ac:dyDescent="0.25">
      <c r="A16" s="9"/>
      <c r="B16" s="10">
        <v>9</v>
      </c>
      <c r="C16" s="7" t="s">
        <v>17</v>
      </c>
      <c r="D16" s="11">
        <v>119830000</v>
      </c>
      <c r="E16" s="11"/>
      <c r="F16" s="11">
        <f>398772000+849956000</f>
        <v>1248728000</v>
      </c>
      <c r="G16" s="11"/>
      <c r="H16" s="11">
        <f>142600000+102210000</f>
        <v>244810000</v>
      </c>
      <c r="I16" s="11">
        <f>200000000</f>
        <v>200000000</v>
      </c>
      <c r="J16" s="118">
        <f t="shared" si="0"/>
        <v>1813368000</v>
      </c>
      <c r="K16" s="11">
        <f t="shared" si="1"/>
        <v>1693538000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2.5" customHeight="1" x14ac:dyDescent="0.25">
      <c r="A17" s="9"/>
      <c r="B17" s="10">
        <v>10</v>
      </c>
      <c r="C17" s="7" t="s">
        <v>18</v>
      </c>
      <c r="D17" s="11">
        <v>200910000</v>
      </c>
      <c r="E17" s="11"/>
      <c r="F17" s="11">
        <f>19396000</f>
        <v>19396000</v>
      </c>
      <c r="G17" s="11"/>
      <c r="H17" s="11">
        <f>50040000+96800000+628350000+602170000</f>
        <v>1377360000</v>
      </c>
      <c r="I17" s="11">
        <f>200000000+500000000</f>
        <v>700000000</v>
      </c>
      <c r="J17" s="118">
        <f t="shared" si="0"/>
        <v>2297666000</v>
      </c>
      <c r="K17" s="11">
        <f t="shared" si="1"/>
        <v>2096756000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2.5" customHeight="1" x14ac:dyDescent="0.25">
      <c r="A18" s="9"/>
      <c r="B18" s="10">
        <v>11</v>
      </c>
      <c r="C18" s="7" t="s">
        <v>19</v>
      </c>
      <c r="D18" s="11">
        <v>132460000</v>
      </c>
      <c r="E18" s="11"/>
      <c r="F18" s="11">
        <f>15142000+314502000+105000000+67047000</f>
        <v>501691000</v>
      </c>
      <c r="G18" s="11"/>
      <c r="H18" s="11"/>
      <c r="I18" s="11"/>
      <c r="J18" s="118">
        <f t="shared" si="0"/>
        <v>634151000</v>
      </c>
      <c r="K18" s="11">
        <f t="shared" si="1"/>
        <v>501691000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2.5" customHeight="1" x14ac:dyDescent="0.25">
      <c r="A19" s="9"/>
      <c r="B19" s="10">
        <v>12</v>
      </c>
      <c r="C19" s="7" t="s">
        <v>20</v>
      </c>
      <c r="D19" s="11">
        <v>108434000</v>
      </c>
      <c r="E19" s="11"/>
      <c r="F19" s="11">
        <f>15150000+1049400000</f>
        <v>1064550000</v>
      </c>
      <c r="G19" s="11"/>
      <c r="H19" s="11">
        <f>22600000+129540000</f>
        <v>152140000</v>
      </c>
      <c r="I19" s="11">
        <f>1500000000</f>
        <v>1500000000</v>
      </c>
      <c r="J19" s="118">
        <f t="shared" si="0"/>
        <v>2825124000</v>
      </c>
      <c r="K19" s="11">
        <f t="shared" si="1"/>
        <v>2716690000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2.5" customHeight="1" x14ac:dyDescent="0.25">
      <c r="A20" s="9"/>
      <c r="B20" s="10">
        <v>13</v>
      </c>
      <c r="C20" s="7" t="s">
        <v>21</v>
      </c>
      <c r="D20" s="11">
        <v>140972000</v>
      </c>
      <c r="E20" s="11"/>
      <c r="F20" s="11"/>
      <c r="G20" s="11"/>
      <c r="H20" s="11">
        <f>62445000+105600000+44920000</f>
        <v>212965000</v>
      </c>
      <c r="I20" s="11">
        <f>400000000</f>
        <v>400000000</v>
      </c>
      <c r="J20" s="118">
        <f t="shared" si="0"/>
        <v>753937000</v>
      </c>
      <c r="K20" s="11">
        <f t="shared" si="1"/>
        <v>612965000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2.5" customHeight="1" x14ac:dyDescent="0.25">
      <c r="A21" s="9"/>
      <c r="B21" s="10">
        <v>14</v>
      </c>
      <c r="C21" s="7" t="s">
        <v>22</v>
      </c>
      <c r="D21" s="11">
        <v>161462000</v>
      </c>
      <c r="E21" s="11"/>
      <c r="F21" s="11"/>
      <c r="G21" s="11"/>
      <c r="H21" s="11">
        <v>408584000</v>
      </c>
      <c r="I21" s="11"/>
      <c r="J21" s="118">
        <f t="shared" si="0"/>
        <v>570046000</v>
      </c>
      <c r="K21" s="11">
        <f t="shared" si="1"/>
        <v>408584000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2.5" customHeight="1" x14ac:dyDescent="0.25">
      <c r="A22" s="9"/>
      <c r="B22" s="10">
        <v>15</v>
      </c>
      <c r="C22" s="7" t="s">
        <v>23</v>
      </c>
      <c r="D22" s="11">
        <v>172725000</v>
      </c>
      <c r="E22" s="11"/>
      <c r="F22" s="11"/>
      <c r="G22" s="11">
        <v>618376000</v>
      </c>
      <c r="H22" s="11">
        <f>332268000+357600000+12450000</f>
        <v>702318000</v>
      </c>
      <c r="I22" s="11"/>
      <c r="J22" s="118">
        <f t="shared" si="0"/>
        <v>1493419000</v>
      </c>
      <c r="K22" s="11">
        <f t="shared" si="1"/>
        <v>1320694000</v>
      </c>
      <c r="L22" s="9"/>
      <c r="M22" s="1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2.5" customHeight="1" x14ac:dyDescent="0.25">
      <c r="A23" s="9"/>
      <c r="B23" s="10">
        <v>16</v>
      </c>
      <c r="C23" s="7" t="s">
        <v>24</v>
      </c>
      <c r="D23" s="11">
        <v>214010000</v>
      </c>
      <c r="E23" s="11"/>
      <c r="F23" s="11">
        <f>6391000</f>
        <v>6391000</v>
      </c>
      <c r="G23" s="11"/>
      <c r="H23" s="11">
        <f>62550000+22600000+98540000+40700000</f>
        <v>224390000</v>
      </c>
      <c r="I23" s="11">
        <v>425000000</v>
      </c>
      <c r="J23" s="118">
        <f t="shared" si="0"/>
        <v>869791000</v>
      </c>
      <c r="K23" s="11">
        <f t="shared" si="1"/>
        <v>655781000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2.5" customHeight="1" x14ac:dyDescent="0.25">
      <c r="A24" s="9"/>
      <c r="B24" s="10">
        <v>17</v>
      </c>
      <c r="C24" s="7" t="s">
        <v>25</v>
      </c>
      <c r="D24" s="11">
        <v>104925000</v>
      </c>
      <c r="E24" s="11"/>
      <c r="F24" s="11">
        <v>9482000</v>
      </c>
      <c r="G24" s="11"/>
      <c r="H24" s="11">
        <f>22600000+95390000</f>
        <v>117990000</v>
      </c>
      <c r="I24" s="11"/>
      <c r="J24" s="118">
        <f t="shared" si="0"/>
        <v>232397000</v>
      </c>
      <c r="K24" s="11">
        <f t="shared" si="1"/>
        <v>127472000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2.5" customHeight="1" x14ac:dyDescent="0.25">
      <c r="A25" s="9"/>
      <c r="B25" s="10">
        <v>18</v>
      </c>
      <c r="C25" s="7" t="s">
        <v>26</v>
      </c>
      <c r="D25" s="11">
        <v>222890000</v>
      </c>
      <c r="E25" s="11"/>
      <c r="F25" s="11"/>
      <c r="G25" s="11"/>
      <c r="H25" s="11">
        <f>22600000+102480000</f>
        <v>125080000</v>
      </c>
      <c r="I25" s="11">
        <f>3857000000</f>
        <v>3857000000</v>
      </c>
      <c r="J25" s="118">
        <f t="shared" si="0"/>
        <v>4204970000</v>
      </c>
      <c r="K25" s="11">
        <f t="shared" si="1"/>
        <v>3982080000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2.5" customHeight="1" x14ac:dyDescent="0.25">
      <c r="A26" s="9"/>
      <c r="B26" s="10">
        <v>19</v>
      </c>
      <c r="C26" s="7" t="s">
        <v>27</v>
      </c>
      <c r="D26" s="11">
        <v>91080000</v>
      </c>
      <c r="E26" s="11"/>
      <c r="F26" s="11"/>
      <c r="G26" s="11">
        <v>151896000</v>
      </c>
      <c r="H26" s="11"/>
      <c r="I26" s="11"/>
      <c r="J26" s="118">
        <f t="shared" si="0"/>
        <v>242976000</v>
      </c>
      <c r="K26" s="11">
        <f t="shared" si="1"/>
        <v>151896000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2.5" customHeight="1" x14ac:dyDescent="0.25">
      <c r="A27" s="9"/>
      <c r="B27" s="10">
        <v>20</v>
      </c>
      <c r="C27" s="7" t="s">
        <v>28</v>
      </c>
      <c r="D27" s="11">
        <v>170123000</v>
      </c>
      <c r="E27" s="11"/>
      <c r="F27" s="11"/>
      <c r="G27" s="11"/>
      <c r="H27" s="11">
        <f>52800000</f>
        <v>52800000</v>
      </c>
      <c r="I27" s="11">
        <f>80000000</f>
        <v>80000000</v>
      </c>
      <c r="J27" s="118">
        <f t="shared" si="0"/>
        <v>302923000</v>
      </c>
      <c r="K27" s="11">
        <f t="shared" si="1"/>
        <v>132800000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2.5" customHeight="1" x14ac:dyDescent="0.25">
      <c r="A28" s="9"/>
      <c r="B28" s="10">
        <v>21</v>
      </c>
      <c r="C28" s="7" t="s">
        <v>29</v>
      </c>
      <c r="D28" s="11">
        <v>94910000</v>
      </c>
      <c r="E28" s="11"/>
      <c r="F28" s="11"/>
      <c r="G28" s="11">
        <v>988952000</v>
      </c>
      <c r="H28" s="11"/>
      <c r="I28" s="11"/>
      <c r="J28" s="118">
        <f t="shared" si="0"/>
        <v>1083862000</v>
      </c>
      <c r="K28" s="11">
        <f t="shared" si="1"/>
        <v>988952000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2.5" customHeight="1" x14ac:dyDescent="0.25">
      <c r="A29" s="9"/>
      <c r="B29" s="10">
        <v>22</v>
      </c>
      <c r="C29" s="7" t="s">
        <v>30</v>
      </c>
      <c r="D29" s="11">
        <v>88880000</v>
      </c>
      <c r="E29" s="11"/>
      <c r="F29" s="11"/>
      <c r="G29" s="11">
        <v>1031886000</v>
      </c>
      <c r="H29" s="11"/>
      <c r="I29" s="11"/>
      <c r="J29" s="118">
        <f t="shared" si="0"/>
        <v>1120766000</v>
      </c>
      <c r="K29" s="11">
        <f t="shared" si="1"/>
        <v>1031886000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2.5" customHeight="1" x14ac:dyDescent="0.25">
      <c r="A30" s="9"/>
      <c r="B30" s="10">
        <v>23</v>
      </c>
      <c r="C30" s="7" t="s">
        <v>31</v>
      </c>
      <c r="D30" s="11">
        <v>93300000</v>
      </c>
      <c r="E30" s="11"/>
      <c r="F30" s="11"/>
      <c r="G30" s="11">
        <v>925584000</v>
      </c>
      <c r="H30" s="11"/>
      <c r="I30" s="11"/>
      <c r="J30" s="118">
        <f t="shared" si="0"/>
        <v>1018884000</v>
      </c>
      <c r="K30" s="11">
        <f t="shared" si="1"/>
        <v>925584000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2.5" customHeight="1" x14ac:dyDescent="0.25">
      <c r="A31" s="9"/>
      <c r="B31" s="10">
        <v>24</v>
      </c>
      <c r="C31" s="7" t="s">
        <v>32</v>
      </c>
      <c r="D31" s="11">
        <v>106790000</v>
      </c>
      <c r="E31" s="11"/>
      <c r="F31" s="11"/>
      <c r="G31" s="11">
        <v>2079422000</v>
      </c>
      <c r="H31" s="11"/>
      <c r="I31" s="11"/>
      <c r="J31" s="118">
        <f t="shared" si="0"/>
        <v>2186212000</v>
      </c>
      <c r="K31" s="11">
        <f t="shared" si="1"/>
        <v>2079422000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2.5" customHeight="1" x14ac:dyDescent="0.25">
      <c r="A32" s="9"/>
      <c r="B32" s="10">
        <v>25</v>
      </c>
      <c r="C32" s="7" t="s">
        <v>33</v>
      </c>
      <c r="D32" s="11">
        <v>111800000</v>
      </c>
      <c r="E32" s="11"/>
      <c r="F32" s="11"/>
      <c r="G32" s="11">
        <v>1053708000</v>
      </c>
      <c r="H32" s="11"/>
      <c r="I32" s="11"/>
      <c r="J32" s="118">
        <f t="shared" si="0"/>
        <v>1165508000</v>
      </c>
      <c r="K32" s="11">
        <f t="shared" si="1"/>
        <v>1053708000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2.5" customHeight="1" x14ac:dyDescent="0.25">
      <c r="A33" s="9"/>
      <c r="B33" s="10">
        <v>26</v>
      </c>
      <c r="C33" s="7" t="s">
        <v>34</v>
      </c>
      <c r="D33" s="11">
        <v>190758000</v>
      </c>
      <c r="E33" s="11"/>
      <c r="F33" s="11"/>
      <c r="G33" s="11"/>
      <c r="H33" s="11">
        <f>62550000+203400000+817506000+110450000</f>
        <v>1193906000</v>
      </c>
      <c r="I33" s="11">
        <f>400000000+1432500000+135000000</f>
        <v>1967500000</v>
      </c>
      <c r="J33" s="118">
        <f t="shared" si="0"/>
        <v>3352164000</v>
      </c>
      <c r="K33" s="11">
        <f t="shared" si="1"/>
        <v>3161406000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2.5" customHeight="1" x14ac:dyDescent="0.25">
      <c r="A34" s="9"/>
      <c r="B34" s="10">
        <v>27</v>
      </c>
      <c r="C34" s="7" t="s">
        <v>35</v>
      </c>
      <c r="D34" s="11">
        <v>177023000</v>
      </c>
      <c r="E34" s="11"/>
      <c r="F34" s="11">
        <f>34467000</f>
        <v>34467000</v>
      </c>
      <c r="G34" s="11"/>
      <c r="H34" s="11">
        <f>22600000+110767000+25540000</f>
        <v>158907000</v>
      </c>
      <c r="I34" s="11">
        <f>1000000000+500000000</f>
        <v>1500000000</v>
      </c>
      <c r="J34" s="118">
        <f t="shared" si="0"/>
        <v>1870397000</v>
      </c>
      <c r="K34" s="11">
        <f t="shared" si="1"/>
        <v>1693374000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22.5" customHeight="1" x14ac:dyDescent="0.25">
      <c r="A35" s="9"/>
      <c r="B35" s="10">
        <v>28</v>
      </c>
      <c r="C35" s="7" t="s">
        <v>36</v>
      </c>
      <c r="D35" s="11">
        <v>100435000</v>
      </c>
      <c r="E35" s="11"/>
      <c r="F35" s="11">
        <f>27587000+74868000+788618000</f>
        <v>891073000</v>
      </c>
      <c r="G35" s="11"/>
      <c r="H35" s="11"/>
      <c r="I35" s="11">
        <f>1500000000</f>
        <v>1500000000</v>
      </c>
      <c r="J35" s="118">
        <f t="shared" si="0"/>
        <v>2491508000</v>
      </c>
      <c r="K35" s="11">
        <f t="shared" si="1"/>
        <v>2391073000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22.5" customHeight="1" x14ac:dyDescent="0.25">
      <c r="A36" s="9"/>
      <c r="B36" s="10">
        <v>29</v>
      </c>
      <c r="C36" s="7" t="s">
        <v>37</v>
      </c>
      <c r="D36" s="11">
        <v>252106000</v>
      </c>
      <c r="E36" s="11">
        <v>5053781000</v>
      </c>
      <c r="F36" s="11">
        <v>128021000</v>
      </c>
      <c r="G36" s="11">
        <v>2756550000</v>
      </c>
      <c r="H36" s="11">
        <f>61750000+165200000+9308440000+517820000+1764000000+5365585000</f>
        <v>17182795000</v>
      </c>
      <c r="I36" s="11">
        <v>2825675000</v>
      </c>
      <c r="J36" s="118">
        <f t="shared" si="0"/>
        <v>28198928000</v>
      </c>
      <c r="K36" s="11">
        <f t="shared" si="1"/>
        <v>27946822000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22.5" customHeight="1" x14ac:dyDescent="0.25">
      <c r="A37" s="9"/>
      <c r="B37" s="10">
        <v>30</v>
      </c>
      <c r="C37" s="7" t="s">
        <v>38</v>
      </c>
      <c r="D37" s="11">
        <v>417974000</v>
      </c>
      <c r="E37" s="11"/>
      <c r="F37" s="11">
        <f>29373708000+4306500000+3395454000+8867282000+768060000+2051653000</f>
        <v>48762657000</v>
      </c>
      <c r="G37" s="11">
        <v>448220000</v>
      </c>
      <c r="H37" s="11">
        <f>71481000+73845000+22712618000</f>
        <v>22857944000</v>
      </c>
      <c r="I37" s="11">
        <f>2677000000+2510000000+23284321000+11985000000+9862391000</f>
        <v>50318712000</v>
      </c>
      <c r="J37" s="118">
        <f t="shared" si="0"/>
        <v>122805507000</v>
      </c>
      <c r="K37" s="11">
        <f t="shared" si="1"/>
        <v>122387533000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22.5" customHeight="1" x14ac:dyDescent="0.25">
      <c r="A38" s="9"/>
      <c r="B38" s="10">
        <v>31</v>
      </c>
      <c r="C38" s="7" t="s">
        <v>39</v>
      </c>
      <c r="D38" s="11">
        <v>185680000</v>
      </c>
      <c r="E38" s="11"/>
      <c r="F38" s="11">
        <f>38245000</f>
        <v>38245000</v>
      </c>
      <c r="G38" s="11">
        <v>233506000</v>
      </c>
      <c r="H38" s="11">
        <f>12590000+651200000+294000000+53780000</f>
        <v>1011570000</v>
      </c>
      <c r="I38" s="11">
        <v>1000000000</v>
      </c>
      <c r="J38" s="118">
        <f t="shared" si="0"/>
        <v>2469001000</v>
      </c>
      <c r="K38" s="11">
        <f t="shared" si="1"/>
        <v>2283321000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22.5" customHeight="1" x14ac:dyDescent="0.25">
      <c r="A39" s="9"/>
      <c r="B39" s="10">
        <v>32</v>
      </c>
      <c r="C39" s="7" t="s">
        <v>40</v>
      </c>
      <c r="D39" s="11">
        <v>188148000</v>
      </c>
      <c r="E39" s="11"/>
      <c r="F39" s="11"/>
      <c r="G39" s="11"/>
      <c r="H39" s="11">
        <f>12590000+126000000</f>
        <v>138590000</v>
      </c>
      <c r="I39" s="11">
        <f>2094500000+512304000</f>
        <v>2606804000</v>
      </c>
      <c r="J39" s="118">
        <f t="shared" si="0"/>
        <v>2933542000</v>
      </c>
      <c r="K39" s="11">
        <f t="shared" si="1"/>
        <v>2745394000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2.5" customHeight="1" x14ac:dyDescent="0.25">
      <c r="A40" s="9"/>
      <c r="B40" s="10">
        <v>33</v>
      </c>
      <c r="C40" s="7" t="s">
        <v>41</v>
      </c>
      <c r="D40" s="11">
        <v>182269000</v>
      </c>
      <c r="E40" s="11"/>
      <c r="F40" s="11">
        <f>2169982000+404345000+306572000+142275000+234666000</f>
        <v>3257840000</v>
      </c>
      <c r="G40" s="11">
        <v>72034000</v>
      </c>
      <c r="H40" s="11">
        <f>22600000+83070000</f>
        <v>105670000</v>
      </c>
      <c r="I40" s="11"/>
      <c r="J40" s="118">
        <f t="shared" si="0"/>
        <v>3617813000</v>
      </c>
      <c r="K40" s="11">
        <f t="shared" si="1"/>
        <v>3435544000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22.5" customHeight="1" x14ac:dyDescent="0.25">
      <c r="A41" s="9"/>
      <c r="B41" s="10">
        <v>34</v>
      </c>
      <c r="C41" s="7" t="s">
        <v>42</v>
      </c>
      <c r="D41" s="11">
        <v>198696000</v>
      </c>
      <c r="E41" s="11"/>
      <c r="F41" s="11">
        <v>15052000</v>
      </c>
      <c r="G41" s="11"/>
      <c r="H41" s="11">
        <f>25650000+22600000+81790000+38320000+1006200000</f>
        <v>1174560000</v>
      </c>
      <c r="I41" s="11"/>
      <c r="J41" s="118">
        <f t="shared" si="0"/>
        <v>1388308000</v>
      </c>
      <c r="K41" s="11">
        <f t="shared" si="1"/>
        <v>1189612000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22.5" customHeight="1" x14ac:dyDescent="0.25">
      <c r="A42" s="9"/>
      <c r="B42" s="10">
        <v>35</v>
      </c>
      <c r="C42" s="7" t="s">
        <v>43</v>
      </c>
      <c r="D42" s="11">
        <v>209936000</v>
      </c>
      <c r="E42" s="11"/>
      <c r="F42" s="11">
        <f>18096000+547010000+13409000</f>
        <v>578515000</v>
      </c>
      <c r="G42" s="11"/>
      <c r="H42" s="11">
        <f>353000000+501350000+1287000000+1327590000</f>
        <v>3468940000</v>
      </c>
      <c r="I42" s="11">
        <f>315350000+770810000</f>
        <v>1086160000</v>
      </c>
      <c r="J42" s="118">
        <f t="shared" si="0"/>
        <v>5343551000</v>
      </c>
      <c r="K42" s="11">
        <f t="shared" si="1"/>
        <v>5133615000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2.5" customHeight="1" x14ac:dyDescent="0.25">
      <c r="A43" s="9"/>
      <c r="B43" s="10">
        <v>36</v>
      </c>
      <c r="C43" s="7" t="s">
        <v>44</v>
      </c>
      <c r="D43" s="11">
        <v>160898000</v>
      </c>
      <c r="E43" s="11"/>
      <c r="F43" s="11"/>
      <c r="G43" s="11">
        <v>158312000</v>
      </c>
      <c r="H43" s="11">
        <f>37230000+126000000+106110000</f>
        <v>269340000</v>
      </c>
      <c r="I43" s="11">
        <v>200000000</v>
      </c>
      <c r="J43" s="118">
        <f t="shared" si="0"/>
        <v>788550000</v>
      </c>
      <c r="K43" s="11">
        <f t="shared" si="1"/>
        <v>627652000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22.5" customHeight="1" x14ac:dyDescent="0.25">
      <c r="A44" s="9"/>
      <c r="B44" s="10">
        <v>37</v>
      </c>
      <c r="C44" s="7" t="s">
        <v>45</v>
      </c>
      <c r="D44" s="11">
        <v>199646000</v>
      </c>
      <c r="E44" s="11"/>
      <c r="F44" s="11"/>
      <c r="G44" s="11"/>
      <c r="H44" s="11">
        <f>13230000+126000000</f>
        <v>139230000</v>
      </c>
      <c r="I44" s="11">
        <v>7425000000</v>
      </c>
      <c r="J44" s="118">
        <f t="shared" si="0"/>
        <v>7763876000</v>
      </c>
      <c r="K44" s="11">
        <f t="shared" si="1"/>
        <v>7564230000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22.5" customHeight="1" x14ac:dyDescent="0.25">
      <c r="A45" s="9"/>
      <c r="B45" s="10">
        <v>38</v>
      </c>
      <c r="C45" s="7" t="s">
        <v>46</v>
      </c>
      <c r="D45" s="11">
        <v>230939000</v>
      </c>
      <c r="E45" s="11"/>
      <c r="F45" s="11">
        <v>51089000</v>
      </c>
      <c r="G45" s="11">
        <v>379318000</v>
      </c>
      <c r="H45" s="11">
        <f>24980000+113000000+318108000+290910000+495675000+78780000</f>
        <v>1321453000</v>
      </c>
      <c r="I45" s="11"/>
      <c r="J45" s="118">
        <f t="shared" si="0"/>
        <v>1982799000</v>
      </c>
      <c r="K45" s="11">
        <f t="shared" si="1"/>
        <v>1751860000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22.5" customHeight="1" x14ac:dyDescent="0.25">
      <c r="A46" s="9"/>
      <c r="B46" s="10">
        <v>39</v>
      </c>
      <c r="C46" s="7" t="s">
        <v>47</v>
      </c>
      <c r="D46" s="11">
        <v>138655000</v>
      </c>
      <c r="E46" s="11"/>
      <c r="F46" s="11">
        <f>3366242000+544383000+199280000</f>
        <v>4109905000</v>
      </c>
      <c r="G46" s="11">
        <v>90200000</v>
      </c>
      <c r="H46" s="11">
        <f>67800000+209570000+260685000</f>
        <v>538055000</v>
      </c>
      <c r="I46" s="11"/>
      <c r="J46" s="118">
        <f t="shared" si="0"/>
        <v>4876815000</v>
      </c>
      <c r="K46" s="11">
        <f t="shared" si="1"/>
        <v>4738160000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2.5" customHeight="1" x14ac:dyDescent="0.25">
      <c r="A47" s="9"/>
      <c r="B47" s="10">
        <v>40</v>
      </c>
      <c r="C47" s="7" t="s">
        <v>48</v>
      </c>
      <c r="D47" s="11">
        <v>158395000</v>
      </c>
      <c r="E47" s="11"/>
      <c r="F47" s="11">
        <f>170000000+1226045000</f>
        <v>1396045000</v>
      </c>
      <c r="G47" s="11"/>
      <c r="H47" s="11">
        <f>29000000+115330000</f>
        <v>144330000</v>
      </c>
      <c r="I47" s="11">
        <f>180000000</f>
        <v>180000000</v>
      </c>
      <c r="J47" s="118">
        <f t="shared" si="0"/>
        <v>1878770000</v>
      </c>
      <c r="K47" s="11">
        <f t="shared" si="1"/>
        <v>1720375000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22.5" customHeight="1" x14ac:dyDescent="0.25">
      <c r="A48" s="9"/>
      <c r="B48" s="10">
        <v>41</v>
      </c>
      <c r="C48" s="7" t="s">
        <v>49</v>
      </c>
      <c r="D48" s="11">
        <v>199065000</v>
      </c>
      <c r="E48" s="11"/>
      <c r="F48" s="11">
        <f>1270503000+217939000+174646000</f>
        <v>1663088000</v>
      </c>
      <c r="G48" s="11">
        <v>45200000</v>
      </c>
      <c r="H48" s="11">
        <f>150400000+420945000+22720000+378810000</f>
        <v>972875000</v>
      </c>
      <c r="I48" s="11">
        <f>350000000+140000000</f>
        <v>490000000</v>
      </c>
      <c r="J48" s="118">
        <f t="shared" si="0"/>
        <v>3370228000</v>
      </c>
      <c r="K48" s="11">
        <f t="shared" si="1"/>
        <v>3171163000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22.5" customHeight="1" x14ac:dyDescent="0.25">
      <c r="A49" s="9"/>
      <c r="B49" s="10">
        <v>42</v>
      </c>
      <c r="C49" s="7" t="s">
        <v>50</v>
      </c>
      <c r="D49" s="11">
        <v>222804000</v>
      </c>
      <c r="E49" s="11"/>
      <c r="F49" s="11"/>
      <c r="G49" s="11"/>
      <c r="H49" s="11">
        <v>12490000</v>
      </c>
      <c r="I49" s="11">
        <v>2464000000</v>
      </c>
      <c r="J49" s="118">
        <f t="shared" si="0"/>
        <v>2699294000</v>
      </c>
      <c r="K49" s="11">
        <f t="shared" si="1"/>
        <v>2476490000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22.5" customHeight="1" x14ac:dyDescent="0.25">
      <c r="A50" s="9"/>
      <c r="B50" s="10">
        <v>43</v>
      </c>
      <c r="C50" s="7" t="s">
        <v>51</v>
      </c>
      <c r="D50" s="11">
        <v>223929000</v>
      </c>
      <c r="E50" s="11"/>
      <c r="F50" s="11">
        <f>115181000+2671200000</f>
        <v>2786381000</v>
      </c>
      <c r="G50" s="11">
        <v>1163440000</v>
      </c>
      <c r="H50" s="11">
        <f>25180000+51600000+184450000+425188000+1499400000+338300000</f>
        <v>2524118000</v>
      </c>
      <c r="I50" s="11"/>
      <c r="J50" s="118">
        <f t="shared" si="0"/>
        <v>6697868000</v>
      </c>
      <c r="K50" s="11">
        <f t="shared" si="1"/>
        <v>6473939000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22.5" customHeight="1" x14ac:dyDescent="0.25">
      <c r="A51" s="9"/>
      <c r="B51" s="10">
        <v>44</v>
      </c>
      <c r="C51" s="7" t="s">
        <v>52</v>
      </c>
      <c r="D51" s="11">
        <v>188785000</v>
      </c>
      <c r="E51" s="11"/>
      <c r="F51" s="11">
        <f>1506402000+373289000+7226327000+1574100000+126358000+1136455000</f>
        <v>11942931000</v>
      </c>
      <c r="G51" s="11">
        <v>55850000</v>
      </c>
      <c r="H51" s="11">
        <f>22600000+104230000</f>
        <v>126830000</v>
      </c>
      <c r="I51" s="11">
        <f>200000000+1100000000+500000000</f>
        <v>1800000000</v>
      </c>
      <c r="J51" s="118">
        <f t="shared" si="0"/>
        <v>14114396000</v>
      </c>
      <c r="K51" s="11">
        <f t="shared" si="1"/>
        <v>13925611000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22.5" customHeight="1" x14ac:dyDescent="0.25">
      <c r="A52" s="9"/>
      <c r="B52" s="10">
        <v>45</v>
      </c>
      <c r="C52" s="7" t="s">
        <v>53</v>
      </c>
      <c r="D52" s="11">
        <v>196487000</v>
      </c>
      <c r="E52" s="11"/>
      <c r="F52" s="11">
        <f>5498152000+2070559000+342107000+2873175000+458082000</f>
        <v>11242075000</v>
      </c>
      <c r="G52" s="11">
        <v>230500000</v>
      </c>
      <c r="H52" s="11">
        <f>142600000+218050000+388125000</f>
        <v>748775000</v>
      </c>
      <c r="I52" s="11"/>
      <c r="J52" s="118">
        <f t="shared" si="0"/>
        <v>12417837000</v>
      </c>
      <c r="K52" s="11">
        <f t="shared" si="1"/>
        <v>12221350000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22.5" customHeight="1" x14ac:dyDescent="0.25">
      <c r="A53" s="9"/>
      <c r="B53" s="10">
        <v>46</v>
      </c>
      <c r="C53" s="7" t="s">
        <v>54</v>
      </c>
      <c r="D53" s="11">
        <v>168351000</v>
      </c>
      <c r="E53" s="11"/>
      <c r="F53" s="11">
        <f>3871993000+716897000+426734000+310156000+334400000+722050000+1406000000</f>
        <v>7788230000</v>
      </c>
      <c r="G53" s="11">
        <v>70250000</v>
      </c>
      <c r="H53" s="11">
        <f>22600000+90600000</f>
        <v>113200000</v>
      </c>
      <c r="I53" s="11"/>
      <c r="J53" s="118">
        <f t="shared" si="0"/>
        <v>8140031000</v>
      </c>
      <c r="K53" s="11">
        <f t="shared" si="1"/>
        <v>7971680000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22.5" customHeight="1" x14ac:dyDescent="0.25">
      <c r="A54" s="9"/>
      <c r="B54" s="10">
        <v>47</v>
      </c>
      <c r="C54" s="7" t="s">
        <v>55</v>
      </c>
      <c r="D54" s="11">
        <v>64835000</v>
      </c>
      <c r="E54" s="11"/>
      <c r="F54" s="11"/>
      <c r="G54" s="11"/>
      <c r="H54" s="11">
        <f>22600000+92350000</f>
        <v>114950000</v>
      </c>
      <c r="I54" s="11">
        <v>740510000</v>
      </c>
      <c r="J54" s="118">
        <f t="shared" si="0"/>
        <v>920295000</v>
      </c>
      <c r="K54" s="11">
        <f t="shared" si="1"/>
        <v>855460000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2.5" customHeight="1" x14ac:dyDescent="0.25">
      <c r="A55" s="9"/>
      <c r="B55" s="10">
        <v>48</v>
      </c>
      <c r="C55" s="7" t="s">
        <v>56</v>
      </c>
      <c r="D55" s="11">
        <v>239293000</v>
      </c>
      <c r="E55" s="11"/>
      <c r="F55" s="11">
        <f>1364160000+464124000+1193999000</f>
        <v>3022283000</v>
      </c>
      <c r="G55" s="11">
        <v>813578000</v>
      </c>
      <c r="H55" s="11">
        <f>39030000+45200000+157420000+504940000+911400000+158780000</f>
        <v>1816770000</v>
      </c>
      <c r="I55" s="11">
        <f>200000000+186000000+1000000000</f>
        <v>1386000000</v>
      </c>
      <c r="J55" s="118">
        <f t="shared" si="0"/>
        <v>7277924000</v>
      </c>
      <c r="K55" s="11">
        <f t="shared" si="1"/>
        <v>7038631000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22.5" customHeight="1" x14ac:dyDescent="0.25">
      <c r="A56" s="9"/>
      <c r="B56" s="10">
        <v>49</v>
      </c>
      <c r="C56" s="7" t="s">
        <v>57</v>
      </c>
      <c r="D56" s="11">
        <v>202552000</v>
      </c>
      <c r="E56" s="11"/>
      <c r="F56" s="11">
        <f>6963421000+460976000+446257000+3710000000+622270000</f>
        <v>12202924000</v>
      </c>
      <c r="G56" s="11">
        <v>159200000</v>
      </c>
      <c r="H56" s="11">
        <f>22600000+92290000+88155000</f>
        <v>203045000</v>
      </c>
      <c r="I56" s="11">
        <f>1000000000+5499716000</f>
        <v>6499716000</v>
      </c>
      <c r="J56" s="118">
        <f t="shared" si="0"/>
        <v>19267437000</v>
      </c>
      <c r="K56" s="11">
        <f t="shared" si="1"/>
        <v>19064885000</v>
      </c>
      <c r="L56" s="12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22.5" customHeight="1" x14ac:dyDescent="0.25">
      <c r="A57" s="9"/>
      <c r="B57" s="10">
        <v>50</v>
      </c>
      <c r="C57" s="7" t="s">
        <v>58</v>
      </c>
      <c r="D57" s="11">
        <v>160215000</v>
      </c>
      <c r="E57" s="11"/>
      <c r="F57" s="11">
        <f>162861000+546537000+1212378000+689000000</f>
        <v>2610776000</v>
      </c>
      <c r="G57" s="11"/>
      <c r="H57" s="11">
        <v>162805000</v>
      </c>
      <c r="I57" s="11"/>
      <c r="J57" s="118">
        <f t="shared" si="0"/>
        <v>2933796000</v>
      </c>
      <c r="K57" s="11">
        <f t="shared" si="1"/>
        <v>2773581000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2.5" customHeight="1" x14ac:dyDescent="0.25">
      <c r="A58" s="9"/>
      <c r="B58" s="10">
        <v>51</v>
      </c>
      <c r="C58" s="7" t="s">
        <v>59</v>
      </c>
      <c r="D58" s="11">
        <v>180015000</v>
      </c>
      <c r="E58" s="11"/>
      <c r="F58" s="11">
        <f>1389017000+266861000+1590000000+855674000+3731053000</f>
        <v>7832605000</v>
      </c>
      <c r="G58" s="11">
        <v>64200000</v>
      </c>
      <c r="H58" s="11">
        <f>104230000+202500000</f>
        <v>306730000</v>
      </c>
      <c r="I58" s="11"/>
      <c r="J58" s="118">
        <f t="shared" si="0"/>
        <v>8383550000</v>
      </c>
      <c r="K58" s="11">
        <f t="shared" si="1"/>
        <v>8203535000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22.5" customHeight="1" x14ac:dyDescent="0.25">
      <c r="A59" s="9"/>
      <c r="B59" s="10">
        <v>52</v>
      </c>
      <c r="C59" s="7" t="s">
        <v>60</v>
      </c>
      <c r="D59" s="11">
        <v>199524000</v>
      </c>
      <c r="E59" s="11"/>
      <c r="F59" s="11">
        <f>2291029000</f>
        <v>2291029000</v>
      </c>
      <c r="G59" s="11">
        <v>226926000</v>
      </c>
      <c r="H59" s="11">
        <f>75280000+216200000+595270000+205828000+294000000+141215000</f>
        <v>1527793000</v>
      </c>
      <c r="I59" s="11">
        <f>160000000+496000000+246611000</f>
        <v>902611000</v>
      </c>
      <c r="J59" s="118">
        <f t="shared" si="0"/>
        <v>5147883000</v>
      </c>
      <c r="K59" s="11">
        <f t="shared" si="1"/>
        <v>4948359000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22.5" customHeight="1" x14ac:dyDescent="0.25">
      <c r="A60" s="9"/>
      <c r="B60" s="10">
        <v>53</v>
      </c>
      <c r="C60" s="7" t="s">
        <v>61</v>
      </c>
      <c r="D60" s="11">
        <v>193178000</v>
      </c>
      <c r="E60" s="11"/>
      <c r="F60" s="11"/>
      <c r="G60" s="11"/>
      <c r="H60" s="11">
        <v>52800000</v>
      </c>
      <c r="I60" s="11">
        <f>1000000000+3107543000</f>
        <v>4107543000</v>
      </c>
      <c r="J60" s="118">
        <f t="shared" si="0"/>
        <v>4353521000</v>
      </c>
      <c r="K60" s="11">
        <f t="shared" si="1"/>
        <v>4160343000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22.5" customHeight="1" x14ac:dyDescent="0.25">
      <c r="A61" s="9"/>
      <c r="B61" s="10">
        <v>54</v>
      </c>
      <c r="C61" s="7" t="s">
        <v>62</v>
      </c>
      <c r="D61" s="11">
        <v>158461000</v>
      </c>
      <c r="E61" s="11"/>
      <c r="F61" s="11">
        <f>1554184000+495389000+490826000+167618000</f>
        <v>2708017000</v>
      </c>
      <c r="G61" s="11">
        <v>38330000</v>
      </c>
      <c r="H61" s="11">
        <f>182850000+513090000</f>
        <v>695940000</v>
      </c>
      <c r="I61" s="11"/>
      <c r="J61" s="118">
        <f t="shared" si="0"/>
        <v>3600748000</v>
      </c>
      <c r="K61" s="11">
        <f t="shared" si="1"/>
        <v>3442287000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22.5" customHeight="1" x14ac:dyDescent="0.25">
      <c r="A62" s="9"/>
      <c r="B62" s="10">
        <v>55</v>
      </c>
      <c r="C62" s="7" t="s">
        <v>63</v>
      </c>
      <c r="D62" s="11">
        <v>162915000</v>
      </c>
      <c r="E62" s="11"/>
      <c r="F62" s="11">
        <f>1058445000+699856000+214226000+99375000+180512000</f>
        <v>2252414000</v>
      </c>
      <c r="G62" s="11">
        <v>35600000</v>
      </c>
      <c r="H62" s="11">
        <f>153060000</f>
        <v>153060000</v>
      </c>
      <c r="I62" s="11"/>
      <c r="J62" s="118">
        <f t="shared" si="0"/>
        <v>2603989000</v>
      </c>
      <c r="K62" s="11">
        <f t="shared" si="1"/>
        <v>2441074000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2.5" customHeight="1" x14ac:dyDescent="0.25">
      <c r="A63" s="9"/>
      <c r="B63" s="10">
        <v>56</v>
      </c>
      <c r="C63" s="7" t="s">
        <v>64</v>
      </c>
      <c r="D63" s="11">
        <v>196944000</v>
      </c>
      <c r="E63" s="11"/>
      <c r="F63" s="11">
        <v>54032000</v>
      </c>
      <c r="G63" s="11">
        <v>850772000</v>
      </c>
      <c r="H63" s="11">
        <f>25900000+240800000+398450000+249227000+1029000000+225440000</f>
        <v>2168817000</v>
      </c>
      <c r="I63" s="11"/>
      <c r="J63" s="118">
        <f t="shared" si="0"/>
        <v>3270565000</v>
      </c>
      <c r="K63" s="11">
        <f t="shared" si="1"/>
        <v>3073621000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2.5" customHeight="1" x14ac:dyDescent="0.25">
      <c r="A64" s="9"/>
      <c r="B64" s="10">
        <v>57</v>
      </c>
      <c r="C64" s="7" t="s">
        <v>65</v>
      </c>
      <c r="D64" s="11">
        <v>154854000</v>
      </c>
      <c r="E64" s="11"/>
      <c r="F64" s="11">
        <f>269145000+266976000</f>
        <v>536121000</v>
      </c>
      <c r="G64" s="11">
        <v>56200000</v>
      </c>
      <c r="H64" s="11">
        <f>70932000+168750000</f>
        <v>239682000</v>
      </c>
      <c r="I64" s="11"/>
      <c r="J64" s="118">
        <f t="shared" si="0"/>
        <v>986857000</v>
      </c>
      <c r="K64" s="11">
        <f t="shared" si="1"/>
        <v>832003000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22.5" customHeight="1" x14ac:dyDescent="0.25">
      <c r="A65" s="9"/>
      <c r="B65" s="10">
        <v>58</v>
      </c>
      <c r="C65" s="7" t="s">
        <v>66</v>
      </c>
      <c r="D65" s="11">
        <v>166374000</v>
      </c>
      <c r="E65" s="11"/>
      <c r="F65" s="11">
        <f>3704974000+532878000+597698000+93447000+528389000+1180617000</f>
        <v>6638003000</v>
      </c>
      <c r="G65" s="11">
        <v>103250000</v>
      </c>
      <c r="H65" s="11">
        <f>11570000+138480000+84375000</f>
        <v>234425000</v>
      </c>
      <c r="I65" s="11">
        <f>412500000</f>
        <v>412500000</v>
      </c>
      <c r="J65" s="118">
        <f t="shared" si="0"/>
        <v>7554552000</v>
      </c>
      <c r="K65" s="11">
        <f t="shared" si="1"/>
        <v>7388178000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2.5" customHeight="1" x14ac:dyDescent="0.25">
      <c r="A66" s="9"/>
      <c r="B66" s="10">
        <v>59</v>
      </c>
      <c r="C66" s="7" t="s">
        <v>67</v>
      </c>
      <c r="D66" s="11">
        <v>198692000</v>
      </c>
      <c r="E66" s="11"/>
      <c r="F66" s="11">
        <f>4339965000+477033000+1147681000+578058000+67199000</f>
        <v>6609936000</v>
      </c>
      <c r="G66" s="11">
        <v>132250000</v>
      </c>
      <c r="H66" s="11">
        <f>165200000+148515000+475980000</f>
        <v>789695000</v>
      </c>
      <c r="I66" s="11">
        <f>200000000+100000000+2512000000</f>
        <v>2812000000</v>
      </c>
      <c r="J66" s="118">
        <f t="shared" si="0"/>
        <v>10542573000</v>
      </c>
      <c r="K66" s="11">
        <f t="shared" si="1"/>
        <v>10343881000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22.5" customHeight="1" x14ac:dyDescent="0.25">
      <c r="A67" s="9"/>
      <c r="B67" s="10">
        <v>60</v>
      </c>
      <c r="C67" s="7" t="s">
        <v>68</v>
      </c>
      <c r="D67" s="11">
        <v>151416000</v>
      </c>
      <c r="E67" s="11"/>
      <c r="F67" s="11">
        <f>150000000+636000000</f>
        <v>786000000</v>
      </c>
      <c r="G67" s="11"/>
      <c r="H67" s="11">
        <f>69805000+87855000</f>
        <v>157660000</v>
      </c>
      <c r="I67" s="11"/>
      <c r="J67" s="118">
        <f t="shared" si="0"/>
        <v>1095076000</v>
      </c>
      <c r="K67" s="11">
        <f t="shared" si="1"/>
        <v>943660000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2.5" customHeight="1" x14ac:dyDescent="0.25">
      <c r="A68" s="9"/>
      <c r="B68" s="10">
        <v>61</v>
      </c>
      <c r="C68" s="7" t="s">
        <v>69</v>
      </c>
      <c r="D68" s="11">
        <v>188240000</v>
      </c>
      <c r="E68" s="11"/>
      <c r="F68" s="11"/>
      <c r="G68" s="11"/>
      <c r="H68" s="11">
        <f>26800000+351960000+84375000</f>
        <v>463135000</v>
      </c>
      <c r="I68" s="11"/>
      <c r="J68" s="118">
        <f t="shared" si="0"/>
        <v>651375000</v>
      </c>
      <c r="K68" s="11">
        <f t="shared" si="1"/>
        <v>463135000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2.5" customHeight="1" x14ac:dyDescent="0.25">
      <c r="A69" s="9"/>
      <c r="B69" s="10">
        <v>62</v>
      </c>
      <c r="C69" s="7" t="s">
        <v>70</v>
      </c>
      <c r="D69" s="11">
        <v>198333000</v>
      </c>
      <c r="E69" s="11"/>
      <c r="F69" s="11">
        <f>50412000</f>
        <v>50412000</v>
      </c>
      <c r="G69" s="11">
        <v>129400000</v>
      </c>
      <c r="H69" s="11">
        <f>12990000+135600000+598410000+117930000+191661000+209010000</f>
        <v>1265601000</v>
      </c>
      <c r="I69" s="11">
        <f>100000000+318000000+200000000</f>
        <v>618000000</v>
      </c>
      <c r="J69" s="118">
        <f t="shared" si="0"/>
        <v>2261746000</v>
      </c>
      <c r="K69" s="11">
        <f t="shared" si="1"/>
        <v>2063413000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22.5" customHeight="1" x14ac:dyDescent="0.25">
      <c r="A70" s="9"/>
      <c r="B70" s="10">
        <v>63</v>
      </c>
      <c r="C70" s="7" t="s">
        <v>71</v>
      </c>
      <c r="D70" s="11">
        <v>126800000</v>
      </c>
      <c r="E70" s="11"/>
      <c r="F70" s="11">
        <f>1183230000+266089000+262527000+201142000</f>
        <v>1912988000</v>
      </c>
      <c r="G70" s="11">
        <v>42200000</v>
      </c>
      <c r="H70" s="11">
        <v>84375000</v>
      </c>
      <c r="I70" s="11"/>
      <c r="J70" s="118">
        <f t="shared" si="0"/>
        <v>2166363000</v>
      </c>
      <c r="K70" s="11">
        <f t="shared" si="1"/>
        <v>2039563000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22.5" customHeight="1" x14ac:dyDescent="0.25">
      <c r="A71" s="9"/>
      <c r="B71" s="10">
        <v>64</v>
      </c>
      <c r="C71" s="7" t="s">
        <v>72</v>
      </c>
      <c r="D71" s="11">
        <v>234804000</v>
      </c>
      <c r="E71" s="11"/>
      <c r="F71" s="11">
        <v>55499000</v>
      </c>
      <c r="G71" s="11">
        <v>54016000</v>
      </c>
      <c r="H71" s="11">
        <f>13070000+22600000+95940000+100068000+66090000+17480000</f>
        <v>315248000</v>
      </c>
      <c r="I71" s="11"/>
      <c r="J71" s="118">
        <f t="shared" si="0"/>
        <v>659567000</v>
      </c>
      <c r="K71" s="11">
        <f t="shared" si="1"/>
        <v>424763000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22.5" customHeight="1" x14ac:dyDescent="0.25">
      <c r="A72" s="9"/>
      <c r="B72" s="10">
        <v>65</v>
      </c>
      <c r="C72" s="7" t="s">
        <v>73</v>
      </c>
      <c r="D72" s="11">
        <v>336523000</v>
      </c>
      <c r="E72" s="11"/>
      <c r="F72" s="11">
        <f>434770000+140567000+230020000+116559000</f>
        <v>921916000</v>
      </c>
      <c r="G72" s="11">
        <v>18200000</v>
      </c>
      <c r="H72" s="11">
        <f>22600000+117640000</f>
        <v>140240000</v>
      </c>
      <c r="I72" s="11">
        <f>500000000+2114452000</f>
        <v>2614452000</v>
      </c>
      <c r="J72" s="118">
        <f t="shared" si="0"/>
        <v>4031331000</v>
      </c>
      <c r="K72" s="11">
        <f t="shared" si="1"/>
        <v>3694808000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22.5" customHeight="1" x14ac:dyDescent="0.25">
      <c r="A73" s="9"/>
      <c r="B73" s="10">
        <v>66</v>
      </c>
      <c r="C73" s="7" t="s">
        <v>74</v>
      </c>
      <c r="D73" s="11">
        <v>188760000</v>
      </c>
      <c r="E73" s="11"/>
      <c r="F73" s="11">
        <v>41748000</v>
      </c>
      <c r="G73" s="11">
        <v>175052000</v>
      </c>
      <c r="H73" s="11">
        <f>12990000+91400000+360535000+221540000+330450000+58160000</f>
        <v>1075075000</v>
      </c>
      <c r="I73" s="11"/>
      <c r="J73" s="118">
        <f t="shared" si="0"/>
        <v>1480635000</v>
      </c>
      <c r="K73" s="11">
        <f t="shared" si="1"/>
        <v>1291875000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22.5" customHeight="1" x14ac:dyDescent="0.25">
      <c r="A74" s="9"/>
      <c r="B74" s="10">
        <v>67</v>
      </c>
      <c r="C74" s="7" t="s">
        <v>75</v>
      </c>
      <c r="D74" s="11">
        <v>166120000</v>
      </c>
      <c r="E74" s="11"/>
      <c r="F74" s="11">
        <f>2843559000+371019000+886145000+203824000+125327000</f>
        <v>4429874000</v>
      </c>
      <c r="G74" s="11">
        <v>45250000</v>
      </c>
      <c r="H74" s="11">
        <f>45200000+194680000</f>
        <v>239880000</v>
      </c>
      <c r="I74" s="11">
        <f>400000000</f>
        <v>400000000</v>
      </c>
      <c r="J74" s="118">
        <f t="shared" si="0"/>
        <v>5281124000</v>
      </c>
      <c r="K74" s="11">
        <f t="shared" si="1"/>
        <v>5115004000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2.5" customHeight="1" x14ac:dyDescent="0.25">
      <c r="A75" s="9"/>
      <c r="B75" s="10">
        <v>68</v>
      </c>
      <c r="C75" s="7" t="s">
        <v>76</v>
      </c>
      <c r="D75" s="11">
        <v>224232000</v>
      </c>
      <c r="E75" s="11"/>
      <c r="F75" s="11">
        <f>2843559000+240716000+806990000+440984000+326366000</f>
        <v>4658615000</v>
      </c>
      <c r="G75" s="11">
        <v>45250000</v>
      </c>
      <c r="H75" s="11">
        <f>12400000+93980000</f>
        <v>106380000</v>
      </c>
      <c r="I75" s="11"/>
      <c r="J75" s="118">
        <f t="shared" si="0"/>
        <v>5034477000</v>
      </c>
      <c r="K75" s="11">
        <f t="shared" si="1"/>
        <v>4810245000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22.5" customHeight="1" x14ac:dyDescent="0.25">
      <c r="A76" s="9"/>
      <c r="B76" s="10">
        <v>69</v>
      </c>
      <c r="C76" s="7" t="s">
        <v>77</v>
      </c>
      <c r="D76" s="11">
        <v>179421000</v>
      </c>
      <c r="E76" s="11"/>
      <c r="F76" s="11"/>
      <c r="G76" s="11"/>
      <c r="H76" s="11">
        <v>197240000</v>
      </c>
      <c r="I76" s="11"/>
      <c r="J76" s="118">
        <f t="shared" si="0"/>
        <v>376661000</v>
      </c>
      <c r="K76" s="11">
        <f t="shared" si="1"/>
        <v>197240000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2.5" customHeight="1" x14ac:dyDescent="0.25">
      <c r="A77" s="9"/>
      <c r="B77" s="10">
        <v>70</v>
      </c>
      <c r="C77" s="7" t="s">
        <v>78</v>
      </c>
      <c r="D77" s="11">
        <v>136004000</v>
      </c>
      <c r="E77" s="11"/>
      <c r="F77" s="11"/>
      <c r="G77" s="11"/>
      <c r="H77" s="11">
        <f>12970000+67800000+274228000+47500000+259160000</f>
        <v>661658000</v>
      </c>
      <c r="I77" s="11">
        <v>1850890000</v>
      </c>
      <c r="J77" s="118">
        <f t="shared" si="0"/>
        <v>2648552000</v>
      </c>
      <c r="K77" s="11">
        <f t="shared" si="1"/>
        <v>2512548000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22.5" customHeight="1" x14ac:dyDescent="0.25">
      <c r="A78" s="5"/>
      <c r="B78" s="119"/>
      <c r="C78" s="120"/>
      <c r="D78" s="121">
        <f t="shared" ref="D78:K78" si="2">SUM(D8:D77)</f>
        <v>93503415000</v>
      </c>
      <c r="E78" s="121">
        <f t="shared" si="2"/>
        <v>17191905000</v>
      </c>
      <c r="F78" s="121">
        <f t="shared" si="2"/>
        <v>171887480000</v>
      </c>
      <c r="G78" s="121">
        <f t="shared" si="2"/>
        <v>28025435000</v>
      </c>
      <c r="H78" s="121">
        <f t="shared" si="2"/>
        <v>89966482000</v>
      </c>
      <c r="I78" s="121">
        <f t="shared" si="2"/>
        <v>116923771000</v>
      </c>
      <c r="J78" s="116">
        <f t="shared" si="2"/>
        <v>517498488000</v>
      </c>
      <c r="K78" s="121">
        <f t="shared" si="2"/>
        <v>423995073000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25">
      <c r="A79" s="1"/>
      <c r="B79" s="2"/>
      <c r="C79" s="3"/>
      <c r="D79" s="4"/>
      <c r="E79" s="4"/>
      <c r="F79" s="4"/>
      <c r="G79" s="4"/>
      <c r="H79" s="4"/>
      <c r="I79" s="4"/>
      <c r="J79" s="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5">
      <c r="A80" s="1"/>
      <c r="B80" s="2"/>
      <c r="C80" s="3"/>
      <c r="D80" s="4">
        <f>D78-D8</f>
        <v>12072519000</v>
      </c>
      <c r="E80" s="4"/>
      <c r="F80" s="4"/>
      <c r="G80" s="4"/>
      <c r="H80" s="4"/>
      <c r="I80" s="4"/>
      <c r="J80" s="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5">
      <c r="A81" s="1"/>
      <c r="B81" s="2"/>
      <c r="C81" s="3"/>
      <c r="D81" s="4"/>
      <c r="E81" s="4"/>
      <c r="F81" s="4"/>
      <c r="G81" s="4"/>
      <c r="H81" s="4"/>
      <c r="I81" s="4"/>
      <c r="J81" s="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5">
      <c r="A82" s="1"/>
      <c r="B82" s="2"/>
      <c r="C82" s="3"/>
      <c r="D82" s="4">
        <v>12100000000</v>
      </c>
      <c r="E82" s="4"/>
      <c r="F82" s="4"/>
      <c r="G82" s="4"/>
      <c r="H82" s="4"/>
      <c r="I82" s="122">
        <f>+I78/J78</f>
        <v>0.22594031424493746</v>
      </c>
      <c r="J82" s="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5">
      <c r="A83" s="1"/>
      <c r="B83" s="2"/>
      <c r="C83" s="3"/>
      <c r="D83" s="4">
        <f>+D82/2</f>
        <v>6050000000</v>
      </c>
      <c r="E83" s="4"/>
      <c r="F83" s="4"/>
      <c r="G83" s="4"/>
      <c r="H83" s="4"/>
      <c r="I83" s="4"/>
      <c r="J83" s="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5">
      <c r="A84" s="1"/>
      <c r="B84" s="2"/>
      <c r="C84" s="3"/>
      <c r="D84" s="4">
        <v>760000000</v>
      </c>
      <c r="E84" s="4"/>
      <c r="F84" s="4"/>
      <c r="G84" s="4"/>
      <c r="H84" s="4"/>
      <c r="I84" s="4"/>
      <c r="J84" s="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25">
      <c r="A85" s="1"/>
      <c r="B85" s="2"/>
      <c r="C85" s="3"/>
      <c r="D85" s="4"/>
      <c r="E85" s="4"/>
      <c r="F85" s="4"/>
      <c r="G85" s="4"/>
      <c r="H85" s="4"/>
      <c r="I85" s="123"/>
      <c r="J85" s="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5">
      <c r="A86" s="1"/>
      <c r="B86" s="2"/>
      <c r="C86" s="3"/>
      <c r="D86" s="4">
        <v>800000000</v>
      </c>
      <c r="E86" s="4"/>
      <c r="F86" s="4"/>
      <c r="G86" s="4"/>
      <c r="H86" s="4" t="s">
        <v>161</v>
      </c>
      <c r="I86" s="122">
        <f>+D78/J78</f>
        <v>0.18068345544615388</v>
      </c>
      <c r="J86" s="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5">
      <c r="A87" s="1"/>
      <c r="B87" s="2"/>
      <c r="C87" s="3"/>
      <c r="D87" s="4"/>
      <c r="E87" s="4"/>
      <c r="F87" s="4"/>
      <c r="G87" s="4"/>
      <c r="H87" s="4" t="s">
        <v>162</v>
      </c>
      <c r="I87" s="122">
        <f>+E78/J78</f>
        <v>3.3221169527359082E-2</v>
      </c>
      <c r="J87" s="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5">
      <c r="A88" s="1"/>
      <c r="B88" s="2"/>
      <c r="C88" s="3"/>
      <c r="D88" s="4"/>
      <c r="E88" s="4"/>
      <c r="F88" s="4"/>
      <c r="G88" s="4"/>
      <c r="H88" s="4" t="s">
        <v>6</v>
      </c>
      <c r="I88" s="122">
        <f>+F78/J78</f>
        <v>0.33215069026443222</v>
      </c>
      <c r="J88" s="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5">
      <c r="A89" s="1"/>
      <c r="B89" s="2"/>
      <c r="C89" s="3"/>
      <c r="D89" s="4">
        <f>D78-D8</f>
        <v>12072519000</v>
      </c>
      <c r="E89" s="4" t="s">
        <v>163</v>
      </c>
      <c r="F89" s="122">
        <f>D89/D78</f>
        <v>0.12911313453096873</v>
      </c>
      <c r="G89" s="4"/>
      <c r="H89" s="4" t="s">
        <v>164</v>
      </c>
      <c r="I89" s="122">
        <f>+G78/J78</f>
        <v>5.4155588180191942E-2</v>
      </c>
      <c r="J89" s="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5">
      <c r="A90" s="1"/>
      <c r="B90" s="2"/>
      <c r="C90" s="3"/>
      <c r="D90" s="4">
        <f>D78-D89</f>
        <v>81430896000</v>
      </c>
      <c r="E90" s="4" t="s">
        <v>165</v>
      </c>
      <c r="F90" s="122">
        <f>D90/D78</f>
        <v>0.87088686546903127</v>
      </c>
      <c r="G90" s="4"/>
      <c r="H90" s="4" t="s">
        <v>166</v>
      </c>
      <c r="I90" s="122">
        <f>+H78/J78</f>
        <v>0.17384878233692541</v>
      </c>
      <c r="J90" s="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5">
      <c r="A91" s="1"/>
      <c r="B91" s="2"/>
      <c r="C91" s="3"/>
      <c r="D91" s="4"/>
      <c r="E91" s="4"/>
      <c r="F91" s="4"/>
      <c r="G91" s="4"/>
      <c r="H91" s="4" t="s">
        <v>167</v>
      </c>
      <c r="I91" s="122">
        <f>+I78/J78</f>
        <v>0.22594031424493746</v>
      </c>
      <c r="J91" s="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5">
      <c r="A92" s="1"/>
      <c r="B92" s="2"/>
      <c r="C92" s="3"/>
      <c r="D92" s="4"/>
      <c r="E92" s="4"/>
      <c r="F92" s="4"/>
      <c r="G92" s="4"/>
      <c r="H92" s="4"/>
      <c r="I92" s="4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5">
      <c r="A93" s="1"/>
      <c r="B93" s="2"/>
      <c r="C93" s="3"/>
      <c r="D93" s="4"/>
      <c r="E93" s="4"/>
      <c r="F93" s="4"/>
      <c r="G93" s="4"/>
      <c r="H93" s="4"/>
      <c r="I93" s="4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5">
      <c r="A94" s="1"/>
      <c r="B94" s="2"/>
      <c r="C94" s="3"/>
      <c r="D94" s="4"/>
      <c r="E94" s="4"/>
      <c r="F94" s="4"/>
      <c r="G94" s="4"/>
      <c r="H94" s="4"/>
      <c r="I94" s="4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5">
      <c r="A95" s="1"/>
      <c r="B95" s="2"/>
      <c r="C95" s="3"/>
      <c r="D95" s="4"/>
      <c r="E95" s="4"/>
      <c r="F95" s="4"/>
      <c r="G95" s="4"/>
      <c r="H95" s="4"/>
      <c r="I95" s="4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5">
      <c r="A96" s="1"/>
      <c r="B96" s="2"/>
      <c r="C96" s="3"/>
      <c r="D96" s="4"/>
      <c r="E96" s="4"/>
      <c r="F96" s="4"/>
      <c r="G96" s="4"/>
      <c r="H96" s="4"/>
      <c r="I96" s="4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25">
      <c r="A97" s="1"/>
      <c r="B97" s="2"/>
      <c r="C97" s="3"/>
      <c r="D97" s="4"/>
      <c r="E97" s="4"/>
      <c r="F97" s="4"/>
      <c r="G97" s="4"/>
      <c r="H97" s="4"/>
      <c r="I97" s="4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5">
      <c r="A98" s="1"/>
      <c r="B98" s="2"/>
      <c r="C98" s="3"/>
      <c r="D98" s="4"/>
      <c r="E98" s="4"/>
      <c r="F98" s="4"/>
      <c r="G98" s="4"/>
      <c r="H98" s="4"/>
      <c r="I98" s="4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5">
      <c r="A99" s="1"/>
      <c r="B99" s="2"/>
      <c r="C99" s="3"/>
      <c r="D99" s="4"/>
      <c r="E99" s="4"/>
      <c r="F99" s="4"/>
      <c r="G99" s="4"/>
      <c r="H99" s="4"/>
      <c r="I99" s="4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5">
      <c r="A100" s="1"/>
      <c r="B100" s="2"/>
      <c r="C100" s="3"/>
      <c r="D100" s="4"/>
      <c r="E100" s="4"/>
      <c r="F100" s="4"/>
      <c r="G100" s="4"/>
      <c r="H100" s="4"/>
      <c r="I100" s="4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5">
      <c r="A101" s="1"/>
      <c r="B101" s="2"/>
      <c r="C101" s="3"/>
      <c r="D101" s="4"/>
      <c r="E101" s="4"/>
      <c r="F101" s="4"/>
      <c r="G101" s="4"/>
      <c r="H101" s="4"/>
      <c r="I101" s="4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5">
      <c r="A102" s="1"/>
      <c r="B102" s="2"/>
      <c r="C102" s="3"/>
      <c r="D102" s="4"/>
      <c r="E102" s="4"/>
      <c r="F102" s="4"/>
      <c r="G102" s="4"/>
      <c r="H102" s="4"/>
      <c r="I102" s="4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5">
      <c r="A103" s="1"/>
      <c r="B103" s="2"/>
      <c r="C103" s="3"/>
      <c r="D103" s="4"/>
      <c r="E103" s="4"/>
      <c r="F103" s="4"/>
      <c r="G103" s="4"/>
      <c r="H103" s="4"/>
      <c r="I103" s="4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5">
      <c r="A104" s="1"/>
      <c r="B104" s="2"/>
      <c r="C104" s="3"/>
      <c r="D104" s="4"/>
      <c r="E104" s="4"/>
      <c r="F104" s="4"/>
      <c r="G104" s="4"/>
      <c r="H104" s="4"/>
      <c r="I104" s="4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5">
      <c r="A105" s="1"/>
      <c r="B105" s="2"/>
      <c r="C105" s="3"/>
      <c r="D105" s="4"/>
      <c r="E105" s="4"/>
      <c r="F105" s="4"/>
      <c r="G105" s="4"/>
      <c r="H105" s="4"/>
      <c r="I105" s="4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5">
      <c r="A106" s="1"/>
      <c r="B106" s="2"/>
      <c r="C106" s="3"/>
      <c r="D106" s="4"/>
      <c r="E106" s="4"/>
      <c r="F106" s="4"/>
      <c r="G106" s="4"/>
      <c r="H106" s="4"/>
      <c r="I106" s="4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5">
      <c r="A107" s="1"/>
      <c r="B107" s="2"/>
      <c r="C107" s="3"/>
      <c r="D107" s="4"/>
      <c r="E107" s="4"/>
      <c r="F107" s="4"/>
      <c r="G107" s="4"/>
      <c r="H107" s="4"/>
      <c r="I107" s="4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5">
      <c r="A108" s="1"/>
      <c r="B108" s="2"/>
      <c r="C108" s="3"/>
      <c r="D108" s="4"/>
      <c r="E108" s="4"/>
      <c r="F108" s="4"/>
      <c r="G108" s="4"/>
      <c r="H108" s="4"/>
      <c r="I108" s="4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5">
      <c r="A109" s="1"/>
      <c r="B109" s="2"/>
      <c r="C109" s="3"/>
      <c r="D109" s="4"/>
      <c r="E109" s="4"/>
      <c r="F109" s="4"/>
      <c r="G109" s="4"/>
      <c r="H109" s="4"/>
      <c r="I109" s="4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5">
      <c r="A110" s="1"/>
      <c r="B110" s="2"/>
      <c r="C110" s="3"/>
      <c r="D110" s="4"/>
      <c r="E110" s="4"/>
      <c r="F110" s="4"/>
      <c r="G110" s="4"/>
      <c r="H110" s="4"/>
      <c r="I110" s="4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5">
      <c r="A111" s="1"/>
      <c r="B111" s="2"/>
      <c r="C111" s="3"/>
      <c r="D111" s="4"/>
      <c r="E111" s="4"/>
      <c r="F111" s="4"/>
      <c r="G111" s="4"/>
      <c r="H111" s="4"/>
      <c r="I111" s="4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5">
      <c r="A112" s="1"/>
      <c r="B112" s="2"/>
      <c r="C112" s="3"/>
      <c r="D112" s="4"/>
      <c r="E112" s="4"/>
      <c r="F112" s="4"/>
      <c r="G112" s="4"/>
      <c r="H112" s="4"/>
      <c r="I112" s="4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5">
      <c r="A113" s="1"/>
      <c r="B113" s="2"/>
      <c r="C113" s="3"/>
      <c r="D113" s="4"/>
      <c r="E113" s="4"/>
      <c r="F113" s="4"/>
      <c r="G113" s="4"/>
      <c r="H113" s="4"/>
      <c r="I113" s="4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5">
      <c r="A114" s="1"/>
      <c r="B114" s="2"/>
      <c r="C114" s="3"/>
      <c r="D114" s="4"/>
      <c r="E114" s="4"/>
      <c r="F114" s="4"/>
      <c r="G114" s="4"/>
      <c r="H114" s="4"/>
      <c r="I114" s="4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5">
      <c r="A115" s="1"/>
      <c r="B115" s="2"/>
      <c r="C115" s="3"/>
      <c r="D115" s="4"/>
      <c r="E115" s="4"/>
      <c r="F115" s="4"/>
      <c r="G115" s="4"/>
      <c r="H115" s="4"/>
      <c r="I115" s="4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5">
      <c r="A116" s="1"/>
      <c r="B116" s="2"/>
      <c r="C116" s="3"/>
      <c r="D116" s="4"/>
      <c r="E116" s="4"/>
      <c r="F116" s="4"/>
      <c r="G116" s="4"/>
      <c r="H116" s="4"/>
      <c r="I116" s="4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5">
      <c r="A117" s="1"/>
      <c r="B117" s="2"/>
      <c r="C117" s="3"/>
      <c r="D117" s="4"/>
      <c r="E117" s="4"/>
      <c r="F117" s="4"/>
      <c r="G117" s="4"/>
      <c r="H117" s="4"/>
      <c r="I117" s="4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5">
      <c r="A118" s="1"/>
      <c r="B118" s="2"/>
      <c r="C118" s="3"/>
      <c r="D118" s="4"/>
      <c r="E118" s="4"/>
      <c r="F118" s="4"/>
      <c r="G118" s="4"/>
      <c r="H118" s="4"/>
      <c r="I118" s="4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5">
      <c r="A119" s="1"/>
      <c r="B119" s="2"/>
      <c r="C119" s="3"/>
      <c r="D119" s="4"/>
      <c r="E119" s="4"/>
      <c r="F119" s="4"/>
      <c r="G119" s="4"/>
      <c r="H119" s="4"/>
      <c r="I119" s="4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5">
      <c r="A120" s="1"/>
      <c r="B120" s="2"/>
      <c r="C120" s="3"/>
      <c r="D120" s="4"/>
      <c r="E120" s="4"/>
      <c r="F120" s="4"/>
      <c r="G120" s="4"/>
      <c r="H120" s="4"/>
      <c r="I120" s="4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5">
      <c r="A121" s="1"/>
      <c r="B121" s="2"/>
      <c r="C121" s="3"/>
      <c r="D121" s="4"/>
      <c r="E121" s="4"/>
      <c r="F121" s="4"/>
      <c r="G121" s="4"/>
      <c r="H121" s="4"/>
      <c r="I121" s="4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5">
      <c r="A122" s="1"/>
      <c r="B122" s="2"/>
      <c r="C122" s="3"/>
      <c r="D122" s="4"/>
      <c r="E122" s="4"/>
      <c r="F122" s="4"/>
      <c r="G122" s="4"/>
      <c r="H122" s="4"/>
      <c r="I122" s="4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5">
      <c r="A123" s="1"/>
      <c r="B123" s="2"/>
      <c r="C123" s="3"/>
      <c r="D123" s="4"/>
      <c r="E123" s="4"/>
      <c r="F123" s="4"/>
      <c r="G123" s="4"/>
      <c r="H123" s="4"/>
      <c r="I123" s="4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5">
      <c r="A124" s="1"/>
      <c r="B124" s="2"/>
      <c r="C124" s="3"/>
      <c r="D124" s="4"/>
      <c r="E124" s="4"/>
      <c r="F124" s="4"/>
      <c r="G124" s="4"/>
      <c r="H124" s="4"/>
      <c r="I124" s="4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5">
      <c r="A125" s="1"/>
      <c r="B125" s="2"/>
      <c r="C125" s="3"/>
      <c r="D125" s="4"/>
      <c r="E125" s="4"/>
      <c r="F125" s="4"/>
      <c r="G125" s="4"/>
      <c r="H125" s="4"/>
      <c r="I125" s="4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5">
      <c r="A126" s="1"/>
      <c r="B126" s="2"/>
      <c r="C126" s="3"/>
      <c r="D126" s="4"/>
      <c r="E126" s="4"/>
      <c r="F126" s="4"/>
      <c r="G126" s="4"/>
      <c r="H126" s="4"/>
      <c r="I126" s="4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5">
      <c r="A127" s="1"/>
      <c r="B127" s="2"/>
      <c r="C127" s="3"/>
      <c r="D127" s="4"/>
      <c r="E127" s="4"/>
      <c r="F127" s="4"/>
      <c r="G127" s="4"/>
      <c r="H127" s="4"/>
      <c r="I127" s="4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5">
      <c r="A128" s="1"/>
      <c r="B128" s="2"/>
      <c r="C128" s="3"/>
      <c r="D128" s="4"/>
      <c r="E128" s="4"/>
      <c r="F128" s="4"/>
      <c r="G128" s="4"/>
      <c r="H128" s="4"/>
      <c r="I128" s="4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5">
      <c r="A129" s="1"/>
      <c r="B129" s="2"/>
      <c r="C129" s="3"/>
      <c r="D129" s="4"/>
      <c r="E129" s="4"/>
      <c r="F129" s="4"/>
      <c r="G129" s="4"/>
      <c r="H129" s="4"/>
      <c r="I129" s="4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5">
      <c r="A130" s="1"/>
      <c r="B130" s="2"/>
      <c r="C130" s="3"/>
      <c r="D130" s="4"/>
      <c r="E130" s="4"/>
      <c r="F130" s="4"/>
      <c r="G130" s="4"/>
      <c r="H130" s="4"/>
      <c r="I130" s="4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5">
      <c r="A131" s="1"/>
      <c r="B131" s="2"/>
      <c r="C131" s="3"/>
      <c r="D131" s="4"/>
      <c r="E131" s="4"/>
      <c r="F131" s="4"/>
      <c r="G131" s="4"/>
      <c r="H131" s="4"/>
      <c r="I131" s="4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5">
      <c r="A132" s="1"/>
      <c r="B132" s="2"/>
      <c r="C132" s="3"/>
      <c r="D132" s="4"/>
      <c r="E132" s="4"/>
      <c r="F132" s="4"/>
      <c r="G132" s="4"/>
      <c r="H132" s="4"/>
      <c r="I132" s="4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5">
      <c r="A133" s="1"/>
      <c r="B133" s="2"/>
      <c r="C133" s="3"/>
      <c r="D133" s="4"/>
      <c r="E133" s="4"/>
      <c r="F133" s="4"/>
      <c r="G133" s="4"/>
      <c r="H133" s="4"/>
      <c r="I133" s="4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5">
      <c r="A134" s="1"/>
      <c r="B134" s="2"/>
      <c r="C134" s="3"/>
      <c r="D134" s="4"/>
      <c r="E134" s="4"/>
      <c r="F134" s="4"/>
      <c r="G134" s="4"/>
      <c r="H134" s="4"/>
      <c r="I134" s="4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5">
      <c r="A135" s="1"/>
      <c r="B135" s="2"/>
      <c r="C135" s="3"/>
      <c r="D135" s="4"/>
      <c r="E135" s="4"/>
      <c r="F135" s="4"/>
      <c r="G135" s="4"/>
      <c r="H135" s="4"/>
      <c r="I135" s="4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5">
      <c r="A136" s="1"/>
      <c r="B136" s="2"/>
      <c r="C136" s="3"/>
      <c r="D136" s="4"/>
      <c r="E136" s="4"/>
      <c r="F136" s="4"/>
      <c r="G136" s="4"/>
      <c r="H136" s="4"/>
      <c r="I136" s="4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5">
      <c r="A137" s="1"/>
      <c r="B137" s="2"/>
      <c r="C137" s="3"/>
      <c r="D137" s="4"/>
      <c r="E137" s="4"/>
      <c r="F137" s="4"/>
      <c r="G137" s="4"/>
      <c r="H137" s="4"/>
      <c r="I137" s="4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5">
      <c r="A138" s="1"/>
      <c r="B138" s="2"/>
      <c r="C138" s="3"/>
      <c r="D138" s="4"/>
      <c r="E138" s="4"/>
      <c r="F138" s="4"/>
      <c r="G138" s="4"/>
      <c r="H138" s="4"/>
      <c r="I138" s="4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5">
      <c r="A139" s="1"/>
      <c r="B139" s="2"/>
      <c r="C139" s="3"/>
      <c r="D139" s="4"/>
      <c r="E139" s="4"/>
      <c r="F139" s="4"/>
      <c r="G139" s="4"/>
      <c r="H139" s="4"/>
      <c r="I139" s="4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5">
      <c r="A140" s="1"/>
      <c r="B140" s="2"/>
      <c r="C140" s="3"/>
      <c r="D140" s="4"/>
      <c r="E140" s="4"/>
      <c r="F140" s="4"/>
      <c r="G140" s="4"/>
      <c r="H140" s="4"/>
      <c r="I140" s="4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5">
      <c r="A141" s="1"/>
      <c r="B141" s="2"/>
      <c r="C141" s="3"/>
      <c r="D141" s="4"/>
      <c r="E141" s="4"/>
      <c r="F141" s="4"/>
      <c r="G141" s="4"/>
      <c r="H141" s="4"/>
      <c r="I141" s="4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5">
      <c r="A142" s="1"/>
      <c r="B142" s="2"/>
      <c r="C142" s="3"/>
      <c r="D142" s="4"/>
      <c r="E142" s="4"/>
      <c r="F142" s="4"/>
      <c r="G142" s="4"/>
      <c r="H142" s="4"/>
      <c r="I142" s="4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5">
      <c r="A143" s="1"/>
      <c r="B143" s="2"/>
      <c r="C143" s="3"/>
      <c r="D143" s="4"/>
      <c r="E143" s="4"/>
      <c r="F143" s="4"/>
      <c r="G143" s="4"/>
      <c r="H143" s="4"/>
      <c r="I143" s="4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5">
      <c r="A144" s="1"/>
      <c r="B144" s="2"/>
      <c r="C144" s="3"/>
      <c r="D144" s="4"/>
      <c r="E144" s="4"/>
      <c r="F144" s="4"/>
      <c r="G144" s="4"/>
      <c r="H144" s="4"/>
      <c r="I144" s="4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5">
      <c r="A145" s="1"/>
      <c r="B145" s="2"/>
      <c r="C145" s="3"/>
      <c r="D145" s="4"/>
      <c r="E145" s="4"/>
      <c r="F145" s="4"/>
      <c r="G145" s="4"/>
      <c r="H145" s="4"/>
      <c r="I145" s="4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5">
      <c r="A146" s="1"/>
      <c r="B146" s="2"/>
      <c r="C146" s="3"/>
      <c r="D146" s="4"/>
      <c r="E146" s="4"/>
      <c r="F146" s="4"/>
      <c r="G146" s="4"/>
      <c r="H146" s="4"/>
      <c r="I146" s="4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5">
      <c r="A147" s="1"/>
      <c r="B147" s="2"/>
      <c r="C147" s="3"/>
      <c r="D147" s="4"/>
      <c r="E147" s="4"/>
      <c r="F147" s="4"/>
      <c r="G147" s="4"/>
      <c r="H147" s="4"/>
      <c r="I147" s="4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5">
      <c r="A148" s="1"/>
      <c r="B148" s="2"/>
      <c r="C148" s="3"/>
      <c r="D148" s="4"/>
      <c r="E148" s="4"/>
      <c r="F148" s="4"/>
      <c r="G148" s="4"/>
      <c r="H148" s="4"/>
      <c r="I148" s="4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5">
      <c r="A149" s="1"/>
      <c r="B149" s="2"/>
      <c r="C149" s="3"/>
      <c r="D149" s="4"/>
      <c r="E149" s="4"/>
      <c r="F149" s="4"/>
      <c r="G149" s="4"/>
      <c r="H149" s="4"/>
      <c r="I149" s="4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5">
      <c r="A150" s="1"/>
      <c r="B150" s="2"/>
      <c r="C150" s="3"/>
      <c r="D150" s="4"/>
      <c r="E150" s="4"/>
      <c r="F150" s="4"/>
      <c r="G150" s="4"/>
      <c r="H150" s="4"/>
      <c r="I150" s="4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5">
      <c r="A151" s="1"/>
      <c r="B151" s="2"/>
      <c r="C151" s="3"/>
      <c r="D151" s="4"/>
      <c r="E151" s="4"/>
      <c r="F151" s="4"/>
      <c r="G151" s="4"/>
      <c r="H151" s="4"/>
      <c r="I151" s="4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5">
      <c r="A152" s="1"/>
      <c r="B152" s="2"/>
      <c r="C152" s="3"/>
      <c r="D152" s="4"/>
      <c r="E152" s="4"/>
      <c r="F152" s="4"/>
      <c r="G152" s="4"/>
      <c r="H152" s="4"/>
      <c r="I152" s="4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5">
      <c r="A153" s="1"/>
      <c r="B153" s="2"/>
      <c r="C153" s="3"/>
      <c r="D153" s="4"/>
      <c r="E153" s="4"/>
      <c r="F153" s="4"/>
      <c r="G153" s="4"/>
      <c r="H153" s="4"/>
      <c r="I153" s="4"/>
      <c r="J153" s="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5">
      <c r="A154" s="1"/>
      <c r="B154" s="2"/>
      <c r="C154" s="3"/>
      <c r="D154" s="4"/>
      <c r="E154" s="4"/>
      <c r="F154" s="4"/>
      <c r="G154" s="4"/>
      <c r="H154" s="4"/>
      <c r="I154" s="4"/>
      <c r="J154" s="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5">
      <c r="A155" s="1"/>
      <c r="B155" s="2"/>
      <c r="C155" s="3"/>
      <c r="D155" s="4"/>
      <c r="E155" s="4"/>
      <c r="F155" s="4"/>
      <c r="G155" s="4"/>
      <c r="H155" s="4"/>
      <c r="I155" s="4"/>
      <c r="J155" s="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5">
      <c r="A156" s="1"/>
      <c r="B156" s="2"/>
      <c r="C156" s="3"/>
      <c r="D156" s="4"/>
      <c r="E156" s="4"/>
      <c r="F156" s="4"/>
      <c r="G156" s="4"/>
      <c r="H156" s="4"/>
      <c r="I156" s="4"/>
      <c r="J156" s="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5">
      <c r="A157" s="1"/>
      <c r="B157" s="2"/>
      <c r="C157" s="3"/>
      <c r="D157" s="4"/>
      <c r="E157" s="4"/>
      <c r="F157" s="4"/>
      <c r="G157" s="4"/>
      <c r="H157" s="4"/>
      <c r="I157" s="4"/>
      <c r="J157" s="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5">
      <c r="A158" s="1"/>
      <c r="B158" s="2"/>
      <c r="C158" s="3"/>
      <c r="D158" s="4"/>
      <c r="E158" s="4"/>
      <c r="F158" s="4"/>
      <c r="G158" s="4"/>
      <c r="H158" s="4"/>
      <c r="I158" s="4"/>
      <c r="J158" s="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5">
      <c r="A159" s="1"/>
      <c r="B159" s="2"/>
      <c r="C159" s="3"/>
      <c r="D159" s="4"/>
      <c r="E159" s="4"/>
      <c r="F159" s="4"/>
      <c r="G159" s="4"/>
      <c r="H159" s="4"/>
      <c r="I159" s="4"/>
      <c r="J159" s="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5">
      <c r="A160" s="1"/>
      <c r="B160" s="2"/>
      <c r="C160" s="3"/>
      <c r="D160" s="4"/>
      <c r="E160" s="4"/>
      <c r="F160" s="4"/>
      <c r="G160" s="4"/>
      <c r="H160" s="4"/>
      <c r="I160" s="4"/>
      <c r="J160" s="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5">
      <c r="A161" s="1"/>
      <c r="B161" s="2"/>
      <c r="C161" s="3"/>
      <c r="D161" s="4"/>
      <c r="E161" s="4"/>
      <c r="F161" s="4"/>
      <c r="G161" s="4"/>
      <c r="H161" s="4"/>
      <c r="I161" s="4"/>
      <c r="J161" s="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5">
      <c r="A162" s="1"/>
      <c r="B162" s="2"/>
      <c r="C162" s="3"/>
      <c r="D162" s="4"/>
      <c r="E162" s="4"/>
      <c r="F162" s="4"/>
      <c r="G162" s="4"/>
      <c r="H162" s="4"/>
      <c r="I162" s="4"/>
      <c r="J162" s="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5">
      <c r="A163" s="1"/>
      <c r="B163" s="2"/>
      <c r="C163" s="3"/>
      <c r="D163" s="4"/>
      <c r="E163" s="4"/>
      <c r="F163" s="4"/>
      <c r="G163" s="4"/>
      <c r="H163" s="4"/>
      <c r="I163" s="4"/>
      <c r="J163" s="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5">
      <c r="A164" s="1"/>
      <c r="B164" s="2"/>
      <c r="C164" s="3"/>
      <c r="D164" s="4"/>
      <c r="E164" s="4"/>
      <c r="F164" s="4"/>
      <c r="G164" s="4"/>
      <c r="H164" s="4"/>
      <c r="I164" s="4"/>
      <c r="J164" s="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5">
      <c r="A165" s="1"/>
      <c r="B165" s="2"/>
      <c r="C165" s="3"/>
      <c r="D165" s="4"/>
      <c r="E165" s="4"/>
      <c r="F165" s="4"/>
      <c r="G165" s="4"/>
      <c r="H165" s="4"/>
      <c r="I165" s="4"/>
      <c r="J165" s="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5">
      <c r="A166" s="1"/>
      <c r="B166" s="2"/>
      <c r="C166" s="3"/>
      <c r="D166" s="4"/>
      <c r="E166" s="4"/>
      <c r="F166" s="4"/>
      <c r="G166" s="4"/>
      <c r="H166" s="4"/>
      <c r="I166" s="4"/>
      <c r="J166" s="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5">
      <c r="A167" s="1"/>
      <c r="B167" s="2"/>
      <c r="C167" s="3"/>
      <c r="D167" s="4"/>
      <c r="E167" s="4"/>
      <c r="F167" s="4"/>
      <c r="G167" s="4"/>
      <c r="H167" s="4"/>
      <c r="I167" s="4"/>
      <c r="J167" s="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5">
      <c r="A168" s="1"/>
      <c r="B168" s="2"/>
      <c r="C168" s="3"/>
      <c r="D168" s="4"/>
      <c r="E168" s="4"/>
      <c r="F168" s="4"/>
      <c r="G168" s="4"/>
      <c r="H168" s="4"/>
      <c r="I168" s="4"/>
      <c r="J168" s="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5">
      <c r="A169" s="1"/>
      <c r="B169" s="2"/>
      <c r="C169" s="3"/>
      <c r="D169" s="4"/>
      <c r="E169" s="4"/>
      <c r="F169" s="4"/>
      <c r="G169" s="4"/>
      <c r="H169" s="4"/>
      <c r="I169" s="4"/>
      <c r="J169" s="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5">
      <c r="A170" s="1"/>
      <c r="B170" s="2"/>
      <c r="C170" s="3"/>
      <c r="D170" s="4"/>
      <c r="E170" s="4"/>
      <c r="F170" s="4"/>
      <c r="G170" s="4"/>
      <c r="H170" s="4"/>
      <c r="I170" s="4"/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5">
      <c r="A171" s="1"/>
      <c r="B171" s="2"/>
      <c r="C171" s="3"/>
      <c r="D171" s="4"/>
      <c r="E171" s="4"/>
      <c r="F171" s="4"/>
      <c r="G171" s="4"/>
      <c r="H171" s="4"/>
      <c r="I171" s="4"/>
      <c r="J171" s="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5">
      <c r="A172" s="1"/>
      <c r="B172" s="2"/>
      <c r="C172" s="3"/>
      <c r="D172" s="4"/>
      <c r="E172" s="4"/>
      <c r="F172" s="4"/>
      <c r="G172" s="4"/>
      <c r="H172" s="4"/>
      <c r="I172" s="4"/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5">
      <c r="A173" s="1"/>
      <c r="B173" s="2"/>
      <c r="C173" s="3"/>
      <c r="D173" s="4"/>
      <c r="E173" s="4"/>
      <c r="F173" s="4"/>
      <c r="G173" s="4"/>
      <c r="H173" s="4"/>
      <c r="I173" s="4"/>
      <c r="J173" s="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5">
      <c r="A174" s="1"/>
      <c r="B174" s="2"/>
      <c r="C174" s="3"/>
      <c r="D174" s="4"/>
      <c r="E174" s="4"/>
      <c r="F174" s="4"/>
      <c r="G174" s="4"/>
      <c r="H174" s="4"/>
      <c r="I174" s="4"/>
      <c r="J174" s="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5">
      <c r="A175" s="1"/>
      <c r="B175" s="2"/>
      <c r="C175" s="3"/>
      <c r="D175" s="4"/>
      <c r="E175" s="4"/>
      <c r="F175" s="4"/>
      <c r="G175" s="4"/>
      <c r="H175" s="4"/>
      <c r="I175" s="4"/>
      <c r="J175" s="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5">
      <c r="A176" s="1"/>
      <c r="B176" s="2"/>
      <c r="C176" s="3"/>
      <c r="D176" s="4"/>
      <c r="E176" s="4"/>
      <c r="F176" s="4"/>
      <c r="G176" s="4"/>
      <c r="H176" s="4"/>
      <c r="I176" s="4"/>
      <c r="J176" s="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5">
      <c r="A177" s="1"/>
      <c r="B177" s="2"/>
      <c r="C177" s="3"/>
      <c r="D177" s="4"/>
      <c r="E177" s="4"/>
      <c r="F177" s="4"/>
      <c r="G177" s="4"/>
      <c r="H177" s="4"/>
      <c r="I177" s="4"/>
      <c r="J177" s="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5">
      <c r="A178" s="1"/>
      <c r="B178" s="2"/>
      <c r="C178" s="3"/>
      <c r="D178" s="4"/>
      <c r="E178" s="4"/>
      <c r="F178" s="4"/>
      <c r="G178" s="4"/>
      <c r="H178" s="4"/>
      <c r="I178" s="4"/>
      <c r="J178" s="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5">
      <c r="A179" s="1"/>
      <c r="B179" s="2"/>
      <c r="C179" s="3"/>
      <c r="D179" s="4"/>
      <c r="E179" s="4"/>
      <c r="F179" s="4"/>
      <c r="G179" s="4"/>
      <c r="H179" s="4"/>
      <c r="I179" s="4"/>
      <c r="J179" s="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5">
      <c r="A180" s="1"/>
      <c r="B180" s="2"/>
      <c r="C180" s="3"/>
      <c r="D180" s="4"/>
      <c r="E180" s="4"/>
      <c r="F180" s="4"/>
      <c r="G180" s="4"/>
      <c r="H180" s="4"/>
      <c r="I180" s="4"/>
      <c r="J180" s="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5">
      <c r="A181" s="1"/>
      <c r="B181" s="2"/>
      <c r="C181" s="3"/>
      <c r="D181" s="4"/>
      <c r="E181" s="4"/>
      <c r="F181" s="4"/>
      <c r="G181" s="4"/>
      <c r="H181" s="4"/>
      <c r="I181" s="4"/>
      <c r="J181" s="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5">
      <c r="A182" s="1"/>
      <c r="B182" s="2"/>
      <c r="C182" s="3"/>
      <c r="D182" s="4"/>
      <c r="E182" s="4"/>
      <c r="F182" s="4"/>
      <c r="G182" s="4"/>
      <c r="H182" s="4"/>
      <c r="I182" s="4"/>
      <c r="J182" s="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5">
      <c r="A183" s="1"/>
      <c r="B183" s="2"/>
      <c r="C183" s="3"/>
      <c r="D183" s="4"/>
      <c r="E183" s="4"/>
      <c r="F183" s="4"/>
      <c r="G183" s="4"/>
      <c r="H183" s="4"/>
      <c r="I183" s="4"/>
      <c r="J183" s="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5">
      <c r="A184" s="1"/>
      <c r="B184" s="2"/>
      <c r="C184" s="3"/>
      <c r="D184" s="4"/>
      <c r="E184" s="4"/>
      <c r="F184" s="4"/>
      <c r="G184" s="4"/>
      <c r="H184" s="4"/>
      <c r="I184" s="4"/>
      <c r="J184" s="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5">
      <c r="A185" s="1"/>
      <c r="B185" s="2"/>
      <c r="C185" s="3"/>
      <c r="D185" s="4"/>
      <c r="E185" s="4"/>
      <c r="F185" s="4"/>
      <c r="G185" s="4"/>
      <c r="H185" s="4"/>
      <c r="I185" s="4"/>
      <c r="J185" s="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5">
      <c r="A186" s="1"/>
      <c r="B186" s="2"/>
      <c r="C186" s="3"/>
      <c r="D186" s="4"/>
      <c r="E186" s="4"/>
      <c r="F186" s="4"/>
      <c r="G186" s="4"/>
      <c r="H186" s="4"/>
      <c r="I186" s="4"/>
      <c r="J186" s="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5">
      <c r="A187" s="1"/>
      <c r="B187" s="2"/>
      <c r="C187" s="3"/>
      <c r="D187" s="4"/>
      <c r="E187" s="4"/>
      <c r="F187" s="4"/>
      <c r="G187" s="4"/>
      <c r="H187" s="4"/>
      <c r="I187" s="4"/>
      <c r="J187" s="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5">
      <c r="A188" s="1"/>
      <c r="B188" s="2"/>
      <c r="C188" s="3"/>
      <c r="D188" s="4"/>
      <c r="E188" s="4"/>
      <c r="F188" s="4"/>
      <c r="G188" s="4"/>
      <c r="H188" s="4"/>
      <c r="I188" s="4"/>
      <c r="J188" s="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5">
      <c r="A189" s="1"/>
      <c r="B189" s="2"/>
      <c r="C189" s="3"/>
      <c r="D189" s="4"/>
      <c r="E189" s="4"/>
      <c r="F189" s="4"/>
      <c r="G189" s="4"/>
      <c r="H189" s="4"/>
      <c r="I189" s="4"/>
      <c r="J189" s="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5">
      <c r="A190" s="1"/>
      <c r="B190" s="2"/>
      <c r="C190" s="3"/>
      <c r="D190" s="4"/>
      <c r="E190" s="4"/>
      <c r="F190" s="4"/>
      <c r="G190" s="4"/>
      <c r="H190" s="4"/>
      <c r="I190" s="4"/>
      <c r="J190" s="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5">
      <c r="A191" s="1"/>
      <c r="B191" s="2"/>
      <c r="C191" s="3"/>
      <c r="D191" s="4"/>
      <c r="E191" s="4"/>
      <c r="F191" s="4"/>
      <c r="G191" s="4"/>
      <c r="H191" s="4"/>
      <c r="I191" s="4"/>
      <c r="J191" s="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5">
      <c r="A192" s="1"/>
      <c r="B192" s="2"/>
      <c r="C192" s="3"/>
      <c r="D192" s="4"/>
      <c r="E192" s="4"/>
      <c r="F192" s="4"/>
      <c r="G192" s="4"/>
      <c r="H192" s="4"/>
      <c r="I192" s="4"/>
      <c r="J192" s="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5">
      <c r="A193" s="1"/>
      <c r="B193" s="2"/>
      <c r="C193" s="3"/>
      <c r="D193" s="4"/>
      <c r="E193" s="4"/>
      <c r="F193" s="4"/>
      <c r="G193" s="4"/>
      <c r="H193" s="4"/>
      <c r="I193" s="4"/>
      <c r="J193" s="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5">
      <c r="A194" s="1"/>
      <c r="B194" s="2"/>
      <c r="C194" s="3"/>
      <c r="D194" s="4"/>
      <c r="E194" s="4"/>
      <c r="F194" s="4"/>
      <c r="G194" s="4"/>
      <c r="H194" s="4"/>
      <c r="I194" s="4"/>
      <c r="J194" s="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5">
      <c r="A195" s="1"/>
      <c r="B195" s="2"/>
      <c r="C195" s="3"/>
      <c r="D195" s="4"/>
      <c r="E195" s="4"/>
      <c r="F195" s="4"/>
      <c r="G195" s="4"/>
      <c r="H195" s="4"/>
      <c r="I195" s="4"/>
      <c r="J195" s="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5">
      <c r="A196" s="1"/>
      <c r="B196" s="2"/>
      <c r="C196" s="3"/>
      <c r="D196" s="4"/>
      <c r="E196" s="4"/>
      <c r="F196" s="4"/>
      <c r="G196" s="4"/>
      <c r="H196" s="4"/>
      <c r="I196" s="4"/>
      <c r="J196" s="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5">
      <c r="A197" s="1"/>
      <c r="B197" s="2"/>
      <c r="C197" s="3"/>
      <c r="D197" s="4"/>
      <c r="E197" s="4"/>
      <c r="F197" s="4"/>
      <c r="G197" s="4"/>
      <c r="H197" s="4"/>
      <c r="I197" s="4"/>
      <c r="J197" s="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5">
      <c r="A198" s="1"/>
      <c r="B198" s="2"/>
      <c r="C198" s="3"/>
      <c r="D198" s="4"/>
      <c r="E198" s="4"/>
      <c r="F198" s="4"/>
      <c r="G198" s="4"/>
      <c r="H198" s="4"/>
      <c r="I198" s="4"/>
      <c r="J198" s="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5">
      <c r="A199" s="1"/>
      <c r="B199" s="2"/>
      <c r="C199" s="3"/>
      <c r="D199" s="4"/>
      <c r="E199" s="4"/>
      <c r="F199" s="4"/>
      <c r="G199" s="4"/>
      <c r="H199" s="4"/>
      <c r="I199" s="4"/>
      <c r="J199" s="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5">
      <c r="A200" s="1"/>
      <c r="B200" s="2"/>
      <c r="C200" s="3"/>
      <c r="D200" s="4"/>
      <c r="E200" s="4"/>
      <c r="F200" s="4"/>
      <c r="G200" s="4"/>
      <c r="H200" s="4"/>
      <c r="I200" s="4"/>
      <c r="J200" s="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5">
      <c r="A201" s="1"/>
      <c r="B201" s="2"/>
      <c r="C201" s="3"/>
      <c r="D201" s="4"/>
      <c r="E201" s="4"/>
      <c r="F201" s="4"/>
      <c r="G201" s="4"/>
      <c r="H201" s="4"/>
      <c r="I201" s="4"/>
      <c r="J201" s="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5">
      <c r="A202" s="1"/>
      <c r="B202" s="2"/>
      <c r="C202" s="3"/>
      <c r="D202" s="4"/>
      <c r="E202" s="4"/>
      <c r="F202" s="4"/>
      <c r="G202" s="4"/>
      <c r="H202" s="4"/>
      <c r="I202" s="4"/>
      <c r="J202" s="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5">
      <c r="A203" s="1"/>
      <c r="B203" s="2"/>
      <c r="C203" s="3"/>
      <c r="D203" s="4"/>
      <c r="E203" s="4"/>
      <c r="F203" s="4"/>
      <c r="G203" s="4"/>
      <c r="H203" s="4"/>
      <c r="I203" s="4"/>
      <c r="J203" s="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5">
      <c r="A204" s="1"/>
      <c r="B204" s="2"/>
      <c r="C204" s="3"/>
      <c r="D204" s="4"/>
      <c r="E204" s="4"/>
      <c r="F204" s="4"/>
      <c r="G204" s="4"/>
      <c r="H204" s="4"/>
      <c r="I204" s="4"/>
      <c r="J204" s="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5">
      <c r="A205" s="1"/>
      <c r="B205" s="2"/>
      <c r="C205" s="3"/>
      <c r="D205" s="4"/>
      <c r="E205" s="4"/>
      <c r="F205" s="4"/>
      <c r="G205" s="4"/>
      <c r="H205" s="4"/>
      <c r="I205" s="4"/>
      <c r="J205" s="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5">
      <c r="A206" s="1"/>
      <c r="B206" s="2"/>
      <c r="C206" s="3"/>
      <c r="D206" s="4"/>
      <c r="E206" s="4"/>
      <c r="F206" s="4"/>
      <c r="G206" s="4"/>
      <c r="H206" s="4"/>
      <c r="I206" s="4"/>
      <c r="J206" s="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5">
      <c r="A207" s="1"/>
      <c r="B207" s="2"/>
      <c r="C207" s="3"/>
      <c r="D207" s="4"/>
      <c r="E207" s="4"/>
      <c r="F207" s="4"/>
      <c r="G207" s="4"/>
      <c r="H207" s="4"/>
      <c r="I207" s="4"/>
      <c r="J207" s="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5">
      <c r="A208" s="1"/>
      <c r="B208" s="2"/>
      <c r="C208" s="3"/>
      <c r="D208" s="4"/>
      <c r="E208" s="4"/>
      <c r="F208" s="4"/>
      <c r="G208" s="4"/>
      <c r="H208" s="4"/>
      <c r="I208" s="4"/>
      <c r="J208" s="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5">
      <c r="A209" s="1"/>
      <c r="B209" s="2"/>
      <c r="C209" s="3"/>
      <c r="D209" s="4"/>
      <c r="E209" s="4"/>
      <c r="F209" s="4"/>
      <c r="G209" s="4"/>
      <c r="H209" s="4"/>
      <c r="I209" s="4"/>
      <c r="J209" s="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5">
      <c r="A210" s="1"/>
      <c r="B210" s="2"/>
      <c r="C210" s="3"/>
      <c r="D210" s="4"/>
      <c r="E210" s="4"/>
      <c r="F210" s="4"/>
      <c r="G210" s="4"/>
      <c r="H210" s="4"/>
      <c r="I210" s="4"/>
      <c r="J210" s="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5">
      <c r="A211" s="1"/>
      <c r="B211" s="2"/>
      <c r="C211" s="3"/>
      <c r="D211" s="4"/>
      <c r="E211" s="4"/>
      <c r="F211" s="4"/>
      <c r="G211" s="4"/>
      <c r="H211" s="4"/>
      <c r="I211" s="4"/>
      <c r="J211" s="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5">
      <c r="A212" s="1"/>
      <c r="B212" s="2"/>
      <c r="C212" s="3"/>
      <c r="D212" s="4"/>
      <c r="E212" s="4"/>
      <c r="F212" s="4"/>
      <c r="G212" s="4"/>
      <c r="H212" s="4"/>
      <c r="I212" s="4"/>
      <c r="J212" s="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5">
      <c r="A213" s="1"/>
      <c r="B213" s="2"/>
      <c r="C213" s="3"/>
      <c r="D213" s="4"/>
      <c r="E213" s="4"/>
      <c r="F213" s="4"/>
      <c r="G213" s="4"/>
      <c r="H213" s="4"/>
      <c r="I213" s="4"/>
      <c r="J213" s="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5">
      <c r="A214" s="1"/>
      <c r="B214" s="2"/>
      <c r="C214" s="3"/>
      <c r="D214" s="4"/>
      <c r="E214" s="4"/>
      <c r="F214" s="4"/>
      <c r="G214" s="4"/>
      <c r="H214" s="4"/>
      <c r="I214" s="4"/>
      <c r="J214" s="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5">
      <c r="A215" s="1"/>
      <c r="B215" s="2"/>
      <c r="C215" s="3"/>
      <c r="D215" s="4"/>
      <c r="E215" s="4"/>
      <c r="F215" s="4"/>
      <c r="G215" s="4"/>
      <c r="H215" s="4"/>
      <c r="I215" s="4"/>
      <c r="J215" s="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5">
      <c r="A216" s="1"/>
      <c r="B216" s="2"/>
      <c r="C216" s="3"/>
      <c r="D216" s="4"/>
      <c r="E216" s="4"/>
      <c r="F216" s="4"/>
      <c r="G216" s="4"/>
      <c r="H216" s="4"/>
      <c r="I216" s="4"/>
      <c r="J216" s="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5">
      <c r="A217" s="1"/>
      <c r="B217" s="2"/>
      <c r="C217" s="3"/>
      <c r="D217" s="4"/>
      <c r="E217" s="4"/>
      <c r="F217" s="4"/>
      <c r="G217" s="4"/>
      <c r="H217" s="4"/>
      <c r="I217" s="4"/>
      <c r="J217" s="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5">
      <c r="A218" s="1"/>
      <c r="B218" s="2"/>
      <c r="C218" s="3"/>
      <c r="D218" s="4"/>
      <c r="E218" s="4"/>
      <c r="F218" s="4"/>
      <c r="G218" s="4"/>
      <c r="H218" s="4"/>
      <c r="I218" s="4"/>
      <c r="J218" s="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5">
      <c r="A219" s="1"/>
      <c r="B219" s="2"/>
      <c r="C219" s="3"/>
      <c r="D219" s="4"/>
      <c r="E219" s="4"/>
      <c r="F219" s="4"/>
      <c r="G219" s="4"/>
      <c r="H219" s="4"/>
      <c r="I219" s="4"/>
      <c r="J219" s="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5">
      <c r="A220" s="1"/>
      <c r="B220" s="2"/>
      <c r="C220" s="3"/>
      <c r="D220" s="4"/>
      <c r="E220" s="4"/>
      <c r="F220" s="4"/>
      <c r="G220" s="4"/>
      <c r="H220" s="4"/>
      <c r="I220" s="4"/>
      <c r="J220" s="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25">
      <c r="A221" s="1"/>
      <c r="B221" s="2"/>
      <c r="C221" s="3"/>
      <c r="D221" s="4"/>
      <c r="E221" s="4"/>
      <c r="F221" s="4"/>
      <c r="G221" s="4"/>
      <c r="H221" s="4"/>
      <c r="I221" s="4"/>
      <c r="J221" s="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25">
      <c r="A222" s="1"/>
      <c r="B222" s="2"/>
      <c r="C222" s="3"/>
      <c r="D222" s="4"/>
      <c r="E222" s="4"/>
      <c r="F222" s="4"/>
      <c r="G222" s="4"/>
      <c r="H222" s="4"/>
      <c r="I222" s="4"/>
      <c r="J222" s="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25">
      <c r="A223" s="1"/>
      <c r="B223" s="2"/>
      <c r="C223" s="3"/>
      <c r="D223" s="4"/>
      <c r="E223" s="4"/>
      <c r="F223" s="4"/>
      <c r="G223" s="4"/>
      <c r="H223" s="4"/>
      <c r="I223" s="4"/>
      <c r="J223" s="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25">
      <c r="A224" s="1"/>
      <c r="B224" s="2"/>
      <c r="C224" s="3"/>
      <c r="D224" s="4"/>
      <c r="E224" s="4"/>
      <c r="F224" s="4"/>
      <c r="G224" s="4"/>
      <c r="H224" s="4"/>
      <c r="I224" s="4"/>
      <c r="J224" s="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25">
      <c r="A225" s="1"/>
      <c r="B225" s="2"/>
      <c r="C225" s="3"/>
      <c r="D225" s="4"/>
      <c r="E225" s="4"/>
      <c r="F225" s="4"/>
      <c r="G225" s="4"/>
      <c r="H225" s="4"/>
      <c r="I225" s="4"/>
      <c r="J225" s="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25">
      <c r="A226" s="1"/>
      <c r="B226" s="2"/>
      <c r="C226" s="3"/>
      <c r="D226" s="4"/>
      <c r="E226" s="4"/>
      <c r="F226" s="4"/>
      <c r="G226" s="4"/>
      <c r="H226" s="4"/>
      <c r="I226" s="4"/>
      <c r="J226" s="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25">
      <c r="A227" s="1"/>
      <c r="B227" s="2"/>
      <c r="C227" s="3"/>
      <c r="D227" s="4"/>
      <c r="E227" s="4"/>
      <c r="F227" s="4"/>
      <c r="G227" s="4"/>
      <c r="H227" s="4"/>
      <c r="I227" s="4"/>
      <c r="J227" s="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25">
      <c r="A228" s="1"/>
      <c r="B228" s="2"/>
      <c r="C228" s="3"/>
      <c r="D228" s="4"/>
      <c r="E228" s="4"/>
      <c r="F228" s="4"/>
      <c r="G228" s="4"/>
      <c r="H228" s="4"/>
      <c r="I228" s="4"/>
      <c r="J228" s="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25">
      <c r="A229" s="1"/>
      <c r="B229" s="2"/>
      <c r="C229" s="3"/>
      <c r="D229" s="4"/>
      <c r="E229" s="4"/>
      <c r="F229" s="4"/>
      <c r="G229" s="4"/>
      <c r="H229" s="4"/>
      <c r="I229" s="4"/>
      <c r="J229" s="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25">
      <c r="A230" s="1"/>
      <c r="B230" s="2"/>
      <c r="C230" s="3"/>
      <c r="D230" s="4"/>
      <c r="E230" s="4"/>
      <c r="F230" s="4"/>
      <c r="G230" s="4"/>
      <c r="H230" s="4"/>
      <c r="I230" s="4"/>
      <c r="J230" s="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25">
      <c r="A231" s="1"/>
      <c r="B231" s="2"/>
      <c r="C231" s="3"/>
      <c r="D231" s="4"/>
      <c r="E231" s="4"/>
      <c r="F231" s="4"/>
      <c r="G231" s="4"/>
      <c r="H231" s="4"/>
      <c r="I231" s="4"/>
      <c r="J231" s="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25">
      <c r="A232" s="1"/>
      <c r="B232" s="2"/>
      <c r="C232" s="3"/>
      <c r="D232" s="4"/>
      <c r="E232" s="4"/>
      <c r="F232" s="4"/>
      <c r="G232" s="4"/>
      <c r="H232" s="4"/>
      <c r="I232" s="4"/>
      <c r="J232" s="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25">
      <c r="A233" s="1"/>
      <c r="B233" s="2"/>
      <c r="C233" s="3"/>
      <c r="D233" s="4"/>
      <c r="E233" s="4"/>
      <c r="F233" s="4"/>
      <c r="G233" s="4"/>
      <c r="H233" s="4"/>
      <c r="I233" s="4"/>
      <c r="J233" s="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25">
      <c r="A234" s="1"/>
      <c r="B234" s="2"/>
      <c r="C234" s="3"/>
      <c r="D234" s="4"/>
      <c r="E234" s="4"/>
      <c r="F234" s="4"/>
      <c r="G234" s="4"/>
      <c r="H234" s="4"/>
      <c r="I234" s="4"/>
      <c r="J234" s="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25">
      <c r="A235" s="1"/>
      <c r="B235" s="2"/>
      <c r="C235" s="3"/>
      <c r="D235" s="4"/>
      <c r="E235" s="4"/>
      <c r="F235" s="4"/>
      <c r="G235" s="4"/>
      <c r="H235" s="4"/>
      <c r="I235" s="4"/>
      <c r="J235" s="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25">
      <c r="A236" s="1"/>
      <c r="B236" s="2"/>
      <c r="C236" s="3"/>
      <c r="D236" s="4"/>
      <c r="E236" s="4"/>
      <c r="F236" s="4"/>
      <c r="G236" s="4"/>
      <c r="H236" s="4"/>
      <c r="I236" s="4"/>
      <c r="J236" s="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25">
      <c r="A237" s="1"/>
      <c r="B237" s="2"/>
      <c r="C237" s="3"/>
      <c r="D237" s="4"/>
      <c r="E237" s="4"/>
      <c r="F237" s="4"/>
      <c r="G237" s="4"/>
      <c r="H237" s="4"/>
      <c r="I237" s="4"/>
      <c r="J237" s="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25">
      <c r="A238" s="1"/>
      <c r="B238" s="2"/>
      <c r="C238" s="3"/>
      <c r="D238" s="4"/>
      <c r="E238" s="4"/>
      <c r="F238" s="4"/>
      <c r="G238" s="4"/>
      <c r="H238" s="4"/>
      <c r="I238" s="4"/>
      <c r="J238" s="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25">
      <c r="A239" s="1"/>
      <c r="B239" s="2"/>
      <c r="C239" s="3"/>
      <c r="D239" s="4"/>
      <c r="E239" s="4"/>
      <c r="F239" s="4"/>
      <c r="G239" s="4"/>
      <c r="H239" s="4"/>
      <c r="I239" s="4"/>
      <c r="J239" s="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25">
      <c r="A240" s="1"/>
      <c r="B240" s="2"/>
      <c r="C240" s="3"/>
      <c r="D240" s="4"/>
      <c r="E240" s="4"/>
      <c r="F240" s="4"/>
      <c r="G240" s="4"/>
      <c r="H240" s="4"/>
      <c r="I240" s="4"/>
      <c r="J240" s="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25">
      <c r="A241" s="1"/>
      <c r="B241" s="2"/>
      <c r="C241" s="3"/>
      <c r="D241" s="4"/>
      <c r="E241" s="4"/>
      <c r="F241" s="4"/>
      <c r="G241" s="4"/>
      <c r="H241" s="4"/>
      <c r="I241" s="4"/>
      <c r="J241" s="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25">
      <c r="A242" s="1"/>
      <c r="B242" s="2"/>
      <c r="C242" s="3"/>
      <c r="D242" s="4"/>
      <c r="E242" s="4"/>
      <c r="F242" s="4"/>
      <c r="G242" s="4"/>
      <c r="H242" s="4"/>
      <c r="I242" s="4"/>
      <c r="J242" s="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25">
      <c r="A243" s="1"/>
      <c r="B243" s="2"/>
      <c r="C243" s="3"/>
      <c r="D243" s="4"/>
      <c r="E243" s="4"/>
      <c r="F243" s="4"/>
      <c r="G243" s="4"/>
      <c r="H243" s="4"/>
      <c r="I243" s="4"/>
      <c r="J243" s="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25">
      <c r="A244" s="1"/>
      <c r="B244" s="2"/>
      <c r="C244" s="3"/>
      <c r="D244" s="4"/>
      <c r="E244" s="4"/>
      <c r="F244" s="4"/>
      <c r="G244" s="4"/>
      <c r="H244" s="4"/>
      <c r="I244" s="4"/>
      <c r="J244" s="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25">
      <c r="A245" s="1"/>
      <c r="B245" s="2"/>
      <c r="C245" s="3"/>
      <c r="D245" s="4"/>
      <c r="E245" s="4"/>
      <c r="F245" s="4"/>
      <c r="G245" s="4"/>
      <c r="H245" s="4"/>
      <c r="I245" s="4"/>
      <c r="J245" s="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25">
      <c r="A246" s="1"/>
      <c r="B246" s="2"/>
      <c r="C246" s="3"/>
      <c r="D246" s="4"/>
      <c r="E246" s="4"/>
      <c r="F246" s="4"/>
      <c r="G246" s="4"/>
      <c r="H246" s="4"/>
      <c r="I246" s="4"/>
      <c r="J246" s="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25">
      <c r="A247" s="1"/>
      <c r="B247" s="2"/>
      <c r="C247" s="3"/>
      <c r="D247" s="4"/>
      <c r="E247" s="4"/>
      <c r="F247" s="4"/>
      <c r="G247" s="4"/>
      <c r="H247" s="4"/>
      <c r="I247" s="4"/>
      <c r="J247" s="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25">
      <c r="A248" s="1"/>
      <c r="B248" s="2"/>
      <c r="C248" s="3"/>
      <c r="D248" s="4"/>
      <c r="E248" s="4"/>
      <c r="F248" s="4"/>
      <c r="G248" s="4"/>
      <c r="H248" s="4"/>
      <c r="I248" s="4"/>
      <c r="J248" s="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25">
      <c r="A249" s="1"/>
      <c r="B249" s="2"/>
      <c r="C249" s="3"/>
      <c r="D249" s="4"/>
      <c r="E249" s="4"/>
      <c r="F249" s="4"/>
      <c r="G249" s="4"/>
      <c r="H249" s="4"/>
      <c r="I249" s="4"/>
      <c r="J249" s="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25">
      <c r="A250" s="1"/>
      <c r="B250" s="2"/>
      <c r="C250" s="3"/>
      <c r="D250" s="4"/>
      <c r="E250" s="4"/>
      <c r="F250" s="4"/>
      <c r="G250" s="4"/>
      <c r="H250" s="4"/>
      <c r="I250" s="4"/>
      <c r="J250" s="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25">
      <c r="A251" s="1"/>
      <c r="B251" s="2"/>
      <c r="C251" s="3"/>
      <c r="D251" s="4"/>
      <c r="E251" s="4"/>
      <c r="F251" s="4"/>
      <c r="G251" s="4"/>
      <c r="H251" s="4"/>
      <c r="I251" s="4"/>
      <c r="J251" s="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25">
      <c r="A252" s="1"/>
      <c r="B252" s="2"/>
      <c r="C252" s="3"/>
      <c r="D252" s="4"/>
      <c r="E252" s="4"/>
      <c r="F252" s="4"/>
      <c r="G252" s="4"/>
      <c r="H252" s="4"/>
      <c r="I252" s="4"/>
      <c r="J252" s="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25">
      <c r="A253" s="1"/>
      <c r="B253" s="2"/>
      <c r="C253" s="3"/>
      <c r="D253" s="4"/>
      <c r="E253" s="4"/>
      <c r="F253" s="4"/>
      <c r="G253" s="4"/>
      <c r="H253" s="4"/>
      <c r="I253" s="4"/>
      <c r="J253" s="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25">
      <c r="A254" s="1"/>
      <c r="B254" s="2"/>
      <c r="C254" s="3"/>
      <c r="D254" s="4"/>
      <c r="E254" s="4"/>
      <c r="F254" s="4"/>
      <c r="G254" s="4"/>
      <c r="H254" s="4"/>
      <c r="I254" s="4"/>
      <c r="J254" s="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25">
      <c r="A255" s="1"/>
      <c r="B255" s="2"/>
      <c r="C255" s="3"/>
      <c r="D255" s="4"/>
      <c r="E255" s="4"/>
      <c r="F255" s="4"/>
      <c r="G255" s="4"/>
      <c r="H255" s="4"/>
      <c r="I255" s="4"/>
      <c r="J255" s="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25">
      <c r="A256" s="1"/>
      <c r="B256" s="2"/>
      <c r="C256" s="3"/>
      <c r="D256" s="4"/>
      <c r="E256" s="4"/>
      <c r="F256" s="4"/>
      <c r="G256" s="4"/>
      <c r="H256" s="4"/>
      <c r="I256" s="4"/>
      <c r="J256" s="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25">
      <c r="A257" s="1"/>
      <c r="B257" s="2"/>
      <c r="C257" s="3"/>
      <c r="D257" s="4"/>
      <c r="E257" s="4"/>
      <c r="F257" s="4"/>
      <c r="G257" s="4"/>
      <c r="H257" s="4"/>
      <c r="I257" s="4"/>
      <c r="J257" s="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25">
      <c r="A258" s="1"/>
      <c r="B258" s="2"/>
      <c r="C258" s="3"/>
      <c r="D258" s="4"/>
      <c r="E258" s="4"/>
      <c r="F258" s="4"/>
      <c r="G258" s="4"/>
      <c r="H258" s="4"/>
      <c r="I258" s="4"/>
      <c r="J258" s="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25">
      <c r="A259" s="1"/>
      <c r="B259" s="2"/>
      <c r="C259" s="3"/>
      <c r="D259" s="4"/>
      <c r="E259" s="4"/>
      <c r="F259" s="4"/>
      <c r="G259" s="4"/>
      <c r="H259" s="4"/>
      <c r="I259" s="4"/>
      <c r="J259" s="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25">
      <c r="A260" s="1"/>
      <c r="B260" s="2"/>
      <c r="C260" s="3"/>
      <c r="D260" s="4"/>
      <c r="E260" s="4"/>
      <c r="F260" s="4"/>
      <c r="G260" s="4"/>
      <c r="H260" s="4"/>
      <c r="I260" s="4"/>
      <c r="J260" s="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25">
      <c r="A261" s="1"/>
      <c r="B261" s="2"/>
      <c r="C261" s="3"/>
      <c r="D261" s="4"/>
      <c r="E261" s="4"/>
      <c r="F261" s="4"/>
      <c r="G261" s="4"/>
      <c r="H261" s="4"/>
      <c r="I261" s="4"/>
      <c r="J261" s="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25">
      <c r="A262" s="1"/>
      <c r="B262" s="2"/>
      <c r="C262" s="3"/>
      <c r="D262" s="4"/>
      <c r="E262" s="4"/>
      <c r="F262" s="4"/>
      <c r="G262" s="4"/>
      <c r="H262" s="4"/>
      <c r="I262" s="4"/>
      <c r="J262" s="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25">
      <c r="A263" s="1"/>
      <c r="B263" s="2"/>
      <c r="C263" s="3"/>
      <c r="D263" s="4"/>
      <c r="E263" s="4"/>
      <c r="F263" s="4"/>
      <c r="G263" s="4"/>
      <c r="H263" s="4"/>
      <c r="I263" s="4"/>
      <c r="J263" s="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25">
      <c r="A264" s="1"/>
      <c r="B264" s="2"/>
      <c r="C264" s="3"/>
      <c r="D264" s="4"/>
      <c r="E264" s="4"/>
      <c r="F264" s="4"/>
      <c r="G264" s="4"/>
      <c r="H264" s="4"/>
      <c r="I264" s="4"/>
      <c r="J264" s="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25">
      <c r="A265" s="1"/>
      <c r="B265" s="2"/>
      <c r="C265" s="3"/>
      <c r="D265" s="4"/>
      <c r="E265" s="4"/>
      <c r="F265" s="4"/>
      <c r="G265" s="4"/>
      <c r="H265" s="4"/>
      <c r="I265" s="4"/>
      <c r="J265" s="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25">
      <c r="A266" s="1"/>
      <c r="B266" s="2"/>
      <c r="C266" s="3"/>
      <c r="D266" s="4"/>
      <c r="E266" s="4"/>
      <c r="F266" s="4"/>
      <c r="G266" s="4"/>
      <c r="H266" s="4"/>
      <c r="I266" s="4"/>
      <c r="J266" s="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25">
      <c r="A267" s="1"/>
      <c r="B267" s="2"/>
      <c r="C267" s="3"/>
      <c r="D267" s="4"/>
      <c r="E267" s="4"/>
      <c r="F267" s="4"/>
      <c r="G267" s="4"/>
      <c r="H267" s="4"/>
      <c r="I267" s="4"/>
      <c r="J267" s="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25">
      <c r="A268" s="1"/>
      <c r="B268" s="2"/>
      <c r="C268" s="3"/>
      <c r="D268" s="4"/>
      <c r="E268" s="4"/>
      <c r="F268" s="4"/>
      <c r="G268" s="4"/>
      <c r="H268" s="4"/>
      <c r="I268" s="4"/>
      <c r="J268" s="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25">
      <c r="A269" s="1"/>
      <c r="B269" s="2"/>
      <c r="C269" s="3"/>
      <c r="D269" s="4"/>
      <c r="E269" s="4"/>
      <c r="F269" s="4"/>
      <c r="G269" s="4"/>
      <c r="H269" s="4"/>
      <c r="I269" s="4"/>
      <c r="J269" s="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25">
      <c r="A270" s="1"/>
      <c r="B270" s="2"/>
      <c r="C270" s="3"/>
      <c r="D270" s="4"/>
      <c r="E270" s="4"/>
      <c r="F270" s="4"/>
      <c r="G270" s="4"/>
      <c r="H270" s="4"/>
      <c r="I270" s="4"/>
      <c r="J270" s="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25">
      <c r="A271" s="1"/>
      <c r="B271" s="2"/>
      <c r="C271" s="3"/>
      <c r="D271" s="4"/>
      <c r="E271" s="4"/>
      <c r="F271" s="4"/>
      <c r="G271" s="4"/>
      <c r="H271" s="4"/>
      <c r="I271" s="4"/>
      <c r="J271" s="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25">
      <c r="A272" s="1"/>
      <c r="B272" s="2"/>
      <c r="C272" s="3"/>
      <c r="D272" s="4"/>
      <c r="E272" s="4"/>
      <c r="F272" s="4"/>
      <c r="G272" s="4"/>
      <c r="H272" s="4"/>
      <c r="I272" s="4"/>
      <c r="J272" s="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25">
      <c r="A273" s="1"/>
      <c r="B273" s="2"/>
      <c r="C273" s="3"/>
      <c r="D273" s="4"/>
      <c r="E273" s="4"/>
      <c r="F273" s="4"/>
      <c r="G273" s="4"/>
      <c r="H273" s="4"/>
      <c r="I273" s="4"/>
      <c r="J273" s="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25">
      <c r="A274" s="1"/>
      <c r="B274" s="2"/>
      <c r="C274" s="3"/>
      <c r="D274" s="4"/>
      <c r="E274" s="4"/>
      <c r="F274" s="4"/>
      <c r="G274" s="4"/>
      <c r="H274" s="4"/>
      <c r="I274" s="4"/>
      <c r="J274" s="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25">
      <c r="A275" s="1"/>
      <c r="B275" s="2"/>
      <c r="C275" s="3"/>
      <c r="D275" s="4"/>
      <c r="E275" s="4"/>
      <c r="F275" s="4"/>
      <c r="G275" s="4"/>
      <c r="H275" s="4"/>
      <c r="I275" s="4"/>
      <c r="J275" s="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25">
      <c r="A276" s="1"/>
      <c r="B276" s="2"/>
      <c r="C276" s="3"/>
      <c r="D276" s="4"/>
      <c r="E276" s="4"/>
      <c r="F276" s="4"/>
      <c r="G276" s="4"/>
      <c r="H276" s="4"/>
      <c r="I276" s="4"/>
      <c r="J276" s="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25">
      <c r="A277" s="1"/>
      <c r="B277" s="2"/>
      <c r="C277" s="3"/>
      <c r="D277" s="4"/>
      <c r="E277" s="4"/>
      <c r="F277" s="4"/>
      <c r="G277" s="4"/>
      <c r="H277" s="4"/>
      <c r="I277" s="4"/>
      <c r="J277" s="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25">
      <c r="A278" s="1"/>
      <c r="B278" s="2"/>
      <c r="C278" s="3"/>
      <c r="D278" s="4"/>
      <c r="E278" s="4"/>
      <c r="F278" s="4"/>
      <c r="G278" s="4"/>
      <c r="H278" s="4"/>
      <c r="I278" s="4"/>
      <c r="J278" s="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25">
      <c r="A279" s="1"/>
      <c r="B279" s="2"/>
      <c r="C279" s="3"/>
      <c r="D279" s="4"/>
      <c r="E279" s="4"/>
      <c r="F279" s="4"/>
      <c r="G279" s="4"/>
      <c r="H279" s="4"/>
      <c r="I279" s="4"/>
      <c r="J279" s="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25">
      <c r="A280" s="1"/>
      <c r="B280" s="2"/>
      <c r="C280" s="3"/>
      <c r="D280" s="4"/>
      <c r="E280" s="4"/>
      <c r="F280" s="4"/>
      <c r="G280" s="4"/>
      <c r="H280" s="4"/>
      <c r="I280" s="4"/>
      <c r="J280" s="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25">
      <c r="A281" s="1"/>
      <c r="B281" s="2"/>
      <c r="C281" s="3"/>
      <c r="D281" s="4"/>
      <c r="E281" s="4"/>
      <c r="F281" s="4"/>
      <c r="G281" s="4"/>
      <c r="H281" s="4"/>
      <c r="I281" s="4"/>
      <c r="J281" s="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25">
      <c r="A282" s="1"/>
      <c r="B282" s="2"/>
      <c r="C282" s="3"/>
      <c r="D282" s="4"/>
      <c r="E282" s="4"/>
      <c r="F282" s="4"/>
      <c r="G282" s="4"/>
      <c r="H282" s="4"/>
      <c r="I282" s="4"/>
      <c r="J282" s="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25">
      <c r="A283" s="1"/>
      <c r="B283" s="2"/>
      <c r="C283" s="3"/>
      <c r="D283" s="4"/>
      <c r="E283" s="4"/>
      <c r="F283" s="4"/>
      <c r="G283" s="4"/>
      <c r="H283" s="4"/>
      <c r="I283" s="4"/>
      <c r="J283" s="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25">
      <c r="A284" s="1"/>
      <c r="B284" s="2"/>
      <c r="C284" s="3"/>
      <c r="D284" s="4"/>
      <c r="E284" s="4"/>
      <c r="F284" s="4"/>
      <c r="G284" s="4"/>
      <c r="H284" s="4"/>
      <c r="I284" s="4"/>
      <c r="J284" s="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25">
      <c r="A285" s="1"/>
      <c r="B285" s="2"/>
      <c r="C285" s="3"/>
      <c r="D285" s="4"/>
      <c r="E285" s="4"/>
      <c r="F285" s="4"/>
      <c r="G285" s="4"/>
      <c r="H285" s="4"/>
      <c r="I285" s="4"/>
      <c r="J285" s="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25">
      <c r="A286" s="1"/>
      <c r="B286" s="2"/>
      <c r="C286" s="3"/>
      <c r="D286" s="4"/>
      <c r="E286" s="4"/>
      <c r="F286" s="4"/>
      <c r="G286" s="4"/>
      <c r="H286" s="4"/>
      <c r="I286" s="4"/>
      <c r="J286" s="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25">
      <c r="A287" s="1"/>
      <c r="B287" s="2"/>
      <c r="C287" s="3"/>
      <c r="D287" s="4"/>
      <c r="E287" s="4"/>
      <c r="F287" s="4"/>
      <c r="G287" s="4"/>
      <c r="H287" s="4"/>
      <c r="I287" s="4"/>
      <c r="J287" s="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25">
      <c r="A288" s="1"/>
      <c r="B288" s="2"/>
      <c r="C288" s="3"/>
      <c r="D288" s="4"/>
      <c r="E288" s="4"/>
      <c r="F288" s="4"/>
      <c r="G288" s="4"/>
      <c r="H288" s="4"/>
      <c r="I288" s="4"/>
      <c r="J288" s="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25">
      <c r="A289" s="1"/>
      <c r="B289" s="2"/>
      <c r="C289" s="3"/>
      <c r="D289" s="4"/>
      <c r="E289" s="4"/>
      <c r="F289" s="4"/>
      <c r="G289" s="4"/>
      <c r="H289" s="4"/>
      <c r="I289" s="4"/>
      <c r="J289" s="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25">
      <c r="A290" s="1"/>
      <c r="B290" s="2"/>
      <c r="C290" s="3"/>
      <c r="D290" s="4"/>
      <c r="E290" s="4"/>
      <c r="F290" s="4"/>
      <c r="G290" s="4"/>
      <c r="H290" s="4"/>
      <c r="I290" s="4"/>
      <c r="J290" s="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25">
      <c r="A291" s="1"/>
      <c r="B291" s="2"/>
      <c r="C291" s="3"/>
      <c r="D291" s="4"/>
      <c r="E291" s="4"/>
      <c r="F291" s="4"/>
      <c r="G291" s="4"/>
      <c r="H291" s="4"/>
      <c r="I291" s="4"/>
      <c r="J291" s="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25">
      <c r="A292" s="1"/>
      <c r="B292" s="2"/>
      <c r="C292" s="3"/>
      <c r="D292" s="4"/>
      <c r="E292" s="4"/>
      <c r="F292" s="4"/>
      <c r="G292" s="4"/>
      <c r="H292" s="4"/>
      <c r="I292" s="4"/>
      <c r="J292" s="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25">
      <c r="A293" s="1"/>
      <c r="B293" s="2"/>
      <c r="C293" s="3"/>
      <c r="D293" s="4"/>
      <c r="E293" s="4"/>
      <c r="F293" s="4"/>
      <c r="G293" s="4"/>
      <c r="H293" s="4"/>
      <c r="I293" s="4"/>
      <c r="J293" s="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25">
      <c r="A294" s="1"/>
      <c r="B294" s="2"/>
      <c r="C294" s="3"/>
      <c r="D294" s="4"/>
      <c r="E294" s="4"/>
      <c r="F294" s="4"/>
      <c r="G294" s="4"/>
      <c r="H294" s="4"/>
      <c r="I294" s="4"/>
      <c r="J294" s="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25">
      <c r="A295" s="1"/>
      <c r="B295" s="2"/>
      <c r="C295" s="3"/>
      <c r="D295" s="4"/>
      <c r="E295" s="4"/>
      <c r="F295" s="4"/>
      <c r="G295" s="4"/>
      <c r="H295" s="4"/>
      <c r="I295" s="4"/>
      <c r="J295" s="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25">
      <c r="A296" s="1"/>
      <c r="B296" s="2"/>
      <c r="C296" s="3"/>
      <c r="D296" s="4"/>
      <c r="E296" s="4"/>
      <c r="F296" s="4"/>
      <c r="G296" s="4"/>
      <c r="H296" s="4"/>
      <c r="I296" s="4"/>
      <c r="J296" s="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25">
      <c r="A297" s="1"/>
      <c r="B297" s="2"/>
      <c r="C297" s="3"/>
      <c r="D297" s="4"/>
      <c r="E297" s="4"/>
      <c r="F297" s="4"/>
      <c r="G297" s="4"/>
      <c r="H297" s="4"/>
      <c r="I297" s="4"/>
      <c r="J297" s="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25">
      <c r="A298" s="1"/>
      <c r="B298" s="2"/>
      <c r="C298" s="3"/>
      <c r="D298" s="4"/>
      <c r="E298" s="4"/>
      <c r="F298" s="4"/>
      <c r="G298" s="4"/>
      <c r="H298" s="4"/>
      <c r="I298" s="4"/>
      <c r="J298" s="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25">
      <c r="A299" s="1"/>
      <c r="B299" s="2"/>
      <c r="C299" s="3"/>
      <c r="D299" s="4"/>
      <c r="E299" s="4"/>
      <c r="F299" s="4"/>
      <c r="G299" s="4"/>
      <c r="H299" s="4"/>
      <c r="I299" s="4"/>
      <c r="J299" s="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25">
      <c r="A300" s="1"/>
      <c r="B300" s="2"/>
      <c r="C300" s="3"/>
      <c r="D300" s="4"/>
      <c r="E300" s="4"/>
      <c r="F300" s="4"/>
      <c r="G300" s="4"/>
      <c r="H300" s="4"/>
      <c r="I300" s="4"/>
      <c r="J300" s="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25">
      <c r="A301" s="1"/>
      <c r="B301" s="2"/>
      <c r="C301" s="3"/>
      <c r="D301" s="4"/>
      <c r="E301" s="4"/>
      <c r="F301" s="4"/>
      <c r="G301" s="4"/>
      <c r="H301" s="4"/>
      <c r="I301" s="4"/>
      <c r="J301" s="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25">
      <c r="A302" s="1"/>
      <c r="B302" s="2"/>
      <c r="C302" s="3"/>
      <c r="D302" s="4"/>
      <c r="E302" s="4"/>
      <c r="F302" s="4"/>
      <c r="G302" s="4"/>
      <c r="H302" s="4"/>
      <c r="I302" s="4"/>
      <c r="J302" s="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25">
      <c r="A303" s="1"/>
      <c r="B303" s="2"/>
      <c r="C303" s="3"/>
      <c r="D303" s="4"/>
      <c r="E303" s="4"/>
      <c r="F303" s="4"/>
      <c r="G303" s="4"/>
      <c r="H303" s="4"/>
      <c r="I303" s="4"/>
      <c r="J303" s="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25">
      <c r="A304" s="1"/>
      <c r="B304" s="2"/>
      <c r="C304" s="3"/>
      <c r="D304" s="4"/>
      <c r="E304" s="4"/>
      <c r="F304" s="4"/>
      <c r="G304" s="4"/>
      <c r="H304" s="4"/>
      <c r="I304" s="4"/>
      <c r="J304" s="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25">
      <c r="A305" s="1"/>
      <c r="B305" s="2"/>
      <c r="C305" s="3"/>
      <c r="D305" s="4"/>
      <c r="E305" s="4"/>
      <c r="F305" s="4"/>
      <c r="G305" s="4"/>
      <c r="H305" s="4"/>
      <c r="I305" s="4"/>
      <c r="J305" s="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25">
      <c r="A306" s="1"/>
      <c r="B306" s="2"/>
      <c r="C306" s="3"/>
      <c r="D306" s="4"/>
      <c r="E306" s="4"/>
      <c r="F306" s="4"/>
      <c r="G306" s="4"/>
      <c r="H306" s="4"/>
      <c r="I306" s="4"/>
      <c r="J306" s="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25">
      <c r="A307" s="1"/>
      <c r="B307" s="2"/>
      <c r="C307" s="3"/>
      <c r="D307" s="4"/>
      <c r="E307" s="4"/>
      <c r="F307" s="4"/>
      <c r="G307" s="4"/>
      <c r="H307" s="4"/>
      <c r="I307" s="4"/>
      <c r="J307" s="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25">
      <c r="A308" s="1"/>
      <c r="B308" s="2"/>
      <c r="C308" s="3"/>
      <c r="D308" s="4"/>
      <c r="E308" s="4"/>
      <c r="F308" s="4"/>
      <c r="G308" s="4"/>
      <c r="H308" s="4"/>
      <c r="I308" s="4"/>
      <c r="J308" s="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25">
      <c r="A309" s="1"/>
      <c r="B309" s="2"/>
      <c r="C309" s="3"/>
      <c r="D309" s="4"/>
      <c r="E309" s="4"/>
      <c r="F309" s="4"/>
      <c r="G309" s="4"/>
      <c r="H309" s="4"/>
      <c r="I309" s="4"/>
      <c r="J309" s="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25">
      <c r="A310" s="1"/>
      <c r="B310" s="2"/>
      <c r="C310" s="3"/>
      <c r="D310" s="4"/>
      <c r="E310" s="4"/>
      <c r="F310" s="4"/>
      <c r="G310" s="4"/>
      <c r="H310" s="4"/>
      <c r="I310" s="4"/>
      <c r="J310" s="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25">
      <c r="A311" s="1"/>
      <c r="B311" s="2"/>
      <c r="C311" s="3"/>
      <c r="D311" s="4"/>
      <c r="E311" s="4"/>
      <c r="F311" s="4"/>
      <c r="G311" s="4"/>
      <c r="H311" s="4"/>
      <c r="I311" s="4"/>
      <c r="J311" s="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25">
      <c r="A312" s="1"/>
      <c r="B312" s="2"/>
      <c r="C312" s="3"/>
      <c r="D312" s="4"/>
      <c r="E312" s="4"/>
      <c r="F312" s="4"/>
      <c r="G312" s="4"/>
      <c r="H312" s="4"/>
      <c r="I312" s="4"/>
      <c r="J312" s="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25">
      <c r="A313" s="1"/>
      <c r="B313" s="2"/>
      <c r="C313" s="3"/>
      <c r="D313" s="4"/>
      <c r="E313" s="4"/>
      <c r="F313" s="4"/>
      <c r="G313" s="4"/>
      <c r="H313" s="4"/>
      <c r="I313" s="4"/>
      <c r="J313" s="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25">
      <c r="A314" s="1"/>
      <c r="B314" s="2"/>
      <c r="C314" s="3"/>
      <c r="D314" s="4"/>
      <c r="E314" s="4"/>
      <c r="F314" s="4"/>
      <c r="G314" s="4"/>
      <c r="H314" s="4"/>
      <c r="I314" s="4"/>
      <c r="J314" s="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25">
      <c r="A315" s="1"/>
      <c r="B315" s="2"/>
      <c r="C315" s="3"/>
      <c r="D315" s="4"/>
      <c r="E315" s="4"/>
      <c r="F315" s="4"/>
      <c r="G315" s="4"/>
      <c r="H315" s="4"/>
      <c r="I315" s="4"/>
      <c r="J315" s="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25">
      <c r="A316" s="1"/>
      <c r="B316" s="2"/>
      <c r="C316" s="3"/>
      <c r="D316" s="4"/>
      <c r="E316" s="4"/>
      <c r="F316" s="4"/>
      <c r="G316" s="4"/>
      <c r="H316" s="4"/>
      <c r="I316" s="4"/>
      <c r="J316" s="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25">
      <c r="A317" s="1"/>
      <c r="B317" s="2"/>
      <c r="C317" s="3"/>
      <c r="D317" s="4"/>
      <c r="E317" s="4"/>
      <c r="F317" s="4"/>
      <c r="G317" s="4"/>
      <c r="H317" s="4"/>
      <c r="I317" s="4"/>
      <c r="J317" s="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25">
      <c r="A318" s="1"/>
      <c r="B318" s="2"/>
      <c r="C318" s="3"/>
      <c r="D318" s="4"/>
      <c r="E318" s="4"/>
      <c r="F318" s="4"/>
      <c r="G318" s="4"/>
      <c r="H318" s="4"/>
      <c r="I318" s="4"/>
      <c r="J318" s="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25">
      <c r="A319" s="1"/>
      <c r="B319" s="2"/>
      <c r="C319" s="3"/>
      <c r="D319" s="4"/>
      <c r="E319" s="4"/>
      <c r="F319" s="4"/>
      <c r="G319" s="4"/>
      <c r="H319" s="4"/>
      <c r="I319" s="4"/>
      <c r="J319" s="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25">
      <c r="A320" s="1"/>
      <c r="B320" s="2"/>
      <c r="C320" s="3"/>
      <c r="D320" s="4"/>
      <c r="E320" s="4"/>
      <c r="F320" s="4"/>
      <c r="G320" s="4"/>
      <c r="H320" s="4"/>
      <c r="I320" s="4"/>
      <c r="J320" s="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25">
      <c r="A321" s="1"/>
      <c r="B321" s="2"/>
      <c r="C321" s="3"/>
      <c r="D321" s="4"/>
      <c r="E321" s="4"/>
      <c r="F321" s="4"/>
      <c r="G321" s="4"/>
      <c r="H321" s="4"/>
      <c r="I321" s="4"/>
      <c r="J321" s="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25">
      <c r="A322" s="1"/>
      <c r="B322" s="2"/>
      <c r="C322" s="3"/>
      <c r="D322" s="4"/>
      <c r="E322" s="4"/>
      <c r="F322" s="4"/>
      <c r="G322" s="4"/>
      <c r="H322" s="4"/>
      <c r="I322" s="4"/>
      <c r="J322" s="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25">
      <c r="A323" s="1"/>
      <c r="B323" s="2"/>
      <c r="C323" s="3"/>
      <c r="D323" s="4"/>
      <c r="E323" s="4"/>
      <c r="F323" s="4"/>
      <c r="G323" s="4"/>
      <c r="H323" s="4"/>
      <c r="I323" s="4"/>
      <c r="J323" s="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25">
      <c r="A324" s="1"/>
      <c r="B324" s="2"/>
      <c r="C324" s="3"/>
      <c r="D324" s="4"/>
      <c r="E324" s="4"/>
      <c r="F324" s="4"/>
      <c r="G324" s="4"/>
      <c r="H324" s="4"/>
      <c r="I324" s="4"/>
      <c r="J324" s="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25">
      <c r="A325" s="1"/>
      <c r="B325" s="2"/>
      <c r="C325" s="3"/>
      <c r="D325" s="4"/>
      <c r="E325" s="4"/>
      <c r="F325" s="4"/>
      <c r="G325" s="4"/>
      <c r="H325" s="4"/>
      <c r="I325" s="4"/>
      <c r="J325" s="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25">
      <c r="A326" s="1"/>
      <c r="B326" s="2"/>
      <c r="C326" s="3"/>
      <c r="D326" s="4"/>
      <c r="E326" s="4"/>
      <c r="F326" s="4"/>
      <c r="G326" s="4"/>
      <c r="H326" s="4"/>
      <c r="I326" s="4"/>
      <c r="J326" s="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25">
      <c r="A327" s="1"/>
      <c r="B327" s="2"/>
      <c r="C327" s="3"/>
      <c r="D327" s="4"/>
      <c r="E327" s="4"/>
      <c r="F327" s="4"/>
      <c r="G327" s="4"/>
      <c r="H327" s="4"/>
      <c r="I327" s="4"/>
      <c r="J327" s="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25">
      <c r="A328" s="1"/>
      <c r="B328" s="2"/>
      <c r="C328" s="3"/>
      <c r="D328" s="4"/>
      <c r="E328" s="4"/>
      <c r="F328" s="4"/>
      <c r="G328" s="4"/>
      <c r="H328" s="4"/>
      <c r="I328" s="4"/>
      <c r="J328" s="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25">
      <c r="A329" s="1"/>
      <c r="B329" s="2"/>
      <c r="C329" s="3"/>
      <c r="D329" s="4"/>
      <c r="E329" s="4"/>
      <c r="F329" s="4"/>
      <c r="G329" s="4"/>
      <c r="H329" s="4"/>
      <c r="I329" s="4"/>
      <c r="J329" s="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25">
      <c r="A330" s="1"/>
      <c r="B330" s="2"/>
      <c r="C330" s="3"/>
      <c r="D330" s="4"/>
      <c r="E330" s="4"/>
      <c r="F330" s="4"/>
      <c r="G330" s="4"/>
      <c r="H330" s="4"/>
      <c r="I330" s="4"/>
      <c r="J330" s="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25">
      <c r="A331" s="1"/>
      <c r="B331" s="2"/>
      <c r="C331" s="3"/>
      <c r="D331" s="4"/>
      <c r="E331" s="4"/>
      <c r="F331" s="4"/>
      <c r="G331" s="4"/>
      <c r="H331" s="4"/>
      <c r="I331" s="4"/>
      <c r="J331" s="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25">
      <c r="A332" s="1"/>
      <c r="B332" s="2"/>
      <c r="C332" s="3"/>
      <c r="D332" s="4"/>
      <c r="E332" s="4"/>
      <c r="F332" s="4"/>
      <c r="G332" s="4"/>
      <c r="H332" s="4"/>
      <c r="I332" s="4"/>
      <c r="J332" s="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25">
      <c r="A333" s="1"/>
      <c r="B333" s="2"/>
      <c r="C333" s="3"/>
      <c r="D333" s="4"/>
      <c r="E333" s="4"/>
      <c r="F333" s="4"/>
      <c r="G333" s="4"/>
      <c r="H333" s="4"/>
      <c r="I333" s="4"/>
      <c r="J333" s="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25">
      <c r="A334" s="1"/>
      <c r="B334" s="2"/>
      <c r="C334" s="3"/>
      <c r="D334" s="4"/>
      <c r="E334" s="4"/>
      <c r="F334" s="4"/>
      <c r="G334" s="4"/>
      <c r="H334" s="4"/>
      <c r="I334" s="4"/>
      <c r="J334" s="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25">
      <c r="A335" s="1"/>
      <c r="B335" s="2"/>
      <c r="C335" s="3"/>
      <c r="D335" s="4"/>
      <c r="E335" s="4"/>
      <c r="F335" s="4"/>
      <c r="G335" s="4"/>
      <c r="H335" s="4"/>
      <c r="I335" s="4"/>
      <c r="J335" s="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25">
      <c r="A336" s="1"/>
      <c r="B336" s="2"/>
      <c r="C336" s="3"/>
      <c r="D336" s="4"/>
      <c r="E336" s="4"/>
      <c r="F336" s="4"/>
      <c r="G336" s="4"/>
      <c r="H336" s="4"/>
      <c r="I336" s="4"/>
      <c r="J336" s="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25">
      <c r="A337" s="1"/>
      <c r="B337" s="2"/>
      <c r="C337" s="3"/>
      <c r="D337" s="4"/>
      <c r="E337" s="4"/>
      <c r="F337" s="4"/>
      <c r="G337" s="4"/>
      <c r="H337" s="4"/>
      <c r="I337" s="4"/>
      <c r="J337" s="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25">
      <c r="A338" s="1"/>
      <c r="B338" s="2"/>
      <c r="C338" s="3"/>
      <c r="D338" s="4"/>
      <c r="E338" s="4"/>
      <c r="F338" s="4"/>
      <c r="G338" s="4"/>
      <c r="H338" s="4"/>
      <c r="I338" s="4"/>
      <c r="J338" s="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25">
      <c r="A339" s="1"/>
      <c r="B339" s="2"/>
      <c r="C339" s="3"/>
      <c r="D339" s="4"/>
      <c r="E339" s="4"/>
      <c r="F339" s="4"/>
      <c r="G339" s="4"/>
      <c r="H339" s="4"/>
      <c r="I339" s="4"/>
      <c r="J339" s="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25">
      <c r="A340" s="1"/>
      <c r="B340" s="2"/>
      <c r="C340" s="3"/>
      <c r="D340" s="4"/>
      <c r="E340" s="4"/>
      <c r="F340" s="4"/>
      <c r="G340" s="4"/>
      <c r="H340" s="4"/>
      <c r="I340" s="4"/>
      <c r="J340" s="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25">
      <c r="A341" s="1"/>
      <c r="B341" s="2"/>
      <c r="C341" s="3"/>
      <c r="D341" s="4"/>
      <c r="E341" s="4"/>
      <c r="F341" s="4"/>
      <c r="G341" s="4"/>
      <c r="H341" s="4"/>
      <c r="I341" s="4"/>
      <c r="J341" s="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25">
      <c r="A342" s="1"/>
      <c r="B342" s="2"/>
      <c r="C342" s="3"/>
      <c r="D342" s="4"/>
      <c r="E342" s="4"/>
      <c r="F342" s="4"/>
      <c r="G342" s="4"/>
      <c r="H342" s="4"/>
      <c r="I342" s="4"/>
      <c r="J342" s="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25">
      <c r="A343" s="1"/>
      <c r="B343" s="2"/>
      <c r="C343" s="3"/>
      <c r="D343" s="4"/>
      <c r="E343" s="4"/>
      <c r="F343" s="4"/>
      <c r="G343" s="4"/>
      <c r="H343" s="4"/>
      <c r="I343" s="4"/>
      <c r="J343" s="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25">
      <c r="A344" s="1"/>
      <c r="B344" s="2"/>
      <c r="C344" s="3"/>
      <c r="D344" s="4"/>
      <c r="E344" s="4"/>
      <c r="F344" s="4"/>
      <c r="G344" s="4"/>
      <c r="H344" s="4"/>
      <c r="I344" s="4"/>
      <c r="J344" s="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25">
      <c r="A345" s="1"/>
      <c r="B345" s="2"/>
      <c r="C345" s="3"/>
      <c r="D345" s="4"/>
      <c r="E345" s="4"/>
      <c r="F345" s="4"/>
      <c r="G345" s="4"/>
      <c r="H345" s="4"/>
      <c r="I345" s="4"/>
      <c r="J345" s="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25">
      <c r="A346" s="1"/>
      <c r="B346" s="2"/>
      <c r="C346" s="3"/>
      <c r="D346" s="4"/>
      <c r="E346" s="4"/>
      <c r="F346" s="4"/>
      <c r="G346" s="4"/>
      <c r="H346" s="4"/>
      <c r="I346" s="4"/>
      <c r="J346" s="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25">
      <c r="A347" s="1"/>
      <c r="B347" s="2"/>
      <c r="C347" s="3"/>
      <c r="D347" s="4"/>
      <c r="E347" s="4"/>
      <c r="F347" s="4"/>
      <c r="G347" s="4"/>
      <c r="H347" s="4"/>
      <c r="I347" s="4"/>
      <c r="J347" s="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25">
      <c r="A348" s="1"/>
      <c r="B348" s="2"/>
      <c r="C348" s="3"/>
      <c r="D348" s="4"/>
      <c r="E348" s="4"/>
      <c r="F348" s="4"/>
      <c r="G348" s="4"/>
      <c r="H348" s="4"/>
      <c r="I348" s="4"/>
      <c r="J348" s="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25">
      <c r="A349" s="1"/>
      <c r="B349" s="2"/>
      <c r="C349" s="3"/>
      <c r="D349" s="4"/>
      <c r="E349" s="4"/>
      <c r="F349" s="4"/>
      <c r="G349" s="4"/>
      <c r="H349" s="4"/>
      <c r="I349" s="4"/>
      <c r="J349" s="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25">
      <c r="A350" s="1"/>
      <c r="B350" s="2"/>
      <c r="C350" s="3"/>
      <c r="D350" s="4"/>
      <c r="E350" s="4"/>
      <c r="F350" s="4"/>
      <c r="G350" s="4"/>
      <c r="H350" s="4"/>
      <c r="I350" s="4"/>
      <c r="J350" s="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25">
      <c r="A351" s="1"/>
      <c r="B351" s="2"/>
      <c r="C351" s="3"/>
      <c r="D351" s="4"/>
      <c r="E351" s="4"/>
      <c r="F351" s="4"/>
      <c r="G351" s="4"/>
      <c r="H351" s="4"/>
      <c r="I351" s="4"/>
      <c r="J351" s="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25">
      <c r="A352" s="1"/>
      <c r="B352" s="2"/>
      <c r="C352" s="3"/>
      <c r="D352" s="4"/>
      <c r="E352" s="4"/>
      <c r="F352" s="4"/>
      <c r="G352" s="4"/>
      <c r="H352" s="4"/>
      <c r="I352" s="4"/>
      <c r="J352" s="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25">
      <c r="A353" s="1"/>
      <c r="B353" s="2"/>
      <c r="C353" s="3"/>
      <c r="D353" s="4"/>
      <c r="E353" s="4"/>
      <c r="F353" s="4"/>
      <c r="G353" s="4"/>
      <c r="H353" s="4"/>
      <c r="I353" s="4"/>
      <c r="J353" s="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25">
      <c r="A354" s="1"/>
      <c r="B354" s="2"/>
      <c r="C354" s="3"/>
      <c r="D354" s="4"/>
      <c r="E354" s="4"/>
      <c r="F354" s="4"/>
      <c r="G354" s="4"/>
      <c r="H354" s="4"/>
      <c r="I354" s="4"/>
      <c r="J354" s="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25">
      <c r="A355" s="1"/>
      <c r="B355" s="2"/>
      <c r="C355" s="3"/>
      <c r="D355" s="4"/>
      <c r="E355" s="4"/>
      <c r="F355" s="4"/>
      <c r="G355" s="4"/>
      <c r="H355" s="4"/>
      <c r="I355" s="4"/>
      <c r="J355" s="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25">
      <c r="A356" s="1"/>
      <c r="B356" s="2"/>
      <c r="C356" s="3"/>
      <c r="D356" s="4"/>
      <c r="E356" s="4"/>
      <c r="F356" s="4"/>
      <c r="G356" s="4"/>
      <c r="H356" s="4"/>
      <c r="I356" s="4"/>
      <c r="J356" s="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25">
      <c r="A357" s="1"/>
      <c r="B357" s="2"/>
      <c r="C357" s="3"/>
      <c r="D357" s="4"/>
      <c r="E357" s="4"/>
      <c r="F357" s="4"/>
      <c r="G357" s="4"/>
      <c r="H357" s="4"/>
      <c r="I357" s="4"/>
      <c r="J357" s="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25">
      <c r="A358" s="1"/>
      <c r="B358" s="2"/>
      <c r="C358" s="3"/>
      <c r="D358" s="4"/>
      <c r="E358" s="4"/>
      <c r="F358" s="4"/>
      <c r="G358" s="4"/>
      <c r="H358" s="4"/>
      <c r="I358" s="4"/>
      <c r="J358" s="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25">
      <c r="A359" s="1"/>
      <c r="B359" s="2"/>
      <c r="C359" s="3"/>
      <c r="D359" s="4"/>
      <c r="E359" s="4"/>
      <c r="F359" s="4"/>
      <c r="G359" s="4"/>
      <c r="H359" s="4"/>
      <c r="I359" s="4"/>
      <c r="J359" s="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25">
      <c r="A360" s="1"/>
      <c r="B360" s="2"/>
      <c r="C360" s="3"/>
      <c r="D360" s="4"/>
      <c r="E360" s="4"/>
      <c r="F360" s="4"/>
      <c r="G360" s="4"/>
      <c r="H360" s="4"/>
      <c r="I360" s="4"/>
      <c r="J360" s="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25">
      <c r="A361" s="1"/>
      <c r="B361" s="2"/>
      <c r="C361" s="3"/>
      <c r="D361" s="4"/>
      <c r="E361" s="4"/>
      <c r="F361" s="4"/>
      <c r="G361" s="4"/>
      <c r="H361" s="4"/>
      <c r="I361" s="4"/>
      <c r="J361" s="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25">
      <c r="A362" s="1"/>
      <c r="B362" s="2"/>
      <c r="C362" s="3"/>
      <c r="D362" s="4"/>
      <c r="E362" s="4"/>
      <c r="F362" s="4"/>
      <c r="G362" s="4"/>
      <c r="H362" s="4"/>
      <c r="I362" s="4"/>
      <c r="J362" s="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25">
      <c r="A363" s="1"/>
      <c r="B363" s="2"/>
      <c r="C363" s="3"/>
      <c r="D363" s="4"/>
      <c r="E363" s="4"/>
      <c r="F363" s="4"/>
      <c r="G363" s="4"/>
      <c r="H363" s="4"/>
      <c r="I363" s="4"/>
      <c r="J363" s="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25">
      <c r="A364" s="1"/>
      <c r="B364" s="2"/>
      <c r="C364" s="3"/>
      <c r="D364" s="4"/>
      <c r="E364" s="4"/>
      <c r="F364" s="4"/>
      <c r="G364" s="4"/>
      <c r="H364" s="4"/>
      <c r="I364" s="4"/>
      <c r="J364" s="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25">
      <c r="A365" s="1"/>
      <c r="B365" s="2"/>
      <c r="C365" s="3"/>
      <c r="D365" s="4"/>
      <c r="E365" s="4"/>
      <c r="F365" s="4"/>
      <c r="G365" s="4"/>
      <c r="H365" s="4"/>
      <c r="I365" s="4"/>
      <c r="J365" s="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25">
      <c r="A366" s="1"/>
      <c r="B366" s="2"/>
      <c r="C366" s="3"/>
      <c r="D366" s="4"/>
      <c r="E366" s="4"/>
      <c r="F366" s="4"/>
      <c r="G366" s="4"/>
      <c r="H366" s="4"/>
      <c r="I366" s="4"/>
      <c r="J366" s="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25">
      <c r="A367" s="1"/>
      <c r="B367" s="2"/>
      <c r="C367" s="3"/>
      <c r="D367" s="4"/>
      <c r="E367" s="4"/>
      <c r="F367" s="4"/>
      <c r="G367" s="4"/>
      <c r="H367" s="4"/>
      <c r="I367" s="4"/>
      <c r="J367" s="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25">
      <c r="A368" s="1"/>
      <c r="B368" s="2"/>
      <c r="C368" s="3"/>
      <c r="D368" s="4"/>
      <c r="E368" s="4"/>
      <c r="F368" s="4"/>
      <c r="G368" s="4"/>
      <c r="H368" s="4"/>
      <c r="I368" s="4"/>
      <c r="J368" s="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25">
      <c r="A369" s="1"/>
      <c r="B369" s="2"/>
      <c r="C369" s="3"/>
      <c r="D369" s="4"/>
      <c r="E369" s="4"/>
      <c r="F369" s="4"/>
      <c r="G369" s="4"/>
      <c r="H369" s="4"/>
      <c r="I369" s="4"/>
      <c r="J369" s="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25">
      <c r="A370" s="1"/>
      <c r="B370" s="2"/>
      <c r="C370" s="3"/>
      <c r="D370" s="4"/>
      <c r="E370" s="4"/>
      <c r="F370" s="4"/>
      <c r="G370" s="4"/>
      <c r="H370" s="4"/>
      <c r="I370" s="4"/>
      <c r="J370" s="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25">
      <c r="A371" s="1"/>
      <c r="B371" s="2"/>
      <c r="C371" s="3"/>
      <c r="D371" s="4"/>
      <c r="E371" s="4"/>
      <c r="F371" s="4"/>
      <c r="G371" s="4"/>
      <c r="H371" s="4"/>
      <c r="I371" s="4"/>
      <c r="J371" s="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25">
      <c r="A372" s="1"/>
      <c r="B372" s="2"/>
      <c r="C372" s="3"/>
      <c r="D372" s="4"/>
      <c r="E372" s="4"/>
      <c r="F372" s="4"/>
      <c r="G372" s="4"/>
      <c r="H372" s="4"/>
      <c r="I372" s="4"/>
      <c r="J372" s="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25">
      <c r="A373" s="1"/>
      <c r="B373" s="2"/>
      <c r="C373" s="3"/>
      <c r="D373" s="4"/>
      <c r="E373" s="4"/>
      <c r="F373" s="4"/>
      <c r="G373" s="4"/>
      <c r="H373" s="4"/>
      <c r="I373" s="4"/>
      <c r="J373" s="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25">
      <c r="A374" s="1"/>
      <c r="B374" s="2"/>
      <c r="C374" s="3"/>
      <c r="D374" s="4"/>
      <c r="E374" s="4"/>
      <c r="F374" s="4"/>
      <c r="G374" s="4"/>
      <c r="H374" s="4"/>
      <c r="I374" s="4"/>
      <c r="J374" s="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25">
      <c r="A375" s="1"/>
      <c r="B375" s="2"/>
      <c r="C375" s="3"/>
      <c r="D375" s="4"/>
      <c r="E375" s="4"/>
      <c r="F375" s="4"/>
      <c r="G375" s="4"/>
      <c r="H375" s="4"/>
      <c r="I375" s="4"/>
      <c r="J375" s="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25">
      <c r="A376" s="1"/>
      <c r="B376" s="2"/>
      <c r="C376" s="3"/>
      <c r="D376" s="4"/>
      <c r="E376" s="4"/>
      <c r="F376" s="4"/>
      <c r="G376" s="4"/>
      <c r="H376" s="4"/>
      <c r="I376" s="4"/>
      <c r="J376" s="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25">
      <c r="A377" s="1"/>
      <c r="B377" s="2"/>
      <c r="C377" s="3"/>
      <c r="D377" s="4"/>
      <c r="E377" s="4"/>
      <c r="F377" s="4"/>
      <c r="G377" s="4"/>
      <c r="H377" s="4"/>
      <c r="I377" s="4"/>
      <c r="J377" s="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25">
      <c r="A378" s="1"/>
      <c r="B378" s="2"/>
      <c r="C378" s="3"/>
      <c r="D378" s="4"/>
      <c r="E378" s="4"/>
      <c r="F378" s="4"/>
      <c r="G378" s="4"/>
      <c r="H378" s="4"/>
      <c r="I378" s="4"/>
      <c r="J378" s="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25">
      <c r="A379" s="1"/>
      <c r="B379" s="2"/>
      <c r="C379" s="3"/>
      <c r="D379" s="4"/>
      <c r="E379" s="4"/>
      <c r="F379" s="4"/>
      <c r="G379" s="4"/>
      <c r="H379" s="4"/>
      <c r="I379" s="4"/>
      <c r="J379" s="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25">
      <c r="A380" s="1"/>
      <c r="B380" s="2"/>
      <c r="C380" s="3"/>
      <c r="D380" s="4"/>
      <c r="E380" s="4"/>
      <c r="F380" s="4"/>
      <c r="G380" s="4"/>
      <c r="H380" s="4"/>
      <c r="I380" s="4"/>
      <c r="J380" s="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25">
      <c r="A381" s="1"/>
      <c r="B381" s="2"/>
      <c r="C381" s="3"/>
      <c r="D381" s="4"/>
      <c r="E381" s="4"/>
      <c r="F381" s="4"/>
      <c r="G381" s="4"/>
      <c r="H381" s="4"/>
      <c r="I381" s="4"/>
      <c r="J381" s="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25">
      <c r="A382" s="1"/>
      <c r="B382" s="2"/>
      <c r="C382" s="3"/>
      <c r="D382" s="4"/>
      <c r="E382" s="4"/>
      <c r="F382" s="4"/>
      <c r="G382" s="4"/>
      <c r="H382" s="4"/>
      <c r="I382" s="4"/>
      <c r="J382" s="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25">
      <c r="A383" s="1"/>
      <c r="B383" s="2"/>
      <c r="C383" s="3"/>
      <c r="D383" s="4"/>
      <c r="E383" s="4"/>
      <c r="F383" s="4"/>
      <c r="G383" s="4"/>
      <c r="H383" s="4"/>
      <c r="I383" s="4"/>
      <c r="J383" s="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25">
      <c r="A384" s="1"/>
      <c r="B384" s="2"/>
      <c r="C384" s="3"/>
      <c r="D384" s="4"/>
      <c r="E384" s="4"/>
      <c r="F384" s="4"/>
      <c r="G384" s="4"/>
      <c r="H384" s="4"/>
      <c r="I384" s="4"/>
      <c r="J384" s="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25">
      <c r="A385" s="1"/>
      <c r="B385" s="2"/>
      <c r="C385" s="3"/>
      <c r="D385" s="4"/>
      <c r="E385" s="4"/>
      <c r="F385" s="4"/>
      <c r="G385" s="4"/>
      <c r="H385" s="4"/>
      <c r="I385" s="4"/>
      <c r="J385" s="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25">
      <c r="A386" s="1"/>
      <c r="B386" s="2"/>
      <c r="C386" s="3"/>
      <c r="D386" s="4"/>
      <c r="E386" s="4"/>
      <c r="F386" s="4"/>
      <c r="G386" s="4"/>
      <c r="H386" s="4"/>
      <c r="I386" s="4"/>
      <c r="J386" s="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25">
      <c r="A387" s="1"/>
      <c r="B387" s="2"/>
      <c r="C387" s="3"/>
      <c r="D387" s="4"/>
      <c r="E387" s="4"/>
      <c r="F387" s="4"/>
      <c r="G387" s="4"/>
      <c r="H387" s="4"/>
      <c r="I387" s="4"/>
      <c r="J387" s="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25">
      <c r="A388" s="1"/>
      <c r="B388" s="2"/>
      <c r="C388" s="3"/>
      <c r="D388" s="4"/>
      <c r="E388" s="4"/>
      <c r="F388" s="4"/>
      <c r="G388" s="4"/>
      <c r="H388" s="4"/>
      <c r="I388" s="4"/>
      <c r="J388" s="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25">
      <c r="A389" s="1"/>
      <c r="B389" s="2"/>
      <c r="C389" s="3"/>
      <c r="D389" s="4"/>
      <c r="E389" s="4"/>
      <c r="F389" s="4"/>
      <c r="G389" s="4"/>
      <c r="H389" s="4"/>
      <c r="I389" s="4"/>
      <c r="J389" s="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25">
      <c r="A390" s="1"/>
      <c r="B390" s="2"/>
      <c r="C390" s="3"/>
      <c r="D390" s="4"/>
      <c r="E390" s="4"/>
      <c r="F390" s="4"/>
      <c r="G390" s="4"/>
      <c r="H390" s="4"/>
      <c r="I390" s="4"/>
      <c r="J390" s="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25">
      <c r="A391" s="1"/>
      <c r="B391" s="2"/>
      <c r="C391" s="3"/>
      <c r="D391" s="4"/>
      <c r="E391" s="4"/>
      <c r="F391" s="4"/>
      <c r="G391" s="4"/>
      <c r="H391" s="4"/>
      <c r="I391" s="4"/>
      <c r="J391" s="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25">
      <c r="A392" s="1"/>
      <c r="B392" s="2"/>
      <c r="C392" s="3"/>
      <c r="D392" s="4"/>
      <c r="E392" s="4"/>
      <c r="F392" s="4"/>
      <c r="G392" s="4"/>
      <c r="H392" s="4"/>
      <c r="I392" s="4"/>
      <c r="J392" s="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25">
      <c r="A393" s="1"/>
      <c r="B393" s="2"/>
      <c r="C393" s="3"/>
      <c r="D393" s="4"/>
      <c r="E393" s="4"/>
      <c r="F393" s="4"/>
      <c r="G393" s="4"/>
      <c r="H393" s="4"/>
      <c r="I393" s="4"/>
      <c r="J393" s="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25">
      <c r="A394" s="1"/>
      <c r="B394" s="2"/>
      <c r="C394" s="3"/>
      <c r="D394" s="4"/>
      <c r="E394" s="4"/>
      <c r="F394" s="4"/>
      <c r="G394" s="4"/>
      <c r="H394" s="4"/>
      <c r="I394" s="4"/>
      <c r="J394" s="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25">
      <c r="A395" s="1"/>
      <c r="B395" s="2"/>
      <c r="C395" s="3"/>
      <c r="D395" s="4"/>
      <c r="E395" s="4"/>
      <c r="F395" s="4"/>
      <c r="G395" s="4"/>
      <c r="H395" s="4"/>
      <c r="I395" s="4"/>
      <c r="J395" s="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25">
      <c r="A396" s="1"/>
      <c r="B396" s="2"/>
      <c r="C396" s="3"/>
      <c r="D396" s="4"/>
      <c r="E396" s="4"/>
      <c r="F396" s="4"/>
      <c r="G396" s="4"/>
      <c r="H396" s="4"/>
      <c r="I396" s="4"/>
      <c r="J396" s="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25">
      <c r="A397" s="1"/>
      <c r="B397" s="2"/>
      <c r="C397" s="3"/>
      <c r="D397" s="4"/>
      <c r="E397" s="4"/>
      <c r="F397" s="4"/>
      <c r="G397" s="4"/>
      <c r="H397" s="4"/>
      <c r="I397" s="4"/>
      <c r="J397" s="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25">
      <c r="A398" s="1"/>
      <c r="B398" s="2"/>
      <c r="C398" s="3"/>
      <c r="D398" s="4"/>
      <c r="E398" s="4"/>
      <c r="F398" s="4"/>
      <c r="G398" s="4"/>
      <c r="H398" s="4"/>
      <c r="I398" s="4"/>
      <c r="J398" s="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25">
      <c r="A399" s="1"/>
      <c r="B399" s="2"/>
      <c r="C399" s="3"/>
      <c r="D399" s="4"/>
      <c r="E399" s="4"/>
      <c r="F399" s="4"/>
      <c r="G399" s="4"/>
      <c r="H399" s="4"/>
      <c r="I399" s="4"/>
      <c r="J399" s="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25">
      <c r="A400" s="1"/>
      <c r="B400" s="2"/>
      <c r="C400" s="3"/>
      <c r="D400" s="4"/>
      <c r="E400" s="4"/>
      <c r="F400" s="4"/>
      <c r="G400" s="4"/>
      <c r="H400" s="4"/>
      <c r="I400" s="4"/>
      <c r="J400" s="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25">
      <c r="A401" s="1"/>
      <c r="B401" s="2"/>
      <c r="C401" s="3"/>
      <c r="D401" s="4"/>
      <c r="E401" s="4"/>
      <c r="F401" s="4"/>
      <c r="G401" s="4"/>
      <c r="H401" s="4"/>
      <c r="I401" s="4"/>
      <c r="J401" s="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25">
      <c r="A402" s="1"/>
      <c r="B402" s="2"/>
      <c r="C402" s="3"/>
      <c r="D402" s="4"/>
      <c r="E402" s="4"/>
      <c r="F402" s="4"/>
      <c r="G402" s="4"/>
      <c r="H402" s="4"/>
      <c r="I402" s="4"/>
      <c r="J402" s="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25">
      <c r="A403" s="1"/>
      <c r="B403" s="2"/>
      <c r="C403" s="3"/>
      <c r="D403" s="4"/>
      <c r="E403" s="4"/>
      <c r="F403" s="4"/>
      <c r="G403" s="4"/>
      <c r="H403" s="4"/>
      <c r="I403" s="4"/>
      <c r="J403" s="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25">
      <c r="A404" s="1"/>
      <c r="B404" s="2"/>
      <c r="C404" s="3"/>
      <c r="D404" s="4"/>
      <c r="E404" s="4"/>
      <c r="F404" s="4"/>
      <c r="G404" s="4"/>
      <c r="H404" s="4"/>
      <c r="I404" s="4"/>
      <c r="J404" s="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25">
      <c r="A405" s="1"/>
      <c r="B405" s="2"/>
      <c r="C405" s="3"/>
      <c r="D405" s="4"/>
      <c r="E405" s="4"/>
      <c r="F405" s="4"/>
      <c r="G405" s="4"/>
      <c r="H405" s="4"/>
      <c r="I405" s="4"/>
      <c r="J405" s="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25">
      <c r="A406" s="1"/>
      <c r="B406" s="2"/>
      <c r="C406" s="3"/>
      <c r="D406" s="4"/>
      <c r="E406" s="4"/>
      <c r="F406" s="4"/>
      <c r="G406" s="4"/>
      <c r="H406" s="4"/>
      <c r="I406" s="4"/>
      <c r="J406" s="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25">
      <c r="A407" s="1"/>
      <c r="B407" s="2"/>
      <c r="C407" s="3"/>
      <c r="D407" s="4"/>
      <c r="E407" s="4"/>
      <c r="F407" s="4"/>
      <c r="G407" s="4"/>
      <c r="H407" s="4"/>
      <c r="I407" s="4"/>
      <c r="J407" s="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25">
      <c r="A408" s="1"/>
      <c r="B408" s="2"/>
      <c r="C408" s="3"/>
      <c r="D408" s="4"/>
      <c r="E408" s="4"/>
      <c r="F408" s="4"/>
      <c r="G408" s="4"/>
      <c r="H408" s="4"/>
      <c r="I408" s="4"/>
      <c r="J408" s="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25">
      <c r="A409" s="1"/>
      <c r="B409" s="2"/>
      <c r="C409" s="3"/>
      <c r="D409" s="4"/>
      <c r="E409" s="4"/>
      <c r="F409" s="4"/>
      <c r="G409" s="4"/>
      <c r="H409" s="4"/>
      <c r="I409" s="4"/>
      <c r="J409" s="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25">
      <c r="A410" s="1"/>
      <c r="B410" s="2"/>
      <c r="C410" s="3"/>
      <c r="D410" s="4"/>
      <c r="E410" s="4"/>
      <c r="F410" s="4"/>
      <c r="G410" s="4"/>
      <c r="H410" s="4"/>
      <c r="I410" s="4"/>
      <c r="J410" s="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25">
      <c r="A411" s="1"/>
      <c r="B411" s="2"/>
      <c r="C411" s="3"/>
      <c r="D411" s="4"/>
      <c r="E411" s="4"/>
      <c r="F411" s="4"/>
      <c r="G411" s="4"/>
      <c r="H411" s="4"/>
      <c r="I411" s="4"/>
      <c r="J411" s="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25">
      <c r="A412" s="1"/>
      <c r="B412" s="2"/>
      <c r="C412" s="3"/>
      <c r="D412" s="4"/>
      <c r="E412" s="4"/>
      <c r="F412" s="4"/>
      <c r="G412" s="4"/>
      <c r="H412" s="4"/>
      <c r="I412" s="4"/>
      <c r="J412" s="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25">
      <c r="A413" s="1"/>
      <c r="B413" s="2"/>
      <c r="C413" s="3"/>
      <c r="D413" s="4"/>
      <c r="E413" s="4"/>
      <c r="F413" s="4"/>
      <c r="G413" s="4"/>
      <c r="H413" s="4"/>
      <c r="I413" s="4"/>
      <c r="J413" s="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25">
      <c r="A414" s="1"/>
      <c r="B414" s="2"/>
      <c r="C414" s="3"/>
      <c r="D414" s="4"/>
      <c r="E414" s="4"/>
      <c r="F414" s="4"/>
      <c r="G414" s="4"/>
      <c r="H414" s="4"/>
      <c r="I414" s="4"/>
      <c r="J414" s="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25">
      <c r="A415" s="1"/>
      <c r="B415" s="2"/>
      <c r="C415" s="3"/>
      <c r="D415" s="4"/>
      <c r="E415" s="4"/>
      <c r="F415" s="4"/>
      <c r="G415" s="4"/>
      <c r="H415" s="4"/>
      <c r="I415" s="4"/>
      <c r="J415" s="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25">
      <c r="A416" s="1"/>
      <c r="B416" s="2"/>
      <c r="C416" s="3"/>
      <c r="D416" s="4"/>
      <c r="E416" s="4"/>
      <c r="F416" s="4"/>
      <c r="G416" s="4"/>
      <c r="H416" s="4"/>
      <c r="I416" s="4"/>
      <c r="J416" s="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25">
      <c r="A417" s="1"/>
      <c r="B417" s="2"/>
      <c r="C417" s="3"/>
      <c r="D417" s="4"/>
      <c r="E417" s="4"/>
      <c r="F417" s="4"/>
      <c r="G417" s="4"/>
      <c r="H417" s="4"/>
      <c r="I417" s="4"/>
      <c r="J417" s="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25">
      <c r="A418" s="1"/>
      <c r="B418" s="2"/>
      <c r="C418" s="3"/>
      <c r="D418" s="4"/>
      <c r="E418" s="4"/>
      <c r="F418" s="4"/>
      <c r="G418" s="4"/>
      <c r="H418" s="4"/>
      <c r="I418" s="4"/>
      <c r="J418" s="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25">
      <c r="A419" s="1"/>
      <c r="B419" s="2"/>
      <c r="C419" s="3"/>
      <c r="D419" s="4"/>
      <c r="E419" s="4"/>
      <c r="F419" s="4"/>
      <c r="G419" s="4"/>
      <c r="H419" s="4"/>
      <c r="I419" s="4"/>
      <c r="J419" s="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25">
      <c r="A420" s="1"/>
      <c r="B420" s="2"/>
      <c r="C420" s="3"/>
      <c r="D420" s="4"/>
      <c r="E420" s="4"/>
      <c r="F420" s="4"/>
      <c r="G420" s="4"/>
      <c r="H420" s="4"/>
      <c r="I420" s="4"/>
      <c r="J420" s="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25">
      <c r="A421" s="1"/>
      <c r="B421" s="2"/>
      <c r="C421" s="3"/>
      <c r="D421" s="4"/>
      <c r="E421" s="4"/>
      <c r="F421" s="4"/>
      <c r="G421" s="4"/>
      <c r="H421" s="4"/>
      <c r="I421" s="4"/>
      <c r="J421" s="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25">
      <c r="A422" s="1"/>
      <c r="B422" s="2"/>
      <c r="C422" s="3"/>
      <c r="D422" s="4"/>
      <c r="E422" s="4"/>
      <c r="F422" s="4"/>
      <c r="G422" s="4"/>
      <c r="H422" s="4"/>
      <c r="I422" s="4"/>
      <c r="J422" s="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25">
      <c r="A423" s="1"/>
      <c r="B423" s="2"/>
      <c r="C423" s="3"/>
      <c r="D423" s="4"/>
      <c r="E423" s="4"/>
      <c r="F423" s="4"/>
      <c r="G423" s="4"/>
      <c r="H423" s="4"/>
      <c r="I423" s="4"/>
      <c r="J423" s="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25">
      <c r="A424" s="1"/>
      <c r="B424" s="2"/>
      <c r="C424" s="3"/>
      <c r="D424" s="4"/>
      <c r="E424" s="4"/>
      <c r="F424" s="4"/>
      <c r="G424" s="4"/>
      <c r="H424" s="4"/>
      <c r="I424" s="4"/>
      <c r="J424" s="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25">
      <c r="A425" s="1"/>
      <c r="B425" s="2"/>
      <c r="C425" s="3"/>
      <c r="D425" s="4"/>
      <c r="E425" s="4"/>
      <c r="F425" s="4"/>
      <c r="G425" s="4"/>
      <c r="H425" s="4"/>
      <c r="I425" s="4"/>
      <c r="J425" s="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25">
      <c r="A426" s="1"/>
      <c r="B426" s="2"/>
      <c r="C426" s="3"/>
      <c r="D426" s="4"/>
      <c r="E426" s="4"/>
      <c r="F426" s="4"/>
      <c r="G426" s="4"/>
      <c r="H426" s="4"/>
      <c r="I426" s="4"/>
      <c r="J426" s="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25">
      <c r="A427" s="1"/>
      <c r="B427" s="2"/>
      <c r="C427" s="3"/>
      <c r="D427" s="4"/>
      <c r="E427" s="4"/>
      <c r="F427" s="4"/>
      <c r="G427" s="4"/>
      <c r="H427" s="4"/>
      <c r="I427" s="4"/>
      <c r="J427" s="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25">
      <c r="A428" s="1"/>
      <c r="B428" s="2"/>
      <c r="C428" s="3"/>
      <c r="D428" s="4"/>
      <c r="E428" s="4"/>
      <c r="F428" s="4"/>
      <c r="G428" s="4"/>
      <c r="H428" s="4"/>
      <c r="I428" s="4"/>
      <c r="J428" s="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25">
      <c r="A429" s="1"/>
      <c r="B429" s="2"/>
      <c r="C429" s="3"/>
      <c r="D429" s="4"/>
      <c r="E429" s="4"/>
      <c r="F429" s="4"/>
      <c r="G429" s="4"/>
      <c r="H429" s="4"/>
      <c r="I429" s="4"/>
      <c r="J429" s="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25">
      <c r="A430" s="1"/>
      <c r="B430" s="2"/>
      <c r="C430" s="3"/>
      <c r="D430" s="4"/>
      <c r="E430" s="4"/>
      <c r="F430" s="4"/>
      <c r="G430" s="4"/>
      <c r="H430" s="4"/>
      <c r="I430" s="4"/>
      <c r="J430" s="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25">
      <c r="A431" s="1"/>
      <c r="B431" s="2"/>
      <c r="C431" s="3"/>
      <c r="D431" s="4"/>
      <c r="E431" s="4"/>
      <c r="F431" s="4"/>
      <c r="G431" s="4"/>
      <c r="H431" s="4"/>
      <c r="I431" s="4"/>
      <c r="J431" s="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25">
      <c r="A432" s="1"/>
      <c r="B432" s="2"/>
      <c r="C432" s="3"/>
      <c r="D432" s="4"/>
      <c r="E432" s="4"/>
      <c r="F432" s="4"/>
      <c r="G432" s="4"/>
      <c r="H432" s="4"/>
      <c r="I432" s="4"/>
      <c r="J432" s="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25">
      <c r="A433" s="1"/>
      <c r="B433" s="2"/>
      <c r="C433" s="3"/>
      <c r="D433" s="4"/>
      <c r="E433" s="4"/>
      <c r="F433" s="4"/>
      <c r="G433" s="4"/>
      <c r="H433" s="4"/>
      <c r="I433" s="4"/>
      <c r="J433" s="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25">
      <c r="A434" s="1"/>
      <c r="B434" s="2"/>
      <c r="C434" s="3"/>
      <c r="D434" s="4"/>
      <c r="E434" s="4"/>
      <c r="F434" s="4"/>
      <c r="G434" s="4"/>
      <c r="H434" s="4"/>
      <c r="I434" s="4"/>
      <c r="J434" s="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25">
      <c r="A435" s="1"/>
      <c r="B435" s="2"/>
      <c r="C435" s="3"/>
      <c r="D435" s="4"/>
      <c r="E435" s="4"/>
      <c r="F435" s="4"/>
      <c r="G435" s="4"/>
      <c r="H435" s="4"/>
      <c r="I435" s="4"/>
      <c r="J435" s="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25">
      <c r="A436" s="1"/>
      <c r="B436" s="2"/>
      <c r="C436" s="3"/>
      <c r="D436" s="4"/>
      <c r="E436" s="4"/>
      <c r="F436" s="4"/>
      <c r="G436" s="4"/>
      <c r="H436" s="4"/>
      <c r="I436" s="4"/>
      <c r="J436" s="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25">
      <c r="A437" s="1"/>
      <c r="B437" s="2"/>
      <c r="C437" s="3"/>
      <c r="D437" s="4"/>
      <c r="E437" s="4"/>
      <c r="F437" s="4"/>
      <c r="G437" s="4"/>
      <c r="H437" s="4"/>
      <c r="I437" s="4"/>
      <c r="J437" s="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25">
      <c r="A438" s="1"/>
      <c r="B438" s="2"/>
      <c r="C438" s="3"/>
      <c r="D438" s="4"/>
      <c r="E438" s="4"/>
      <c r="F438" s="4"/>
      <c r="G438" s="4"/>
      <c r="H438" s="4"/>
      <c r="I438" s="4"/>
      <c r="J438" s="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25">
      <c r="A439" s="1"/>
      <c r="B439" s="2"/>
      <c r="C439" s="3"/>
      <c r="D439" s="4"/>
      <c r="E439" s="4"/>
      <c r="F439" s="4"/>
      <c r="G439" s="4"/>
      <c r="H439" s="4"/>
      <c r="I439" s="4"/>
      <c r="J439" s="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25">
      <c r="A440" s="1"/>
      <c r="B440" s="2"/>
      <c r="C440" s="3"/>
      <c r="D440" s="4"/>
      <c r="E440" s="4"/>
      <c r="F440" s="4"/>
      <c r="G440" s="4"/>
      <c r="H440" s="4"/>
      <c r="I440" s="4"/>
      <c r="J440" s="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25">
      <c r="A441" s="1"/>
      <c r="B441" s="2"/>
      <c r="C441" s="3"/>
      <c r="D441" s="4"/>
      <c r="E441" s="4"/>
      <c r="F441" s="4"/>
      <c r="G441" s="4"/>
      <c r="H441" s="4"/>
      <c r="I441" s="4"/>
      <c r="J441" s="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25">
      <c r="A442" s="1"/>
      <c r="B442" s="2"/>
      <c r="C442" s="3"/>
      <c r="D442" s="4"/>
      <c r="E442" s="4"/>
      <c r="F442" s="4"/>
      <c r="G442" s="4"/>
      <c r="H442" s="4"/>
      <c r="I442" s="4"/>
      <c r="J442" s="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25">
      <c r="A443" s="1"/>
      <c r="B443" s="2"/>
      <c r="C443" s="3"/>
      <c r="D443" s="4"/>
      <c r="E443" s="4"/>
      <c r="F443" s="4"/>
      <c r="G443" s="4"/>
      <c r="H443" s="4"/>
      <c r="I443" s="4"/>
      <c r="J443" s="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25">
      <c r="A444" s="1"/>
      <c r="B444" s="2"/>
      <c r="C444" s="3"/>
      <c r="D444" s="4"/>
      <c r="E444" s="4"/>
      <c r="F444" s="4"/>
      <c r="G444" s="4"/>
      <c r="H444" s="4"/>
      <c r="I444" s="4"/>
      <c r="J444" s="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25">
      <c r="A445" s="1"/>
      <c r="B445" s="2"/>
      <c r="C445" s="3"/>
      <c r="D445" s="4"/>
      <c r="E445" s="4"/>
      <c r="F445" s="4"/>
      <c r="G445" s="4"/>
      <c r="H445" s="4"/>
      <c r="I445" s="4"/>
      <c r="J445" s="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25">
      <c r="A446" s="1"/>
      <c r="B446" s="2"/>
      <c r="C446" s="3"/>
      <c r="D446" s="4"/>
      <c r="E446" s="4"/>
      <c r="F446" s="4"/>
      <c r="G446" s="4"/>
      <c r="H446" s="4"/>
      <c r="I446" s="4"/>
      <c r="J446" s="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25">
      <c r="A447" s="1"/>
      <c r="B447" s="2"/>
      <c r="C447" s="3"/>
      <c r="D447" s="4"/>
      <c r="E447" s="4"/>
      <c r="F447" s="4"/>
      <c r="G447" s="4"/>
      <c r="H447" s="4"/>
      <c r="I447" s="4"/>
      <c r="J447" s="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25">
      <c r="A448" s="1"/>
      <c r="B448" s="2"/>
      <c r="C448" s="3"/>
      <c r="D448" s="4"/>
      <c r="E448" s="4"/>
      <c r="F448" s="4"/>
      <c r="G448" s="4"/>
      <c r="H448" s="4"/>
      <c r="I448" s="4"/>
      <c r="J448" s="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25">
      <c r="A449" s="1"/>
      <c r="B449" s="2"/>
      <c r="C449" s="3"/>
      <c r="D449" s="4"/>
      <c r="E449" s="4"/>
      <c r="F449" s="4"/>
      <c r="G449" s="4"/>
      <c r="H449" s="4"/>
      <c r="I449" s="4"/>
      <c r="J449" s="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25">
      <c r="A450" s="1"/>
      <c r="B450" s="2"/>
      <c r="C450" s="3"/>
      <c r="D450" s="4"/>
      <c r="E450" s="4"/>
      <c r="F450" s="4"/>
      <c r="G450" s="4"/>
      <c r="H450" s="4"/>
      <c r="I450" s="4"/>
      <c r="J450" s="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25">
      <c r="A451" s="1"/>
      <c r="B451" s="2"/>
      <c r="C451" s="3"/>
      <c r="D451" s="4"/>
      <c r="E451" s="4"/>
      <c r="F451" s="4"/>
      <c r="G451" s="4"/>
      <c r="H451" s="4"/>
      <c r="I451" s="4"/>
      <c r="J451" s="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25">
      <c r="A452" s="1"/>
      <c r="B452" s="2"/>
      <c r="C452" s="3"/>
      <c r="D452" s="4"/>
      <c r="E452" s="4"/>
      <c r="F452" s="4"/>
      <c r="G452" s="4"/>
      <c r="H452" s="4"/>
      <c r="I452" s="4"/>
      <c r="J452" s="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25">
      <c r="A453" s="1"/>
      <c r="B453" s="2"/>
      <c r="C453" s="3"/>
      <c r="D453" s="4"/>
      <c r="E453" s="4"/>
      <c r="F453" s="4"/>
      <c r="G453" s="4"/>
      <c r="H453" s="4"/>
      <c r="I453" s="4"/>
      <c r="J453" s="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25">
      <c r="A454" s="1"/>
      <c r="B454" s="2"/>
      <c r="C454" s="3"/>
      <c r="D454" s="4"/>
      <c r="E454" s="4"/>
      <c r="F454" s="4"/>
      <c r="G454" s="4"/>
      <c r="H454" s="4"/>
      <c r="I454" s="4"/>
      <c r="J454" s="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25">
      <c r="A455" s="1"/>
      <c r="B455" s="2"/>
      <c r="C455" s="3"/>
      <c r="D455" s="4"/>
      <c r="E455" s="4"/>
      <c r="F455" s="4"/>
      <c r="G455" s="4"/>
      <c r="H455" s="4"/>
      <c r="I455" s="4"/>
      <c r="J455" s="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25">
      <c r="A456" s="1"/>
      <c r="B456" s="2"/>
      <c r="C456" s="3"/>
      <c r="D456" s="4"/>
      <c r="E456" s="4"/>
      <c r="F456" s="4"/>
      <c r="G456" s="4"/>
      <c r="H456" s="4"/>
      <c r="I456" s="4"/>
      <c r="J456" s="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25">
      <c r="A457" s="1"/>
      <c r="B457" s="2"/>
      <c r="C457" s="3"/>
      <c r="D457" s="4"/>
      <c r="E457" s="4"/>
      <c r="F457" s="4"/>
      <c r="G457" s="4"/>
      <c r="H457" s="4"/>
      <c r="I457" s="4"/>
      <c r="J457" s="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25">
      <c r="A458" s="1"/>
      <c r="B458" s="2"/>
      <c r="C458" s="3"/>
      <c r="D458" s="4"/>
      <c r="E458" s="4"/>
      <c r="F458" s="4"/>
      <c r="G458" s="4"/>
      <c r="H458" s="4"/>
      <c r="I458" s="4"/>
      <c r="J458" s="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25">
      <c r="A459" s="1"/>
      <c r="B459" s="2"/>
      <c r="C459" s="3"/>
      <c r="D459" s="4"/>
      <c r="E459" s="4"/>
      <c r="F459" s="4"/>
      <c r="G459" s="4"/>
      <c r="H459" s="4"/>
      <c r="I459" s="4"/>
      <c r="J459" s="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25">
      <c r="A460" s="1"/>
      <c r="B460" s="2"/>
      <c r="C460" s="3"/>
      <c r="D460" s="4"/>
      <c r="E460" s="4"/>
      <c r="F460" s="4"/>
      <c r="G460" s="4"/>
      <c r="H460" s="4"/>
      <c r="I460" s="4"/>
      <c r="J460" s="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25">
      <c r="A461" s="1"/>
      <c r="B461" s="2"/>
      <c r="C461" s="3"/>
      <c r="D461" s="4"/>
      <c r="E461" s="4"/>
      <c r="F461" s="4"/>
      <c r="G461" s="4"/>
      <c r="H461" s="4"/>
      <c r="I461" s="4"/>
      <c r="J461" s="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25">
      <c r="A462" s="1"/>
      <c r="B462" s="2"/>
      <c r="C462" s="3"/>
      <c r="D462" s="4"/>
      <c r="E462" s="4"/>
      <c r="F462" s="4"/>
      <c r="G462" s="4"/>
      <c r="H462" s="4"/>
      <c r="I462" s="4"/>
      <c r="J462" s="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25">
      <c r="A463" s="1"/>
      <c r="B463" s="2"/>
      <c r="C463" s="3"/>
      <c r="D463" s="4"/>
      <c r="E463" s="4"/>
      <c r="F463" s="4"/>
      <c r="G463" s="4"/>
      <c r="H463" s="4"/>
      <c r="I463" s="4"/>
      <c r="J463" s="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25">
      <c r="A464" s="1"/>
      <c r="B464" s="2"/>
      <c r="C464" s="3"/>
      <c r="D464" s="4"/>
      <c r="E464" s="4"/>
      <c r="F464" s="4"/>
      <c r="G464" s="4"/>
      <c r="H464" s="4"/>
      <c r="I464" s="4"/>
      <c r="J464" s="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25">
      <c r="A465" s="1"/>
      <c r="B465" s="2"/>
      <c r="C465" s="3"/>
      <c r="D465" s="4"/>
      <c r="E465" s="4"/>
      <c r="F465" s="4"/>
      <c r="G465" s="4"/>
      <c r="H465" s="4"/>
      <c r="I465" s="4"/>
      <c r="J465" s="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25">
      <c r="A466" s="1"/>
      <c r="B466" s="2"/>
      <c r="C466" s="3"/>
      <c r="D466" s="4"/>
      <c r="E466" s="4"/>
      <c r="F466" s="4"/>
      <c r="G466" s="4"/>
      <c r="H466" s="4"/>
      <c r="I466" s="4"/>
      <c r="J466" s="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25">
      <c r="A467" s="1"/>
      <c r="B467" s="2"/>
      <c r="C467" s="3"/>
      <c r="D467" s="4"/>
      <c r="E467" s="4"/>
      <c r="F467" s="4"/>
      <c r="G467" s="4"/>
      <c r="H467" s="4"/>
      <c r="I467" s="4"/>
      <c r="J467" s="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25">
      <c r="A468" s="1"/>
      <c r="B468" s="2"/>
      <c r="C468" s="3"/>
      <c r="D468" s="4"/>
      <c r="E468" s="4"/>
      <c r="F468" s="4"/>
      <c r="G468" s="4"/>
      <c r="H468" s="4"/>
      <c r="I468" s="4"/>
      <c r="J468" s="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25">
      <c r="A469" s="1"/>
      <c r="B469" s="2"/>
      <c r="C469" s="3"/>
      <c r="D469" s="4"/>
      <c r="E469" s="4"/>
      <c r="F469" s="4"/>
      <c r="G469" s="4"/>
      <c r="H469" s="4"/>
      <c r="I469" s="4"/>
      <c r="J469" s="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25">
      <c r="A470" s="1"/>
      <c r="B470" s="2"/>
      <c r="C470" s="3"/>
      <c r="D470" s="4"/>
      <c r="E470" s="4"/>
      <c r="F470" s="4"/>
      <c r="G470" s="4"/>
      <c r="H470" s="4"/>
      <c r="I470" s="4"/>
      <c r="J470" s="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25">
      <c r="A471" s="1"/>
      <c r="B471" s="2"/>
      <c r="C471" s="3"/>
      <c r="D471" s="4"/>
      <c r="E471" s="4"/>
      <c r="F471" s="4"/>
      <c r="G471" s="4"/>
      <c r="H471" s="4"/>
      <c r="I471" s="4"/>
      <c r="J471" s="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25">
      <c r="A472" s="1"/>
      <c r="B472" s="2"/>
      <c r="C472" s="3"/>
      <c r="D472" s="4"/>
      <c r="E472" s="4"/>
      <c r="F472" s="4"/>
      <c r="G472" s="4"/>
      <c r="H472" s="4"/>
      <c r="I472" s="4"/>
      <c r="J472" s="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25">
      <c r="A473" s="1"/>
      <c r="B473" s="2"/>
      <c r="C473" s="3"/>
      <c r="D473" s="4"/>
      <c r="E473" s="4"/>
      <c r="F473" s="4"/>
      <c r="G473" s="4"/>
      <c r="H473" s="4"/>
      <c r="I473" s="4"/>
      <c r="J473" s="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25">
      <c r="A474" s="1"/>
      <c r="B474" s="2"/>
      <c r="C474" s="3"/>
      <c r="D474" s="4"/>
      <c r="E474" s="4"/>
      <c r="F474" s="4"/>
      <c r="G474" s="4"/>
      <c r="H474" s="4"/>
      <c r="I474" s="4"/>
      <c r="J474" s="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25">
      <c r="A475" s="1"/>
      <c r="B475" s="2"/>
      <c r="C475" s="3"/>
      <c r="D475" s="4"/>
      <c r="E475" s="4"/>
      <c r="F475" s="4"/>
      <c r="G475" s="4"/>
      <c r="H475" s="4"/>
      <c r="I475" s="4"/>
      <c r="J475" s="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25">
      <c r="A476" s="1"/>
      <c r="B476" s="2"/>
      <c r="C476" s="3"/>
      <c r="D476" s="4"/>
      <c r="E476" s="4"/>
      <c r="F476" s="4"/>
      <c r="G476" s="4"/>
      <c r="H476" s="4"/>
      <c r="I476" s="4"/>
      <c r="J476" s="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25">
      <c r="A477" s="1"/>
      <c r="B477" s="2"/>
      <c r="C477" s="3"/>
      <c r="D477" s="4"/>
      <c r="E477" s="4"/>
      <c r="F477" s="4"/>
      <c r="G477" s="4"/>
      <c r="H477" s="4"/>
      <c r="I477" s="4"/>
      <c r="J477" s="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25">
      <c r="A478" s="1"/>
      <c r="B478" s="2"/>
      <c r="C478" s="3"/>
      <c r="D478" s="4"/>
      <c r="E478" s="4"/>
      <c r="F478" s="4"/>
      <c r="G478" s="4"/>
      <c r="H478" s="4"/>
      <c r="I478" s="4"/>
      <c r="J478" s="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25">
      <c r="A479" s="1"/>
      <c r="B479" s="2"/>
      <c r="C479" s="3"/>
      <c r="D479" s="4"/>
      <c r="E479" s="4"/>
      <c r="F479" s="4"/>
      <c r="G479" s="4"/>
      <c r="H479" s="4"/>
      <c r="I479" s="4"/>
      <c r="J479" s="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25">
      <c r="A480" s="1"/>
      <c r="B480" s="2"/>
      <c r="C480" s="3"/>
      <c r="D480" s="4"/>
      <c r="E480" s="4"/>
      <c r="F480" s="4"/>
      <c r="G480" s="4"/>
      <c r="H480" s="4"/>
      <c r="I480" s="4"/>
      <c r="J480" s="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25">
      <c r="A481" s="1"/>
      <c r="B481" s="2"/>
      <c r="C481" s="3"/>
      <c r="D481" s="4"/>
      <c r="E481" s="4"/>
      <c r="F481" s="4"/>
      <c r="G481" s="4"/>
      <c r="H481" s="4"/>
      <c r="I481" s="4"/>
      <c r="J481" s="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25">
      <c r="A482" s="1"/>
      <c r="B482" s="2"/>
      <c r="C482" s="3"/>
      <c r="D482" s="4"/>
      <c r="E482" s="4"/>
      <c r="F482" s="4"/>
      <c r="G482" s="4"/>
      <c r="H482" s="4"/>
      <c r="I482" s="4"/>
      <c r="J482" s="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25">
      <c r="A483" s="1"/>
      <c r="B483" s="2"/>
      <c r="C483" s="3"/>
      <c r="D483" s="4"/>
      <c r="E483" s="4"/>
      <c r="F483" s="4"/>
      <c r="G483" s="4"/>
      <c r="H483" s="4"/>
      <c r="I483" s="4"/>
      <c r="J483" s="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25">
      <c r="A484" s="1"/>
      <c r="B484" s="2"/>
      <c r="C484" s="3"/>
      <c r="D484" s="4"/>
      <c r="E484" s="4"/>
      <c r="F484" s="4"/>
      <c r="G484" s="4"/>
      <c r="H484" s="4"/>
      <c r="I484" s="4"/>
      <c r="J484" s="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25">
      <c r="A485" s="1"/>
      <c r="B485" s="2"/>
      <c r="C485" s="3"/>
      <c r="D485" s="4"/>
      <c r="E485" s="4"/>
      <c r="F485" s="4"/>
      <c r="G485" s="4"/>
      <c r="H485" s="4"/>
      <c r="I485" s="4"/>
      <c r="J485" s="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25">
      <c r="A486" s="1"/>
      <c r="B486" s="2"/>
      <c r="C486" s="3"/>
      <c r="D486" s="4"/>
      <c r="E486" s="4"/>
      <c r="F486" s="4"/>
      <c r="G486" s="4"/>
      <c r="H486" s="4"/>
      <c r="I486" s="4"/>
      <c r="J486" s="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25">
      <c r="A487" s="1"/>
      <c r="B487" s="2"/>
      <c r="C487" s="3"/>
      <c r="D487" s="4"/>
      <c r="E487" s="4"/>
      <c r="F487" s="4"/>
      <c r="G487" s="4"/>
      <c r="H487" s="4"/>
      <c r="I487" s="4"/>
      <c r="J487" s="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25">
      <c r="A488" s="1"/>
      <c r="B488" s="2"/>
      <c r="C488" s="3"/>
      <c r="D488" s="4"/>
      <c r="E488" s="4"/>
      <c r="F488" s="4"/>
      <c r="G488" s="4"/>
      <c r="H488" s="4"/>
      <c r="I488" s="4"/>
      <c r="J488" s="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25">
      <c r="A489" s="1"/>
      <c r="B489" s="2"/>
      <c r="C489" s="3"/>
      <c r="D489" s="4"/>
      <c r="E489" s="4"/>
      <c r="F489" s="4"/>
      <c r="G489" s="4"/>
      <c r="H489" s="4"/>
      <c r="I489" s="4"/>
      <c r="J489" s="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25">
      <c r="A490" s="1"/>
      <c r="B490" s="2"/>
      <c r="C490" s="3"/>
      <c r="D490" s="4"/>
      <c r="E490" s="4"/>
      <c r="F490" s="4"/>
      <c r="G490" s="4"/>
      <c r="H490" s="4"/>
      <c r="I490" s="4"/>
      <c r="J490" s="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25">
      <c r="A491" s="1"/>
      <c r="B491" s="2"/>
      <c r="C491" s="3"/>
      <c r="D491" s="4"/>
      <c r="E491" s="4"/>
      <c r="F491" s="4"/>
      <c r="G491" s="4"/>
      <c r="H491" s="4"/>
      <c r="I491" s="4"/>
      <c r="J491" s="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25">
      <c r="A492" s="1"/>
      <c r="B492" s="2"/>
      <c r="C492" s="3"/>
      <c r="D492" s="4"/>
      <c r="E492" s="4"/>
      <c r="F492" s="4"/>
      <c r="G492" s="4"/>
      <c r="H492" s="4"/>
      <c r="I492" s="4"/>
      <c r="J492" s="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25">
      <c r="A493" s="1"/>
      <c r="B493" s="2"/>
      <c r="C493" s="3"/>
      <c r="D493" s="4"/>
      <c r="E493" s="4"/>
      <c r="F493" s="4"/>
      <c r="G493" s="4"/>
      <c r="H493" s="4"/>
      <c r="I493" s="4"/>
      <c r="J493" s="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25">
      <c r="A494" s="1"/>
      <c r="B494" s="2"/>
      <c r="C494" s="3"/>
      <c r="D494" s="4"/>
      <c r="E494" s="4"/>
      <c r="F494" s="4"/>
      <c r="G494" s="4"/>
      <c r="H494" s="4"/>
      <c r="I494" s="4"/>
      <c r="J494" s="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25">
      <c r="A495" s="1"/>
      <c r="B495" s="2"/>
      <c r="C495" s="3"/>
      <c r="D495" s="4"/>
      <c r="E495" s="4"/>
      <c r="F495" s="4"/>
      <c r="G495" s="4"/>
      <c r="H495" s="4"/>
      <c r="I495" s="4"/>
      <c r="J495" s="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25">
      <c r="A496" s="1"/>
      <c r="B496" s="2"/>
      <c r="C496" s="3"/>
      <c r="D496" s="4"/>
      <c r="E496" s="4"/>
      <c r="F496" s="4"/>
      <c r="G496" s="4"/>
      <c r="H496" s="4"/>
      <c r="I496" s="4"/>
      <c r="J496" s="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25">
      <c r="A497" s="1"/>
      <c r="B497" s="2"/>
      <c r="C497" s="3"/>
      <c r="D497" s="4"/>
      <c r="E497" s="4"/>
      <c r="F497" s="4"/>
      <c r="G497" s="4"/>
      <c r="H497" s="4"/>
      <c r="I497" s="4"/>
      <c r="J497" s="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25">
      <c r="A498" s="1"/>
      <c r="B498" s="2"/>
      <c r="C498" s="3"/>
      <c r="D498" s="4"/>
      <c r="E498" s="4"/>
      <c r="F498" s="4"/>
      <c r="G498" s="4"/>
      <c r="H498" s="4"/>
      <c r="I498" s="4"/>
      <c r="J498" s="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25">
      <c r="A499" s="1"/>
      <c r="B499" s="2"/>
      <c r="C499" s="3"/>
      <c r="D499" s="4"/>
      <c r="E499" s="4"/>
      <c r="F499" s="4"/>
      <c r="G499" s="4"/>
      <c r="H499" s="4"/>
      <c r="I499" s="4"/>
      <c r="J499" s="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25">
      <c r="A500" s="1"/>
      <c r="B500" s="2"/>
      <c r="C500" s="3"/>
      <c r="D500" s="4"/>
      <c r="E500" s="4"/>
      <c r="F500" s="4"/>
      <c r="G500" s="4"/>
      <c r="H500" s="4"/>
      <c r="I500" s="4"/>
      <c r="J500" s="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25">
      <c r="A501" s="1"/>
      <c r="B501" s="2"/>
      <c r="C501" s="3"/>
      <c r="D501" s="4"/>
      <c r="E501" s="4"/>
      <c r="F501" s="4"/>
      <c r="G501" s="4"/>
      <c r="H501" s="4"/>
      <c r="I501" s="4"/>
      <c r="J501" s="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25">
      <c r="A502" s="1"/>
      <c r="B502" s="2"/>
      <c r="C502" s="3"/>
      <c r="D502" s="4"/>
      <c r="E502" s="4"/>
      <c r="F502" s="4"/>
      <c r="G502" s="4"/>
      <c r="H502" s="4"/>
      <c r="I502" s="4"/>
      <c r="J502" s="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25">
      <c r="A503" s="1"/>
      <c r="B503" s="2"/>
      <c r="C503" s="3"/>
      <c r="D503" s="4"/>
      <c r="E503" s="4"/>
      <c r="F503" s="4"/>
      <c r="G503" s="4"/>
      <c r="H503" s="4"/>
      <c r="I503" s="4"/>
      <c r="J503" s="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25">
      <c r="A504" s="1"/>
      <c r="B504" s="2"/>
      <c r="C504" s="3"/>
      <c r="D504" s="4"/>
      <c r="E504" s="4"/>
      <c r="F504" s="4"/>
      <c r="G504" s="4"/>
      <c r="H504" s="4"/>
      <c r="I504" s="4"/>
      <c r="J504" s="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25">
      <c r="A505" s="1"/>
      <c r="B505" s="2"/>
      <c r="C505" s="3"/>
      <c r="D505" s="4"/>
      <c r="E505" s="4"/>
      <c r="F505" s="4"/>
      <c r="G505" s="4"/>
      <c r="H505" s="4"/>
      <c r="I505" s="4"/>
      <c r="J505" s="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25">
      <c r="A506" s="1"/>
      <c r="B506" s="2"/>
      <c r="C506" s="3"/>
      <c r="D506" s="4"/>
      <c r="E506" s="4"/>
      <c r="F506" s="4"/>
      <c r="G506" s="4"/>
      <c r="H506" s="4"/>
      <c r="I506" s="4"/>
      <c r="J506" s="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25">
      <c r="A507" s="1"/>
      <c r="B507" s="2"/>
      <c r="C507" s="3"/>
      <c r="D507" s="4"/>
      <c r="E507" s="4"/>
      <c r="F507" s="4"/>
      <c r="G507" s="4"/>
      <c r="H507" s="4"/>
      <c r="I507" s="4"/>
      <c r="J507" s="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25">
      <c r="A508" s="1"/>
      <c r="B508" s="2"/>
      <c r="C508" s="3"/>
      <c r="D508" s="4"/>
      <c r="E508" s="4"/>
      <c r="F508" s="4"/>
      <c r="G508" s="4"/>
      <c r="H508" s="4"/>
      <c r="I508" s="4"/>
      <c r="J508" s="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25">
      <c r="A509" s="1"/>
      <c r="B509" s="2"/>
      <c r="C509" s="3"/>
      <c r="D509" s="4"/>
      <c r="E509" s="4"/>
      <c r="F509" s="4"/>
      <c r="G509" s="4"/>
      <c r="H509" s="4"/>
      <c r="I509" s="4"/>
      <c r="J509" s="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25">
      <c r="A510" s="1"/>
      <c r="B510" s="2"/>
      <c r="C510" s="3"/>
      <c r="D510" s="4"/>
      <c r="E510" s="4"/>
      <c r="F510" s="4"/>
      <c r="G510" s="4"/>
      <c r="H510" s="4"/>
      <c r="I510" s="4"/>
      <c r="J510" s="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25">
      <c r="A511" s="1"/>
      <c r="B511" s="2"/>
      <c r="C511" s="3"/>
      <c r="D511" s="4"/>
      <c r="E511" s="4"/>
      <c r="F511" s="4"/>
      <c r="G511" s="4"/>
      <c r="H511" s="4"/>
      <c r="I511" s="4"/>
      <c r="J511" s="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25">
      <c r="A512" s="1"/>
      <c r="B512" s="2"/>
      <c r="C512" s="3"/>
      <c r="D512" s="4"/>
      <c r="E512" s="4"/>
      <c r="F512" s="4"/>
      <c r="G512" s="4"/>
      <c r="H512" s="4"/>
      <c r="I512" s="4"/>
      <c r="J512" s="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25">
      <c r="A513" s="1"/>
      <c r="B513" s="2"/>
      <c r="C513" s="3"/>
      <c r="D513" s="4"/>
      <c r="E513" s="4"/>
      <c r="F513" s="4"/>
      <c r="G513" s="4"/>
      <c r="H513" s="4"/>
      <c r="I513" s="4"/>
      <c r="J513" s="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25">
      <c r="A514" s="1"/>
      <c r="B514" s="2"/>
      <c r="C514" s="3"/>
      <c r="D514" s="4"/>
      <c r="E514" s="4"/>
      <c r="F514" s="4"/>
      <c r="G514" s="4"/>
      <c r="H514" s="4"/>
      <c r="I514" s="4"/>
      <c r="J514" s="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25">
      <c r="A515" s="1"/>
      <c r="B515" s="2"/>
      <c r="C515" s="3"/>
      <c r="D515" s="4"/>
      <c r="E515" s="4"/>
      <c r="F515" s="4"/>
      <c r="G515" s="4"/>
      <c r="H515" s="4"/>
      <c r="I515" s="4"/>
      <c r="J515" s="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25">
      <c r="A516" s="1"/>
      <c r="B516" s="2"/>
      <c r="C516" s="3"/>
      <c r="D516" s="4"/>
      <c r="E516" s="4"/>
      <c r="F516" s="4"/>
      <c r="G516" s="4"/>
      <c r="H516" s="4"/>
      <c r="I516" s="4"/>
      <c r="J516" s="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25">
      <c r="A517" s="1"/>
      <c r="B517" s="2"/>
      <c r="C517" s="3"/>
      <c r="D517" s="4"/>
      <c r="E517" s="4"/>
      <c r="F517" s="4"/>
      <c r="G517" s="4"/>
      <c r="H517" s="4"/>
      <c r="I517" s="4"/>
      <c r="J517" s="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25">
      <c r="A518" s="1"/>
      <c r="B518" s="2"/>
      <c r="C518" s="3"/>
      <c r="D518" s="4"/>
      <c r="E518" s="4"/>
      <c r="F518" s="4"/>
      <c r="G518" s="4"/>
      <c r="H518" s="4"/>
      <c r="I518" s="4"/>
      <c r="J518" s="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25">
      <c r="A519" s="1"/>
      <c r="B519" s="2"/>
      <c r="C519" s="3"/>
      <c r="D519" s="4"/>
      <c r="E519" s="4"/>
      <c r="F519" s="4"/>
      <c r="G519" s="4"/>
      <c r="H519" s="4"/>
      <c r="I519" s="4"/>
      <c r="J519" s="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25">
      <c r="A520" s="1"/>
      <c r="B520" s="2"/>
      <c r="C520" s="3"/>
      <c r="D520" s="4"/>
      <c r="E520" s="4"/>
      <c r="F520" s="4"/>
      <c r="G520" s="4"/>
      <c r="H520" s="4"/>
      <c r="I520" s="4"/>
      <c r="J520" s="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25">
      <c r="A521" s="1"/>
      <c r="B521" s="2"/>
      <c r="C521" s="3"/>
      <c r="D521" s="4"/>
      <c r="E521" s="4"/>
      <c r="F521" s="4"/>
      <c r="G521" s="4"/>
      <c r="H521" s="4"/>
      <c r="I521" s="4"/>
      <c r="J521" s="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25">
      <c r="A522" s="1"/>
      <c r="B522" s="2"/>
      <c r="C522" s="3"/>
      <c r="D522" s="4"/>
      <c r="E522" s="4"/>
      <c r="F522" s="4"/>
      <c r="G522" s="4"/>
      <c r="H522" s="4"/>
      <c r="I522" s="4"/>
      <c r="J522" s="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25">
      <c r="A523" s="1"/>
      <c r="B523" s="2"/>
      <c r="C523" s="3"/>
      <c r="D523" s="4"/>
      <c r="E523" s="4"/>
      <c r="F523" s="4"/>
      <c r="G523" s="4"/>
      <c r="H523" s="4"/>
      <c r="I523" s="4"/>
      <c r="J523" s="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25">
      <c r="A524" s="1"/>
      <c r="B524" s="2"/>
      <c r="C524" s="3"/>
      <c r="D524" s="4"/>
      <c r="E524" s="4"/>
      <c r="F524" s="4"/>
      <c r="G524" s="4"/>
      <c r="H524" s="4"/>
      <c r="I524" s="4"/>
      <c r="J524" s="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25">
      <c r="A525" s="1"/>
      <c r="B525" s="2"/>
      <c r="C525" s="3"/>
      <c r="D525" s="4"/>
      <c r="E525" s="4"/>
      <c r="F525" s="4"/>
      <c r="G525" s="4"/>
      <c r="H525" s="4"/>
      <c r="I525" s="4"/>
      <c r="J525" s="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25">
      <c r="A526" s="1"/>
      <c r="B526" s="2"/>
      <c r="C526" s="3"/>
      <c r="D526" s="4"/>
      <c r="E526" s="4"/>
      <c r="F526" s="4"/>
      <c r="G526" s="4"/>
      <c r="H526" s="4"/>
      <c r="I526" s="4"/>
      <c r="J526" s="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25">
      <c r="A527" s="1"/>
      <c r="B527" s="2"/>
      <c r="C527" s="3"/>
      <c r="D527" s="4"/>
      <c r="E527" s="4"/>
      <c r="F527" s="4"/>
      <c r="G527" s="4"/>
      <c r="H527" s="4"/>
      <c r="I527" s="4"/>
      <c r="J527" s="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25">
      <c r="A528" s="1"/>
      <c r="B528" s="2"/>
      <c r="C528" s="3"/>
      <c r="D528" s="4"/>
      <c r="E528" s="4"/>
      <c r="F528" s="4"/>
      <c r="G528" s="4"/>
      <c r="H528" s="4"/>
      <c r="I528" s="4"/>
      <c r="J528" s="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25">
      <c r="A529" s="1"/>
      <c r="B529" s="2"/>
      <c r="C529" s="3"/>
      <c r="D529" s="4"/>
      <c r="E529" s="4"/>
      <c r="F529" s="4"/>
      <c r="G529" s="4"/>
      <c r="H529" s="4"/>
      <c r="I529" s="4"/>
      <c r="J529" s="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25">
      <c r="A530" s="1"/>
      <c r="B530" s="2"/>
      <c r="C530" s="3"/>
      <c r="D530" s="4"/>
      <c r="E530" s="4"/>
      <c r="F530" s="4"/>
      <c r="G530" s="4"/>
      <c r="H530" s="4"/>
      <c r="I530" s="4"/>
      <c r="J530" s="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25">
      <c r="A531" s="1"/>
      <c r="B531" s="2"/>
      <c r="C531" s="3"/>
      <c r="D531" s="4"/>
      <c r="E531" s="4"/>
      <c r="F531" s="4"/>
      <c r="G531" s="4"/>
      <c r="H531" s="4"/>
      <c r="I531" s="4"/>
      <c r="J531" s="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25">
      <c r="A532" s="1"/>
      <c r="B532" s="2"/>
      <c r="C532" s="3"/>
      <c r="D532" s="4"/>
      <c r="E532" s="4"/>
      <c r="F532" s="4"/>
      <c r="G532" s="4"/>
      <c r="H532" s="4"/>
      <c r="I532" s="4"/>
      <c r="J532" s="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25">
      <c r="A533" s="1"/>
      <c r="B533" s="2"/>
      <c r="C533" s="3"/>
      <c r="D533" s="4"/>
      <c r="E533" s="4"/>
      <c r="F533" s="4"/>
      <c r="G533" s="4"/>
      <c r="H533" s="4"/>
      <c r="I533" s="4"/>
      <c r="J533" s="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25">
      <c r="A534" s="1"/>
      <c r="B534" s="2"/>
      <c r="C534" s="3"/>
      <c r="D534" s="4"/>
      <c r="E534" s="4"/>
      <c r="F534" s="4"/>
      <c r="G534" s="4"/>
      <c r="H534" s="4"/>
      <c r="I534" s="4"/>
      <c r="J534" s="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25">
      <c r="A535" s="1"/>
      <c r="B535" s="2"/>
      <c r="C535" s="3"/>
      <c r="D535" s="4"/>
      <c r="E535" s="4"/>
      <c r="F535" s="4"/>
      <c r="G535" s="4"/>
      <c r="H535" s="4"/>
      <c r="I535" s="4"/>
      <c r="J535" s="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25">
      <c r="A536" s="1"/>
      <c r="B536" s="2"/>
      <c r="C536" s="3"/>
      <c r="D536" s="4"/>
      <c r="E536" s="4"/>
      <c r="F536" s="4"/>
      <c r="G536" s="4"/>
      <c r="H536" s="4"/>
      <c r="I536" s="4"/>
      <c r="J536" s="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25">
      <c r="A537" s="1"/>
      <c r="B537" s="2"/>
      <c r="C537" s="3"/>
      <c r="D537" s="4"/>
      <c r="E537" s="4"/>
      <c r="F537" s="4"/>
      <c r="G537" s="4"/>
      <c r="H537" s="4"/>
      <c r="I537" s="4"/>
      <c r="J537" s="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25">
      <c r="A538" s="1"/>
      <c r="B538" s="2"/>
      <c r="C538" s="3"/>
      <c r="D538" s="4"/>
      <c r="E538" s="4"/>
      <c r="F538" s="4"/>
      <c r="G538" s="4"/>
      <c r="H538" s="4"/>
      <c r="I538" s="4"/>
      <c r="J538" s="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25">
      <c r="A539" s="1"/>
      <c r="B539" s="2"/>
      <c r="C539" s="3"/>
      <c r="D539" s="4"/>
      <c r="E539" s="4"/>
      <c r="F539" s="4"/>
      <c r="G539" s="4"/>
      <c r="H539" s="4"/>
      <c r="I539" s="4"/>
      <c r="J539" s="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25">
      <c r="A540" s="1"/>
      <c r="B540" s="2"/>
      <c r="C540" s="3"/>
      <c r="D540" s="4"/>
      <c r="E540" s="4"/>
      <c r="F540" s="4"/>
      <c r="G540" s="4"/>
      <c r="H540" s="4"/>
      <c r="I540" s="4"/>
      <c r="J540" s="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25">
      <c r="A541" s="1"/>
      <c r="B541" s="2"/>
      <c r="C541" s="3"/>
      <c r="D541" s="4"/>
      <c r="E541" s="4"/>
      <c r="F541" s="4"/>
      <c r="G541" s="4"/>
      <c r="H541" s="4"/>
      <c r="I541" s="4"/>
      <c r="J541" s="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25">
      <c r="A542" s="1"/>
      <c r="B542" s="2"/>
      <c r="C542" s="3"/>
      <c r="D542" s="4"/>
      <c r="E542" s="4"/>
      <c r="F542" s="4"/>
      <c r="G542" s="4"/>
      <c r="H542" s="4"/>
      <c r="I542" s="4"/>
      <c r="J542" s="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25">
      <c r="A543" s="1"/>
      <c r="B543" s="2"/>
      <c r="C543" s="3"/>
      <c r="D543" s="4"/>
      <c r="E543" s="4"/>
      <c r="F543" s="4"/>
      <c r="G543" s="4"/>
      <c r="H543" s="4"/>
      <c r="I543" s="4"/>
      <c r="J543" s="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25">
      <c r="A544" s="1"/>
      <c r="B544" s="2"/>
      <c r="C544" s="3"/>
      <c r="D544" s="4"/>
      <c r="E544" s="4"/>
      <c r="F544" s="4"/>
      <c r="G544" s="4"/>
      <c r="H544" s="4"/>
      <c r="I544" s="4"/>
      <c r="J544" s="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25">
      <c r="A545" s="1"/>
      <c r="B545" s="2"/>
      <c r="C545" s="3"/>
      <c r="D545" s="4"/>
      <c r="E545" s="4"/>
      <c r="F545" s="4"/>
      <c r="G545" s="4"/>
      <c r="H545" s="4"/>
      <c r="I545" s="4"/>
      <c r="J545" s="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25">
      <c r="A546" s="1"/>
      <c r="B546" s="2"/>
      <c r="C546" s="3"/>
      <c r="D546" s="4"/>
      <c r="E546" s="4"/>
      <c r="F546" s="4"/>
      <c r="G546" s="4"/>
      <c r="H546" s="4"/>
      <c r="I546" s="4"/>
      <c r="J546" s="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25">
      <c r="A547" s="1"/>
      <c r="B547" s="2"/>
      <c r="C547" s="3"/>
      <c r="D547" s="4"/>
      <c r="E547" s="4"/>
      <c r="F547" s="4"/>
      <c r="G547" s="4"/>
      <c r="H547" s="4"/>
      <c r="I547" s="4"/>
      <c r="J547" s="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25">
      <c r="A548" s="1"/>
      <c r="B548" s="2"/>
      <c r="C548" s="3"/>
      <c r="D548" s="4"/>
      <c r="E548" s="4"/>
      <c r="F548" s="4"/>
      <c r="G548" s="4"/>
      <c r="H548" s="4"/>
      <c r="I548" s="4"/>
      <c r="J548" s="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25">
      <c r="A549" s="1"/>
      <c r="B549" s="2"/>
      <c r="C549" s="3"/>
      <c r="D549" s="4"/>
      <c r="E549" s="4"/>
      <c r="F549" s="4"/>
      <c r="G549" s="4"/>
      <c r="H549" s="4"/>
      <c r="I549" s="4"/>
      <c r="J549" s="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25">
      <c r="A550" s="1"/>
      <c r="B550" s="2"/>
      <c r="C550" s="3"/>
      <c r="D550" s="4"/>
      <c r="E550" s="4"/>
      <c r="F550" s="4"/>
      <c r="G550" s="4"/>
      <c r="H550" s="4"/>
      <c r="I550" s="4"/>
      <c r="J550" s="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25">
      <c r="A551" s="1"/>
      <c r="B551" s="2"/>
      <c r="C551" s="3"/>
      <c r="D551" s="4"/>
      <c r="E551" s="4"/>
      <c r="F551" s="4"/>
      <c r="G551" s="4"/>
      <c r="H551" s="4"/>
      <c r="I551" s="4"/>
      <c r="J551" s="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25">
      <c r="A552" s="1"/>
      <c r="B552" s="2"/>
      <c r="C552" s="3"/>
      <c r="D552" s="4"/>
      <c r="E552" s="4"/>
      <c r="F552" s="4"/>
      <c r="G552" s="4"/>
      <c r="H552" s="4"/>
      <c r="I552" s="4"/>
      <c r="J552" s="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25">
      <c r="A553" s="1"/>
      <c r="B553" s="2"/>
      <c r="C553" s="3"/>
      <c r="D553" s="4"/>
      <c r="E553" s="4"/>
      <c r="F553" s="4"/>
      <c r="G553" s="4"/>
      <c r="H553" s="4"/>
      <c r="I553" s="4"/>
      <c r="J553" s="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25">
      <c r="A554" s="1"/>
      <c r="B554" s="2"/>
      <c r="C554" s="3"/>
      <c r="D554" s="4"/>
      <c r="E554" s="4"/>
      <c r="F554" s="4"/>
      <c r="G554" s="4"/>
      <c r="H554" s="4"/>
      <c r="I554" s="4"/>
      <c r="J554" s="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25">
      <c r="A555" s="1"/>
      <c r="B555" s="2"/>
      <c r="C555" s="3"/>
      <c r="D555" s="4"/>
      <c r="E555" s="4"/>
      <c r="F555" s="4"/>
      <c r="G555" s="4"/>
      <c r="H555" s="4"/>
      <c r="I555" s="4"/>
      <c r="J555" s="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25">
      <c r="A556" s="1"/>
      <c r="B556" s="2"/>
      <c r="C556" s="3"/>
      <c r="D556" s="4"/>
      <c r="E556" s="4"/>
      <c r="F556" s="4"/>
      <c r="G556" s="4"/>
      <c r="H556" s="4"/>
      <c r="I556" s="4"/>
      <c r="J556" s="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25">
      <c r="A557" s="1"/>
      <c r="B557" s="2"/>
      <c r="C557" s="3"/>
      <c r="D557" s="4"/>
      <c r="E557" s="4"/>
      <c r="F557" s="4"/>
      <c r="G557" s="4"/>
      <c r="H557" s="4"/>
      <c r="I557" s="4"/>
      <c r="J557" s="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25">
      <c r="A558" s="1"/>
      <c r="B558" s="2"/>
      <c r="C558" s="3"/>
      <c r="D558" s="4"/>
      <c r="E558" s="4"/>
      <c r="F558" s="4"/>
      <c r="G558" s="4"/>
      <c r="H558" s="4"/>
      <c r="I558" s="4"/>
      <c r="J558" s="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25">
      <c r="A559" s="1"/>
      <c r="B559" s="2"/>
      <c r="C559" s="3"/>
      <c r="D559" s="4"/>
      <c r="E559" s="4"/>
      <c r="F559" s="4"/>
      <c r="G559" s="4"/>
      <c r="H559" s="4"/>
      <c r="I559" s="4"/>
      <c r="J559" s="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25">
      <c r="A560" s="1"/>
      <c r="B560" s="2"/>
      <c r="C560" s="3"/>
      <c r="D560" s="4"/>
      <c r="E560" s="4"/>
      <c r="F560" s="4"/>
      <c r="G560" s="4"/>
      <c r="H560" s="4"/>
      <c r="I560" s="4"/>
      <c r="J560" s="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25">
      <c r="A561" s="1"/>
      <c r="B561" s="2"/>
      <c r="C561" s="3"/>
      <c r="D561" s="4"/>
      <c r="E561" s="4"/>
      <c r="F561" s="4"/>
      <c r="G561" s="4"/>
      <c r="H561" s="4"/>
      <c r="I561" s="4"/>
      <c r="J561" s="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25">
      <c r="A562" s="1"/>
      <c r="B562" s="2"/>
      <c r="C562" s="3"/>
      <c r="D562" s="4"/>
      <c r="E562" s="4"/>
      <c r="F562" s="4"/>
      <c r="G562" s="4"/>
      <c r="H562" s="4"/>
      <c r="I562" s="4"/>
      <c r="J562" s="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25">
      <c r="A563" s="1"/>
      <c r="B563" s="2"/>
      <c r="C563" s="3"/>
      <c r="D563" s="4"/>
      <c r="E563" s="4"/>
      <c r="F563" s="4"/>
      <c r="G563" s="4"/>
      <c r="H563" s="4"/>
      <c r="I563" s="4"/>
      <c r="J563" s="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25">
      <c r="A564" s="1"/>
      <c r="B564" s="2"/>
      <c r="C564" s="3"/>
      <c r="D564" s="4"/>
      <c r="E564" s="4"/>
      <c r="F564" s="4"/>
      <c r="G564" s="4"/>
      <c r="H564" s="4"/>
      <c r="I564" s="4"/>
      <c r="J564" s="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25">
      <c r="A565" s="1"/>
      <c r="B565" s="2"/>
      <c r="C565" s="3"/>
      <c r="D565" s="4"/>
      <c r="E565" s="4"/>
      <c r="F565" s="4"/>
      <c r="G565" s="4"/>
      <c r="H565" s="4"/>
      <c r="I565" s="4"/>
      <c r="J565" s="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25">
      <c r="A566" s="1"/>
      <c r="B566" s="2"/>
      <c r="C566" s="3"/>
      <c r="D566" s="4"/>
      <c r="E566" s="4"/>
      <c r="F566" s="4"/>
      <c r="G566" s="4"/>
      <c r="H566" s="4"/>
      <c r="I566" s="4"/>
      <c r="J566" s="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25">
      <c r="A567" s="1"/>
      <c r="B567" s="2"/>
      <c r="C567" s="3"/>
      <c r="D567" s="4"/>
      <c r="E567" s="4"/>
      <c r="F567" s="4"/>
      <c r="G567" s="4"/>
      <c r="H567" s="4"/>
      <c r="I567" s="4"/>
      <c r="J567" s="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25">
      <c r="A568" s="1"/>
      <c r="B568" s="2"/>
      <c r="C568" s="3"/>
      <c r="D568" s="4"/>
      <c r="E568" s="4"/>
      <c r="F568" s="4"/>
      <c r="G568" s="4"/>
      <c r="H568" s="4"/>
      <c r="I568" s="4"/>
      <c r="J568" s="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25">
      <c r="A569" s="1"/>
      <c r="B569" s="2"/>
      <c r="C569" s="3"/>
      <c r="D569" s="4"/>
      <c r="E569" s="4"/>
      <c r="F569" s="4"/>
      <c r="G569" s="4"/>
      <c r="H569" s="4"/>
      <c r="I569" s="4"/>
      <c r="J569" s="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25">
      <c r="A570" s="1"/>
      <c r="B570" s="2"/>
      <c r="C570" s="3"/>
      <c r="D570" s="4"/>
      <c r="E570" s="4"/>
      <c r="F570" s="4"/>
      <c r="G570" s="4"/>
      <c r="H570" s="4"/>
      <c r="I570" s="4"/>
      <c r="J570" s="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25">
      <c r="A571" s="1"/>
      <c r="B571" s="2"/>
      <c r="C571" s="3"/>
      <c r="D571" s="4"/>
      <c r="E571" s="4"/>
      <c r="F571" s="4"/>
      <c r="G571" s="4"/>
      <c r="H571" s="4"/>
      <c r="I571" s="4"/>
      <c r="J571" s="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25">
      <c r="A572" s="1"/>
      <c r="B572" s="2"/>
      <c r="C572" s="3"/>
      <c r="D572" s="4"/>
      <c r="E572" s="4"/>
      <c r="F572" s="4"/>
      <c r="G572" s="4"/>
      <c r="H572" s="4"/>
      <c r="I572" s="4"/>
      <c r="J572" s="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25">
      <c r="A573" s="1"/>
      <c r="B573" s="2"/>
      <c r="C573" s="3"/>
      <c r="D573" s="4"/>
      <c r="E573" s="4"/>
      <c r="F573" s="4"/>
      <c r="G573" s="4"/>
      <c r="H573" s="4"/>
      <c r="I573" s="4"/>
      <c r="J573" s="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25">
      <c r="A574" s="1"/>
      <c r="B574" s="2"/>
      <c r="C574" s="3"/>
      <c r="D574" s="4"/>
      <c r="E574" s="4"/>
      <c r="F574" s="4"/>
      <c r="G574" s="4"/>
      <c r="H574" s="4"/>
      <c r="I574" s="4"/>
      <c r="J574" s="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25">
      <c r="A575" s="1"/>
      <c r="B575" s="2"/>
      <c r="C575" s="3"/>
      <c r="D575" s="4"/>
      <c r="E575" s="4"/>
      <c r="F575" s="4"/>
      <c r="G575" s="4"/>
      <c r="H575" s="4"/>
      <c r="I575" s="4"/>
      <c r="J575" s="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25">
      <c r="A576" s="1"/>
      <c r="B576" s="2"/>
      <c r="C576" s="3"/>
      <c r="D576" s="4"/>
      <c r="E576" s="4"/>
      <c r="F576" s="4"/>
      <c r="G576" s="4"/>
      <c r="H576" s="4"/>
      <c r="I576" s="4"/>
      <c r="J576" s="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25">
      <c r="A577" s="1"/>
      <c r="B577" s="2"/>
      <c r="C577" s="3"/>
      <c r="D577" s="4"/>
      <c r="E577" s="4"/>
      <c r="F577" s="4"/>
      <c r="G577" s="4"/>
      <c r="H577" s="4"/>
      <c r="I577" s="4"/>
      <c r="J577" s="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25">
      <c r="A578" s="1"/>
      <c r="B578" s="2"/>
      <c r="C578" s="3"/>
      <c r="D578" s="4"/>
      <c r="E578" s="4"/>
      <c r="F578" s="4"/>
      <c r="G578" s="4"/>
      <c r="H578" s="4"/>
      <c r="I578" s="4"/>
      <c r="J578" s="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25">
      <c r="A579" s="1"/>
      <c r="B579" s="2"/>
      <c r="C579" s="3"/>
      <c r="D579" s="4"/>
      <c r="E579" s="4"/>
      <c r="F579" s="4"/>
      <c r="G579" s="4"/>
      <c r="H579" s="4"/>
      <c r="I579" s="4"/>
      <c r="J579" s="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25">
      <c r="A580" s="1"/>
      <c r="B580" s="2"/>
      <c r="C580" s="3"/>
      <c r="D580" s="4"/>
      <c r="E580" s="4"/>
      <c r="F580" s="4"/>
      <c r="G580" s="4"/>
      <c r="H580" s="4"/>
      <c r="I580" s="4"/>
      <c r="J580" s="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25">
      <c r="A581" s="1"/>
      <c r="B581" s="2"/>
      <c r="C581" s="3"/>
      <c r="D581" s="4"/>
      <c r="E581" s="4"/>
      <c r="F581" s="4"/>
      <c r="G581" s="4"/>
      <c r="H581" s="4"/>
      <c r="I581" s="4"/>
      <c r="J581" s="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25">
      <c r="A582" s="1"/>
      <c r="B582" s="2"/>
      <c r="C582" s="3"/>
      <c r="D582" s="4"/>
      <c r="E582" s="4"/>
      <c r="F582" s="4"/>
      <c r="G582" s="4"/>
      <c r="H582" s="4"/>
      <c r="I582" s="4"/>
      <c r="J582" s="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25">
      <c r="A583" s="1"/>
      <c r="B583" s="2"/>
      <c r="C583" s="3"/>
      <c r="D583" s="4"/>
      <c r="E583" s="4"/>
      <c r="F583" s="4"/>
      <c r="G583" s="4"/>
      <c r="H583" s="4"/>
      <c r="I583" s="4"/>
      <c r="J583" s="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25">
      <c r="A584" s="1"/>
      <c r="B584" s="2"/>
      <c r="C584" s="3"/>
      <c r="D584" s="4"/>
      <c r="E584" s="4"/>
      <c r="F584" s="4"/>
      <c r="G584" s="4"/>
      <c r="H584" s="4"/>
      <c r="I584" s="4"/>
      <c r="J584" s="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25">
      <c r="A585" s="1"/>
      <c r="B585" s="2"/>
      <c r="C585" s="3"/>
      <c r="D585" s="4"/>
      <c r="E585" s="4"/>
      <c r="F585" s="4"/>
      <c r="G585" s="4"/>
      <c r="H585" s="4"/>
      <c r="I585" s="4"/>
      <c r="J585" s="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25">
      <c r="A586" s="1"/>
      <c r="B586" s="2"/>
      <c r="C586" s="3"/>
      <c r="D586" s="4"/>
      <c r="E586" s="4"/>
      <c r="F586" s="4"/>
      <c r="G586" s="4"/>
      <c r="H586" s="4"/>
      <c r="I586" s="4"/>
      <c r="J586" s="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25">
      <c r="A587" s="1"/>
      <c r="B587" s="2"/>
      <c r="C587" s="3"/>
      <c r="D587" s="4"/>
      <c r="E587" s="4"/>
      <c r="F587" s="4"/>
      <c r="G587" s="4"/>
      <c r="H587" s="4"/>
      <c r="I587" s="4"/>
      <c r="J587" s="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25">
      <c r="A588" s="1"/>
      <c r="B588" s="2"/>
      <c r="C588" s="3"/>
      <c r="D588" s="4"/>
      <c r="E588" s="4"/>
      <c r="F588" s="4"/>
      <c r="G588" s="4"/>
      <c r="H588" s="4"/>
      <c r="I588" s="4"/>
      <c r="J588" s="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25">
      <c r="A589" s="1"/>
      <c r="B589" s="2"/>
      <c r="C589" s="3"/>
      <c r="D589" s="4"/>
      <c r="E589" s="4"/>
      <c r="F589" s="4"/>
      <c r="G589" s="4"/>
      <c r="H589" s="4"/>
      <c r="I589" s="4"/>
      <c r="J589" s="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25">
      <c r="A590" s="1"/>
      <c r="B590" s="2"/>
      <c r="C590" s="3"/>
      <c r="D590" s="4"/>
      <c r="E590" s="4"/>
      <c r="F590" s="4"/>
      <c r="G590" s="4"/>
      <c r="H590" s="4"/>
      <c r="I590" s="4"/>
      <c r="J590" s="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25">
      <c r="A591" s="1"/>
      <c r="B591" s="2"/>
      <c r="C591" s="3"/>
      <c r="D591" s="4"/>
      <c r="E591" s="4"/>
      <c r="F591" s="4"/>
      <c r="G591" s="4"/>
      <c r="H591" s="4"/>
      <c r="I591" s="4"/>
      <c r="J591" s="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25">
      <c r="A592" s="1"/>
      <c r="B592" s="2"/>
      <c r="C592" s="3"/>
      <c r="D592" s="4"/>
      <c r="E592" s="4"/>
      <c r="F592" s="4"/>
      <c r="G592" s="4"/>
      <c r="H592" s="4"/>
      <c r="I592" s="4"/>
      <c r="J592" s="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25">
      <c r="A593" s="1"/>
      <c r="B593" s="2"/>
      <c r="C593" s="3"/>
      <c r="D593" s="4"/>
      <c r="E593" s="4"/>
      <c r="F593" s="4"/>
      <c r="G593" s="4"/>
      <c r="H593" s="4"/>
      <c r="I593" s="4"/>
      <c r="J593" s="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25">
      <c r="A594" s="1"/>
      <c r="B594" s="2"/>
      <c r="C594" s="3"/>
      <c r="D594" s="4"/>
      <c r="E594" s="4"/>
      <c r="F594" s="4"/>
      <c r="G594" s="4"/>
      <c r="H594" s="4"/>
      <c r="I594" s="4"/>
      <c r="J594" s="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25">
      <c r="A595" s="1"/>
      <c r="B595" s="2"/>
      <c r="C595" s="3"/>
      <c r="D595" s="4"/>
      <c r="E595" s="4"/>
      <c r="F595" s="4"/>
      <c r="G595" s="4"/>
      <c r="H595" s="4"/>
      <c r="I595" s="4"/>
      <c r="J595" s="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25">
      <c r="A596" s="1"/>
      <c r="B596" s="2"/>
      <c r="C596" s="3"/>
      <c r="D596" s="4"/>
      <c r="E596" s="4"/>
      <c r="F596" s="4"/>
      <c r="G596" s="4"/>
      <c r="H596" s="4"/>
      <c r="I596" s="4"/>
      <c r="J596" s="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25">
      <c r="A597" s="1"/>
      <c r="B597" s="2"/>
      <c r="C597" s="3"/>
      <c r="D597" s="4"/>
      <c r="E597" s="4"/>
      <c r="F597" s="4"/>
      <c r="G597" s="4"/>
      <c r="H597" s="4"/>
      <c r="I597" s="4"/>
      <c r="J597" s="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25">
      <c r="A598" s="1"/>
      <c r="B598" s="2"/>
      <c r="C598" s="3"/>
      <c r="D598" s="4"/>
      <c r="E598" s="4"/>
      <c r="F598" s="4"/>
      <c r="G598" s="4"/>
      <c r="H598" s="4"/>
      <c r="I598" s="4"/>
      <c r="J598" s="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25">
      <c r="A599" s="1"/>
      <c r="B599" s="2"/>
      <c r="C599" s="3"/>
      <c r="D599" s="4"/>
      <c r="E599" s="4"/>
      <c r="F599" s="4"/>
      <c r="G599" s="4"/>
      <c r="H599" s="4"/>
      <c r="I599" s="4"/>
      <c r="J599" s="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25">
      <c r="A600" s="1"/>
      <c r="B600" s="2"/>
      <c r="C600" s="3"/>
      <c r="D600" s="4"/>
      <c r="E600" s="4"/>
      <c r="F600" s="4"/>
      <c r="G600" s="4"/>
      <c r="H600" s="4"/>
      <c r="I600" s="4"/>
      <c r="J600" s="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25">
      <c r="A601" s="1"/>
      <c r="B601" s="2"/>
      <c r="C601" s="3"/>
      <c r="D601" s="4"/>
      <c r="E601" s="4"/>
      <c r="F601" s="4"/>
      <c r="G601" s="4"/>
      <c r="H601" s="4"/>
      <c r="I601" s="4"/>
      <c r="J601" s="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25">
      <c r="A602" s="1"/>
      <c r="B602" s="2"/>
      <c r="C602" s="3"/>
      <c r="D602" s="4"/>
      <c r="E602" s="4"/>
      <c r="F602" s="4"/>
      <c r="G602" s="4"/>
      <c r="H602" s="4"/>
      <c r="I602" s="4"/>
      <c r="J602" s="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25">
      <c r="A603" s="1"/>
      <c r="B603" s="2"/>
      <c r="C603" s="3"/>
      <c r="D603" s="4"/>
      <c r="E603" s="4"/>
      <c r="F603" s="4"/>
      <c r="G603" s="4"/>
      <c r="H603" s="4"/>
      <c r="I603" s="4"/>
      <c r="J603" s="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25">
      <c r="A604" s="1"/>
      <c r="B604" s="2"/>
      <c r="C604" s="3"/>
      <c r="D604" s="4"/>
      <c r="E604" s="4"/>
      <c r="F604" s="4"/>
      <c r="G604" s="4"/>
      <c r="H604" s="4"/>
      <c r="I604" s="4"/>
      <c r="J604" s="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25">
      <c r="A605" s="1"/>
      <c r="B605" s="2"/>
      <c r="C605" s="3"/>
      <c r="D605" s="4"/>
      <c r="E605" s="4"/>
      <c r="F605" s="4"/>
      <c r="G605" s="4"/>
      <c r="H605" s="4"/>
      <c r="I605" s="4"/>
      <c r="J605" s="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25">
      <c r="A606" s="1"/>
      <c r="B606" s="2"/>
      <c r="C606" s="3"/>
      <c r="D606" s="4"/>
      <c r="E606" s="4"/>
      <c r="F606" s="4"/>
      <c r="G606" s="4"/>
      <c r="H606" s="4"/>
      <c r="I606" s="4"/>
      <c r="J606" s="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25">
      <c r="A607" s="1"/>
      <c r="B607" s="2"/>
      <c r="C607" s="3"/>
      <c r="D607" s="4"/>
      <c r="E607" s="4"/>
      <c r="F607" s="4"/>
      <c r="G607" s="4"/>
      <c r="H607" s="4"/>
      <c r="I607" s="4"/>
      <c r="J607" s="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25">
      <c r="A608" s="1"/>
      <c r="B608" s="2"/>
      <c r="C608" s="3"/>
      <c r="D608" s="4"/>
      <c r="E608" s="4"/>
      <c r="F608" s="4"/>
      <c r="G608" s="4"/>
      <c r="H608" s="4"/>
      <c r="I608" s="4"/>
      <c r="J608" s="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25">
      <c r="A609" s="1"/>
      <c r="B609" s="2"/>
      <c r="C609" s="3"/>
      <c r="D609" s="4"/>
      <c r="E609" s="4"/>
      <c r="F609" s="4"/>
      <c r="G609" s="4"/>
      <c r="H609" s="4"/>
      <c r="I609" s="4"/>
      <c r="J609" s="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25">
      <c r="A610" s="1"/>
      <c r="B610" s="2"/>
      <c r="C610" s="3"/>
      <c r="D610" s="4"/>
      <c r="E610" s="4"/>
      <c r="F610" s="4"/>
      <c r="G610" s="4"/>
      <c r="H610" s="4"/>
      <c r="I610" s="4"/>
      <c r="J610" s="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25">
      <c r="A611" s="1"/>
      <c r="B611" s="2"/>
      <c r="C611" s="3"/>
      <c r="D611" s="4"/>
      <c r="E611" s="4"/>
      <c r="F611" s="4"/>
      <c r="G611" s="4"/>
      <c r="H611" s="4"/>
      <c r="I611" s="4"/>
      <c r="J611" s="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25">
      <c r="A612" s="1"/>
      <c r="B612" s="2"/>
      <c r="C612" s="3"/>
      <c r="D612" s="4"/>
      <c r="E612" s="4"/>
      <c r="F612" s="4"/>
      <c r="G612" s="4"/>
      <c r="H612" s="4"/>
      <c r="I612" s="4"/>
      <c r="J612" s="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25">
      <c r="A613" s="1"/>
      <c r="B613" s="2"/>
      <c r="C613" s="3"/>
      <c r="D613" s="4"/>
      <c r="E613" s="4"/>
      <c r="F613" s="4"/>
      <c r="G613" s="4"/>
      <c r="H613" s="4"/>
      <c r="I613" s="4"/>
      <c r="J613" s="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25">
      <c r="A614" s="1"/>
      <c r="B614" s="2"/>
      <c r="C614" s="3"/>
      <c r="D614" s="4"/>
      <c r="E614" s="4"/>
      <c r="F614" s="4"/>
      <c r="G614" s="4"/>
      <c r="H614" s="4"/>
      <c r="I614" s="4"/>
      <c r="J614" s="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25">
      <c r="A615" s="1"/>
      <c r="B615" s="2"/>
      <c r="C615" s="3"/>
      <c r="D615" s="4"/>
      <c r="E615" s="4"/>
      <c r="F615" s="4"/>
      <c r="G615" s="4"/>
      <c r="H615" s="4"/>
      <c r="I615" s="4"/>
      <c r="J615" s="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25">
      <c r="A616" s="1"/>
      <c r="B616" s="2"/>
      <c r="C616" s="3"/>
      <c r="D616" s="4"/>
      <c r="E616" s="4"/>
      <c r="F616" s="4"/>
      <c r="G616" s="4"/>
      <c r="H616" s="4"/>
      <c r="I616" s="4"/>
      <c r="J616" s="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25">
      <c r="A617" s="1"/>
      <c r="B617" s="2"/>
      <c r="C617" s="3"/>
      <c r="D617" s="4"/>
      <c r="E617" s="4"/>
      <c r="F617" s="4"/>
      <c r="G617" s="4"/>
      <c r="H617" s="4"/>
      <c r="I617" s="4"/>
      <c r="J617" s="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25">
      <c r="A618" s="1"/>
      <c r="B618" s="2"/>
      <c r="C618" s="3"/>
      <c r="D618" s="4"/>
      <c r="E618" s="4"/>
      <c r="F618" s="4"/>
      <c r="G618" s="4"/>
      <c r="H618" s="4"/>
      <c r="I618" s="4"/>
      <c r="J618" s="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25">
      <c r="A619" s="1"/>
      <c r="B619" s="2"/>
      <c r="C619" s="3"/>
      <c r="D619" s="4"/>
      <c r="E619" s="4"/>
      <c r="F619" s="4"/>
      <c r="G619" s="4"/>
      <c r="H619" s="4"/>
      <c r="I619" s="4"/>
      <c r="J619" s="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25">
      <c r="A620" s="1"/>
      <c r="B620" s="2"/>
      <c r="C620" s="3"/>
      <c r="D620" s="4"/>
      <c r="E620" s="4"/>
      <c r="F620" s="4"/>
      <c r="G620" s="4"/>
      <c r="H620" s="4"/>
      <c r="I620" s="4"/>
      <c r="J620" s="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25">
      <c r="A621" s="1"/>
      <c r="B621" s="2"/>
      <c r="C621" s="3"/>
      <c r="D621" s="4"/>
      <c r="E621" s="4"/>
      <c r="F621" s="4"/>
      <c r="G621" s="4"/>
      <c r="H621" s="4"/>
      <c r="I621" s="4"/>
      <c r="J621" s="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25">
      <c r="A622" s="1"/>
      <c r="B622" s="2"/>
      <c r="C622" s="3"/>
      <c r="D622" s="4"/>
      <c r="E622" s="4"/>
      <c r="F622" s="4"/>
      <c r="G622" s="4"/>
      <c r="H622" s="4"/>
      <c r="I622" s="4"/>
      <c r="J622" s="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25">
      <c r="A623" s="1"/>
      <c r="B623" s="2"/>
      <c r="C623" s="3"/>
      <c r="D623" s="4"/>
      <c r="E623" s="4"/>
      <c r="F623" s="4"/>
      <c r="G623" s="4"/>
      <c r="H623" s="4"/>
      <c r="I623" s="4"/>
      <c r="J623" s="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25">
      <c r="A624" s="1"/>
      <c r="B624" s="2"/>
      <c r="C624" s="3"/>
      <c r="D624" s="4"/>
      <c r="E624" s="4"/>
      <c r="F624" s="4"/>
      <c r="G624" s="4"/>
      <c r="H624" s="4"/>
      <c r="I624" s="4"/>
      <c r="J624" s="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25">
      <c r="A625" s="1"/>
      <c r="B625" s="2"/>
      <c r="C625" s="3"/>
      <c r="D625" s="4"/>
      <c r="E625" s="4"/>
      <c r="F625" s="4"/>
      <c r="G625" s="4"/>
      <c r="H625" s="4"/>
      <c r="I625" s="4"/>
      <c r="J625" s="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25">
      <c r="A626" s="1"/>
      <c r="B626" s="2"/>
      <c r="C626" s="3"/>
      <c r="D626" s="4"/>
      <c r="E626" s="4"/>
      <c r="F626" s="4"/>
      <c r="G626" s="4"/>
      <c r="H626" s="4"/>
      <c r="I626" s="4"/>
      <c r="J626" s="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25">
      <c r="A627" s="1"/>
      <c r="B627" s="2"/>
      <c r="C627" s="3"/>
      <c r="D627" s="4"/>
      <c r="E627" s="4"/>
      <c r="F627" s="4"/>
      <c r="G627" s="4"/>
      <c r="H627" s="4"/>
      <c r="I627" s="4"/>
      <c r="J627" s="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25">
      <c r="A628" s="1"/>
      <c r="B628" s="2"/>
      <c r="C628" s="3"/>
      <c r="D628" s="4"/>
      <c r="E628" s="4"/>
      <c r="F628" s="4"/>
      <c r="G628" s="4"/>
      <c r="H628" s="4"/>
      <c r="I628" s="4"/>
      <c r="J628" s="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25">
      <c r="A629" s="1"/>
      <c r="B629" s="2"/>
      <c r="C629" s="3"/>
      <c r="D629" s="4"/>
      <c r="E629" s="4"/>
      <c r="F629" s="4"/>
      <c r="G629" s="4"/>
      <c r="H629" s="4"/>
      <c r="I629" s="4"/>
      <c r="J629" s="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25">
      <c r="A630" s="1"/>
      <c r="B630" s="2"/>
      <c r="C630" s="3"/>
      <c r="D630" s="4"/>
      <c r="E630" s="4"/>
      <c r="F630" s="4"/>
      <c r="G630" s="4"/>
      <c r="H630" s="4"/>
      <c r="I630" s="4"/>
      <c r="J630" s="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25">
      <c r="A631" s="1"/>
      <c r="B631" s="2"/>
      <c r="C631" s="3"/>
      <c r="D631" s="4"/>
      <c r="E631" s="4"/>
      <c r="F631" s="4"/>
      <c r="G631" s="4"/>
      <c r="H631" s="4"/>
      <c r="I631" s="4"/>
      <c r="J631" s="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25">
      <c r="A632" s="1"/>
      <c r="B632" s="2"/>
      <c r="C632" s="3"/>
      <c r="D632" s="4"/>
      <c r="E632" s="4"/>
      <c r="F632" s="4"/>
      <c r="G632" s="4"/>
      <c r="H632" s="4"/>
      <c r="I632" s="4"/>
      <c r="J632" s="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25">
      <c r="A633" s="1"/>
      <c r="B633" s="2"/>
      <c r="C633" s="3"/>
      <c r="D633" s="4"/>
      <c r="E633" s="4"/>
      <c r="F633" s="4"/>
      <c r="G633" s="4"/>
      <c r="H633" s="4"/>
      <c r="I633" s="4"/>
      <c r="J633" s="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25">
      <c r="A634" s="1"/>
      <c r="B634" s="2"/>
      <c r="C634" s="3"/>
      <c r="D634" s="4"/>
      <c r="E634" s="4"/>
      <c r="F634" s="4"/>
      <c r="G634" s="4"/>
      <c r="H634" s="4"/>
      <c r="I634" s="4"/>
      <c r="J634" s="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25">
      <c r="A635" s="1"/>
      <c r="B635" s="2"/>
      <c r="C635" s="3"/>
      <c r="D635" s="4"/>
      <c r="E635" s="4"/>
      <c r="F635" s="4"/>
      <c r="G635" s="4"/>
      <c r="H635" s="4"/>
      <c r="I635" s="4"/>
      <c r="J635" s="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25">
      <c r="A636" s="1"/>
      <c r="B636" s="2"/>
      <c r="C636" s="3"/>
      <c r="D636" s="4"/>
      <c r="E636" s="4"/>
      <c r="F636" s="4"/>
      <c r="G636" s="4"/>
      <c r="H636" s="4"/>
      <c r="I636" s="4"/>
      <c r="J636" s="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25">
      <c r="A637" s="1"/>
      <c r="B637" s="2"/>
      <c r="C637" s="3"/>
      <c r="D637" s="4"/>
      <c r="E637" s="4"/>
      <c r="F637" s="4"/>
      <c r="G637" s="4"/>
      <c r="H637" s="4"/>
      <c r="I637" s="4"/>
      <c r="J637" s="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25">
      <c r="A638" s="1"/>
      <c r="B638" s="2"/>
      <c r="C638" s="3"/>
      <c r="D638" s="4"/>
      <c r="E638" s="4"/>
      <c r="F638" s="4"/>
      <c r="G638" s="4"/>
      <c r="H638" s="4"/>
      <c r="I638" s="4"/>
      <c r="J638" s="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25">
      <c r="A639" s="1"/>
      <c r="B639" s="2"/>
      <c r="C639" s="3"/>
      <c r="D639" s="4"/>
      <c r="E639" s="4"/>
      <c r="F639" s="4"/>
      <c r="G639" s="4"/>
      <c r="H639" s="4"/>
      <c r="I639" s="4"/>
      <c r="J639" s="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25">
      <c r="A640" s="1"/>
      <c r="B640" s="2"/>
      <c r="C640" s="3"/>
      <c r="D640" s="4"/>
      <c r="E640" s="4"/>
      <c r="F640" s="4"/>
      <c r="G640" s="4"/>
      <c r="H640" s="4"/>
      <c r="I640" s="4"/>
      <c r="J640" s="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25">
      <c r="A641" s="1"/>
      <c r="B641" s="2"/>
      <c r="C641" s="3"/>
      <c r="D641" s="4"/>
      <c r="E641" s="4"/>
      <c r="F641" s="4"/>
      <c r="G641" s="4"/>
      <c r="H641" s="4"/>
      <c r="I641" s="4"/>
      <c r="J641" s="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25">
      <c r="A642" s="1"/>
      <c r="B642" s="2"/>
      <c r="C642" s="3"/>
      <c r="D642" s="4"/>
      <c r="E642" s="4"/>
      <c r="F642" s="4"/>
      <c r="G642" s="4"/>
      <c r="H642" s="4"/>
      <c r="I642" s="4"/>
      <c r="J642" s="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25">
      <c r="A643" s="1"/>
      <c r="B643" s="2"/>
      <c r="C643" s="3"/>
      <c r="D643" s="4"/>
      <c r="E643" s="4"/>
      <c r="F643" s="4"/>
      <c r="G643" s="4"/>
      <c r="H643" s="4"/>
      <c r="I643" s="4"/>
      <c r="J643" s="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25">
      <c r="A644" s="1"/>
      <c r="B644" s="2"/>
      <c r="C644" s="3"/>
      <c r="D644" s="4"/>
      <c r="E644" s="4"/>
      <c r="F644" s="4"/>
      <c r="G644" s="4"/>
      <c r="H644" s="4"/>
      <c r="I644" s="4"/>
      <c r="J644" s="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25">
      <c r="A645" s="1"/>
      <c r="B645" s="2"/>
      <c r="C645" s="3"/>
      <c r="D645" s="4"/>
      <c r="E645" s="4"/>
      <c r="F645" s="4"/>
      <c r="G645" s="4"/>
      <c r="H645" s="4"/>
      <c r="I645" s="4"/>
      <c r="J645" s="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25">
      <c r="A646" s="1"/>
      <c r="B646" s="2"/>
      <c r="C646" s="3"/>
      <c r="D646" s="4"/>
      <c r="E646" s="4"/>
      <c r="F646" s="4"/>
      <c r="G646" s="4"/>
      <c r="H646" s="4"/>
      <c r="I646" s="4"/>
      <c r="J646" s="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25">
      <c r="A647" s="1"/>
      <c r="B647" s="2"/>
      <c r="C647" s="3"/>
      <c r="D647" s="4"/>
      <c r="E647" s="4"/>
      <c r="F647" s="4"/>
      <c r="G647" s="4"/>
      <c r="H647" s="4"/>
      <c r="I647" s="4"/>
      <c r="J647" s="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25">
      <c r="A648" s="1"/>
      <c r="B648" s="2"/>
      <c r="C648" s="3"/>
      <c r="D648" s="4"/>
      <c r="E648" s="4"/>
      <c r="F648" s="4"/>
      <c r="G648" s="4"/>
      <c r="H648" s="4"/>
      <c r="I648" s="4"/>
      <c r="J648" s="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25">
      <c r="A649" s="1"/>
      <c r="B649" s="2"/>
      <c r="C649" s="3"/>
      <c r="D649" s="4"/>
      <c r="E649" s="4"/>
      <c r="F649" s="4"/>
      <c r="G649" s="4"/>
      <c r="H649" s="4"/>
      <c r="I649" s="4"/>
      <c r="J649" s="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25">
      <c r="A650" s="1"/>
      <c r="B650" s="2"/>
      <c r="C650" s="3"/>
      <c r="D650" s="4"/>
      <c r="E650" s="4"/>
      <c r="F650" s="4"/>
      <c r="G650" s="4"/>
      <c r="H650" s="4"/>
      <c r="I650" s="4"/>
      <c r="J650" s="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25">
      <c r="A651" s="1"/>
      <c r="B651" s="2"/>
      <c r="C651" s="3"/>
      <c r="D651" s="4"/>
      <c r="E651" s="4"/>
      <c r="F651" s="4"/>
      <c r="G651" s="4"/>
      <c r="H651" s="4"/>
      <c r="I651" s="4"/>
      <c r="J651" s="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25">
      <c r="A652" s="1"/>
      <c r="B652" s="2"/>
      <c r="C652" s="3"/>
      <c r="D652" s="4"/>
      <c r="E652" s="4"/>
      <c r="F652" s="4"/>
      <c r="G652" s="4"/>
      <c r="H652" s="4"/>
      <c r="I652" s="4"/>
      <c r="J652" s="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25">
      <c r="A653" s="1"/>
      <c r="B653" s="2"/>
      <c r="C653" s="3"/>
      <c r="D653" s="4"/>
      <c r="E653" s="4"/>
      <c r="F653" s="4"/>
      <c r="G653" s="4"/>
      <c r="H653" s="4"/>
      <c r="I653" s="4"/>
      <c r="J653" s="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25">
      <c r="A654" s="1"/>
      <c r="B654" s="2"/>
      <c r="C654" s="3"/>
      <c r="D654" s="4"/>
      <c r="E654" s="4"/>
      <c r="F654" s="4"/>
      <c r="G654" s="4"/>
      <c r="H654" s="4"/>
      <c r="I654" s="4"/>
      <c r="J654" s="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25">
      <c r="A655" s="1"/>
      <c r="B655" s="2"/>
      <c r="C655" s="3"/>
      <c r="D655" s="4"/>
      <c r="E655" s="4"/>
      <c r="F655" s="4"/>
      <c r="G655" s="4"/>
      <c r="H655" s="4"/>
      <c r="I655" s="4"/>
      <c r="J655" s="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25">
      <c r="A656" s="1"/>
      <c r="B656" s="2"/>
      <c r="C656" s="3"/>
      <c r="D656" s="4"/>
      <c r="E656" s="4"/>
      <c r="F656" s="4"/>
      <c r="G656" s="4"/>
      <c r="H656" s="4"/>
      <c r="I656" s="4"/>
      <c r="J656" s="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25">
      <c r="A657" s="1"/>
      <c r="B657" s="2"/>
      <c r="C657" s="3"/>
      <c r="D657" s="4"/>
      <c r="E657" s="4"/>
      <c r="F657" s="4"/>
      <c r="G657" s="4"/>
      <c r="H657" s="4"/>
      <c r="I657" s="4"/>
      <c r="J657" s="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25">
      <c r="A658" s="1"/>
      <c r="B658" s="2"/>
      <c r="C658" s="3"/>
      <c r="D658" s="4"/>
      <c r="E658" s="4"/>
      <c r="F658" s="4"/>
      <c r="G658" s="4"/>
      <c r="H658" s="4"/>
      <c r="I658" s="4"/>
      <c r="J658" s="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25">
      <c r="A659" s="1"/>
      <c r="B659" s="2"/>
      <c r="C659" s="3"/>
      <c r="D659" s="4"/>
      <c r="E659" s="4"/>
      <c r="F659" s="4"/>
      <c r="G659" s="4"/>
      <c r="H659" s="4"/>
      <c r="I659" s="4"/>
      <c r="J659" s="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25">
      <c r="A660" s="1"/>
      <c r="B660" s="2"/>
      <c r="C660" s="3"/>
      <c r="D660" s="4"/>
      <c r="E660" s="4"/>
      <c r="F660" s="4"/>
      <c r="G660" s="4"/>
      <c r="H660" s="4"/>
      <c r="I660" s="4"/>
      <c r="J660" s="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25">
      <c r="A661" s="1"/>
      <c r="B661" s="2"/>
      <c r="C661" s="3"/>
      <c r="D661" s="4"/>
      <c r="E661" s="4"/>
      <c r="F661" s="4"/>
      <c r="G661" s="4"/>
      <c r="H661" s="4"/>
      <c r="I661" s="4"/>
      <c r="J661" s="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25">
      <c r="A662" s="1"/>
      <c r="B662" s="2"/>
      <c r="C662" s="3"/>
      <c r="D662" s="4"/>
      <c r="E662" s="4"/>
      <c r="F662" s="4"/>
      <c r="G662" s="4"/>
      <c r="H662" s="4"/>
      <c r="I662" s="4"/>
      <c r="J662" s="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25">
      <c r="A663" s="1"/>
      <c r="B663" s="2"/>
      <c r="C663" s="3"/>
      <c r="D663" s="4"/>
      <c r="E663" s="4"/>
      <c r="F663" s="4"/>
      <c r="G663" s="4"/>
      <c r="H663" s="4"/>
      <c r="I663" s="4"/>
      <c r="J663" s="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25">
      <c r="A664" s="1"/>
      <c r="B664" s="2"/>
      <c r="C664" s="3"/>
      <c r="D664" s="4"/>
      <c r="E664" s="4"/>
      <c r="F664" s="4"/>
      <c r="G664" s="4"/>
      <c r="H664" s="4"/>
      <c r="I664" s="4"/>
      <c r="J664" s="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25">
      <c r="A665" s="1"/>
      <c r="B665" s="2"/>
      <c r="C665" s="3"/>
      <c r="D665" s="4"/>
      <c r="E665" s="4"/>
      <c r="F665" s="4"/>
      <c r="G665" s="4"/>
      <c r="H665" s="4"/>
      <c r="I665" s="4"/>
      <c r="J665" s="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25">
      <c r="A666" s="1"/>
      <c r="B666" s="2"/>
      <c r="C666" s="3"/>
      <c r="D666" s="4"/>
      <c r="E666" s="4"/>
      <c r="F666" s="4"/>
      <c r="G666" s="4"/>
      <c r="H666" s="4"/>
      <c r="I666" s="4"/>
      <c r="J666" s="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25">
      <c r="A667" s="1"/>
      <c r="B667" s="2"/>
      <c r="C667" s="3"/>
      <c r="D667" s="4"/>
      <c r="E667" s="4"/>
      <c r="F667" s="4"/>
      <c r="G667" s="4"/>
      <c r="H667" s="4"/>
      <c r="I667" s="4"/>
      <c r="J667" s="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25">
      <c r="A668" s="1"/>
      <c r="B668" s="2"/>
      <c r="C668" s="3"/>
      <c r="D668" s="4"/>
      <c r="E668" s="4"/>
      <c r="F668" s="4"/>
      <c r="G668" s="4"/>
      <c r="H668" s="4"/>
      <c r="I668" s="4"/>
      <c r="J668" s="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25">
      <c r="A669" s="1"/>
      <c r="B669" s="2"/>
      <c r="C669" s="3"/>
      <c r="D669" s="4"/>
      <c r="E669" s="4"/>
      <c r="F669" s="4"/>
      <c r="G669" s="4"/>
      <c r="H669" s="4"/>
      <c r="I669" s="4"/>
      <c r="J669" s="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25">
      <c r="A670" s="1"/>
      <c r="B670" s="2"/>
      <c r="C670" s="3"/>
      <c r="D670" s="4"/>
      <c r="E670" s="4"/>
      <c r="F670" s="4"/>
      <c r="G670" s="4"/>
      <c r="H670" s="4"/>
      <c r="I670" s="4"/>
      <c r="J670" s="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25">
      <c r="A671" s="1"/>
      <c r="B671" s="2"/>
      <c r="C671" s="3"/>
      <c r="D671" s="4"/>
      <c r="E671" s="4"/>
      <c r="F671" s="4"/>
      <c r="G671" s="4"/>
      <c r="H671" s="4"/>
      <c r="I671" s="4"/>
      <c r="J671" s="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25">
      <c r="A672" s="1"/>
      <c r="B672" s="2"/>
      <c r="C672" s="3"/>
      <c r="D672" s="4"/>
      <c r="E672" s="4"/>
      <c r="F672" s="4"/>
      <c r="G672" s="4"/>
      <c r="H672" s="4"/>
      <c r="I672" s="4"/>
      <c r="J672" s="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25">
      <c r="A673" s="1"/>
      <c r="B673" s="2"/>
      <c r="C673" s="3"/>
      <c r="D673" s="4"/>
      <c r="E673" s="4"/>
      <c r="F673" s="4"/>
      <c r="G673" s="4"/>
      <c r="H673" s="4"/>
      <c r="I673" s="4"/>
      <c r="J673" s="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25">
      <c r="A674" s="1"/>
      <c r="B674" s="2"/>
      <c r="C674" s="3"/>
      <c r="D674" s="4"/>
      <c r="E674" s="4"/>
      <c r="F674" s="4"/>
      <c r="G674" s="4"/>
      <c r="H674" s="4"/>
      <c r="I674" s="4"/>
      <c r="J674" s="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25">
      <c r="A675" s="1"/>
      <c r="B675" s="2"/>
      <c r="C675" s="3"/>
      <c r="D675" s="4"/>
      <c r="E675" s="4"/>
      <c r="F675" s="4"/>
      <c r="G675" s="4"/>
      <c r="H675" s="4"/>
      <c r="I675" s="4"/>
      <c r="J675" s="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25">
      <c r="A676" s="1"/>
      <c r="B676" s="2"/>
      <c r="C676" s="3"/>
      <c r="D676" s="4"/>
      <c r="E676" s="4"/>
      <c r="F676" s="4"/>
      <c r="G676" s="4"/>
      <c r="H676" s="4"/>
      <c r="I676" s="4"/>
      <c r="J676" s="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25">
      <c r="A677" s="1"/>
      <c r="B677" s="2"/>
      <c r="C677" s="3"/>
      <c r="D677" s="4"/>
      <c r="E677" s="4"/>
      <c r="F677" s="4"/>
      <c r="G677" s="4"/>
      <c r="H677" s="4"/>
      <c r="I677" s="4"/>
      <c r="J677" s="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25">
      <c r="A678" s="1"/>
      <c r="B678" s="2"/>
      <c r="C678" s="3"/>
      <c r="D678" s="4"/>
      <c r="E678" s="4"/>
      <c r="F678" s="4"/>
      <c r="G678" s="4"/>
      <c r="H678" s="4"/>
      <c r="I678" s="4"/>
      <c r="J678" s="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25">
      <c r="A679" s="1"/>
      <c r="B679" s="2"/>
      <c r="C679" s="3"/>
      <c r="D679" s="4"/>
      <c r="E679" s="4"/>
      <c r="F679" s="4"/>
      <c r="G679" s="4"/>
      <c r="H679" s="4"/>
      <c r="I679" s="4"/>
      <c r="J679" s="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25">
      <c r="A680" s="1"/>
      <c r="B680" s="2"/>
      <c r="C680" s="3"/>
      <c r="D680" s="4"/>
      <c r="E680" s="4"/>
      <c r="F680" s="4"/>
      <c r="G680" s="4"/>
      <c r="H680" s="4"/>
      <c r="I680" s="4"/>
      <c r="J680" s="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25">
      <c r="A681" s="1"/>
      <c r="B681" s="2"/>
      <c r="C681" s="3"/>
      <c r="D681" s="4"/>
      <c r="E681" s="4"/>
      <c r="F681" s="4"/>
      <c r="G681" s="4"/>
      <c r="H681" s="4"/>
      <c r="I681" s="4"/>
      <c r="J681" s="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25">
      <c r="A682" s="1"/>
      <c r="B682" s="2"/>
      <c r="C682" s="3"/>
      <c r="D682" s="4"/>
      <c r="E682" s="4"/>
      <c r="F682" s="4"/>
      <c r="G682" s="4"/>
      <c r="H682" s="4"/>
      <c r="I682" s="4"/>
      <c r="J682" s="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25">
      <c r="A683" s="1"/>
      <c r="B683" s="2"/>
      <c r="C683" s="3"/>
      <c r="D683" s="4"/>
      <c r="E683" s="4"/>
      <c r="F683" s="4"/>
      <c r="G683" s="4"/>
      <c r="H683" s="4"/>
      <c r="I683" s="4"/>
      <c r="J683" s="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25">
      <c r="A684" s="1"/>
      <c r="B684" s="2"/>
      <c r="C684" s="3"/>
      <c r="D684" s="4"/>
      <c r="E684" s="4"/>
      <c r="F684" s="4"/>
      <c r="G684" s="4"/>
      <c r="H684" s="4"/>
      <c r="I684" s="4"/>
      <c r="J684" s="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25">
      <c r="A685" s="1"/>
      <c r="B685" s="2"/>
      <c r="C685" s="3"/>
      <c r="D685" s="4"/>
      <c r="E685" s="4"/>
      <c r="F685" s="4"/>
      <c r="G685" s="4"/>
      <c r="H685" s="4"/>
      <c r="I685" s="4"/>
      <c r="J685" s="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25">
      <c r="A686" s="1"/>
      <c r="B686" s="2"/>
      <c r="C686" s="3"/>
      <c r="D686" s="4"/>
      <c r="E686" s="4"/>
      <c r="F686" s="4"/>
      <c r="G686" s="4"/>
      <c r="H686" s="4"/>
      <c r="I686" s="4"/>
      <c r="J686" s="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25">
      <c r="A687" s="1"/>
      <c r="B687" s="2"/>
      <c r="C687" s="3"/>
      <c r="D687" s="4"/>
      <c r="E687" s="4"/>
      <c r="F687" s="4"/>
      <c r="G687" s="4"/>
      <c r="H687" s="4"/>
      <c r="I687" s="4"/>
      <c r="J687" s="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25">
      <c r="A688" s="1"/>
      <c r="B688" s="2"/>
      <c r="C688" s="3"/>
      <c r="D688" s="4"/>
      <c r="E688" s="4"/>
      <c r="F688" s="4"/>
      <c r="G688" s="4"/>
      <c r="H688" s="4"/>
      <c r="I688" s="4"/>
      <c r="J688" s="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25">
      <c r="A689" s="1"/>
      <c r="B689" s="2"/>
      <c r="C689" s="3"/>
      <c r="D689" s="4"/>
      <c r="E689" s="4"/>
      <c r="F689" s="4"/>
      <c r="G689" s="4"/>
      <c r="H689" s="4"/>
      <c r="I689" s="4"/>
      <c r="J689" s="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25">
      <c r="A690" s="1"/>
      <c r="B690" s="2"/>
      <c r="C690" s="3"/>
      <c r="D690" s="4"/>
      <c r="E690" s="4"/>
      <c r="F690" s="4"/>
      <c r="G690" s="4"/>
      <c r="H690" s="4"/>
      <c r="I690" s="4"/>
      <c r="J690" s="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25">
      <c r="A691" s="1"/>
      <c r="B691" s="2"/>
      <c r="C691" s="3"/>
      <c r="D691" s="4"/>
      <c r="E691" s="4"/>
      <c r="F691" s="4"/>
      <c r="G691" s="4"/>
      <c r="H691" s="4"/>
      <c r="I691" s="4"/>
      <c r="J691" s="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25">
      <c r="A692" s="1"/>
      <c r="B692" s="2"/>
      <c r="C692" s="3"/>
      <c r="D692" s="4"/>
      <c r="E692" s="4"/>
      <c r="F692" s="4"/>
      <c r="G692" s="4"/>
      <c r="H692" s="4"/>
      <c r="I692" s="4"/>
      <c r="J692" s="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25">
      <c r="A693" s="1"/>
      <c r="B693" s="2"/>
      <c r="C693" s="3"/>
      <c r="D693" s="4"/>
      <c r="E693" s="4"/>
      <c r="F693" s="4"/>
      <c r="G693" s="4"/>
      <c r="H693" s="4"/>
      <c r="I693" s="4"/>
      <c r="J693" s="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25">
      <c r="A694" s="1"/>
      <c r="B694" s="2"/>
      <c r="C694" s="3"/>
      <c r="D694" s="4"/>
      <c r="E694" s="4"/>
      <c r="F694" s="4"/>
      <c r="G694" s="4"/>
      <c r="H694" s="4"/>
      <c r="I694" s="4"/>
      <c r="J694" s="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25">
      <c r="A695" s="1"/>
      <c r="B695" s="2"/>
      <c r="C695" s="3"/>
      <c r="D695" s="4"/>
      <c r="E695" s="4"/>
      <c r="F695" s="4"/>
      <c r="G695" s="4"/>
      <c r="H695" s="4"/>
      <c r="I695" s="4"/>
      <c r="J695" s="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25">
      <c r="A696" s="1"/>
      <c r="B696" s="2"/>
      <c r="C696" s="3"/>
      <c r="D696" s="4"/>
      <c r="E696" s="4"/>
      <c r="F696" s="4"/>
      <c r="G696" s="4"/>
      <c r="H696" s="4"/>
      <c r="I696" s="4"/>
      <c r="J696" s="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25">
      <c r="A697" s="1"/>
      <c r="B697" s="2"/>
      <c r="C697" s="3"/>
      <c r="D697" s="4"/>
      <c r="E697" s="4"/>
      <c r="F697" s="4"/>
      <c r="G697" s="4"/>
      <c r="H697" s="4"/>
      <c r="I697" s="4"/>
      <c r="J697" s="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25">
      <c r="A698" s="1"/>
      <c r="B698" s="2"/>
      <c r="C698" s="3"/>
      <c r="D698" s="4"/>
      <c r="E698" s="4"/>
      <c r="F698" s="4"/>
      <c r="G698" s="4"/>
      <c r="H698" s="4"/>
      <c r="I698" s="4"/>
      <c r="J698" s="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25">
      <c r="A699" s="1"/>
      <c r="B699" s="2"/>
      <c r="C699" s="3"/>
      <c r="D699" s="4"/>
      <c r="E699" s="4"/>
      <c r="F699" s="4"/>
      <c r="G699" s="4"/>
      <c r="H699" s="4"/>
      <c r="I699" s="4"/>
      <c r="J699" s="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25">
      <c r="A700" s="1"/>
      <c r="B700" s="2"/>
      <c r="C700" s="3"/>
      <c r="D700" s="4"/>
      <c r="E700" s="4"/>
      <c r="F700" s="4"/>
      <c r="G700" s="4"/>
      <c r="H700" s="4"/>
      <c r="I700" s="4"/>
      <c r="J700" s="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25">
      <c r="A701" s="1"/>
      <c r="B701" s="2"/>
      <c r="C701" s="3"/>
      <c r="D701" s="4"/>
      <c r="E701" s="4"/>
      <c r="F701" s="4"/>
      <c r="G701" s="4"/>
      <c r="H701" s="4"/>
      <c r="I701" s="4"/>
      <c r="J701" s="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25">
      <c r="A702" s="1"/>
      <c r="B702" s="2"/>
      <c r="C702" s="3"/>
      <c r="D702" s="4"/>
      <c r="E702" s="4"/>
      <c r="F702" s="4"/>
      <c r="G702" s="4"/>
      <c r="H702" s="4"/>
      <c r="I702" s="4"/>
      <c r="J702" s="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25">
      <c r="A703" s="1"/>
      <c r="B703" s="2"/>
      <c r="C703" s="3"/>
      <c r="D703" s="4"/>
      <c r="E703" s="4"/>
      <c r="F703" s="4"/>
      <c r="G703" s="4"/>
      <c r="H703" s="4"/>
      <c r="I703" s="4"/>
      <c r="J703" s="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25">
      <c r="A704" s="1"/>
      <c r="B704" s="2"/>
      <c r="C704" s="3"/>
      <c r="D704" s="4"/>
      <c r="E704" s="4"/>
      <c r="F704" s="4"/>
      <c r="G704" s="4"/>
      <c r="H704" s="4"/>
      <c r="I704" s="4"/>
      <c r="J704" s="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25">
      <c r="A705" s="1"/>
      <c r="B705" s="2"/>
      <c r="C705" s="3"/>
      <c r="D705" s="4"/>
      <c r="E705" s="4"/>
      <c r="F705" s="4"/>
      <c r="G705" s="4"/>
      <c r="H705" s="4"/>
      <c r="I705" s="4"/>
      <c r="J705" s="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25">
      <c r="A706" s="1"/>
      <c r="B706" s="2"/>
      <c r="C706" s="3"/>
      <c r="D706" s="4"/>
      <c r="E706" s="4"/>
      <c r="F706" s="4"/>
      <c r="G706" s="4"/>
      <c r="H706" s="4"/>
      <c r="I706" s="4"/>
      <c r="J706" s="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25">
      <c r="A707" s="1"/>
      <c r="B707" s="2"/>
      <c r="C707" s="3"/>
      <c r="D707" s="4"/>
      <c r="E707" s="4"/>
      <c r="F707" s="4"/>
      <c r="G707" s="4"/>
      <c r="H707" s="4"/>
      <c r="I707" s="4"/>
      <c r="J707" s="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25">
      <c r="A708" s="1"/>
      <c r="B708" s="2"/>
      <c r="C708" s="3"/>
      <c r="D708" s="4"/>
      <c r="E708" s="4"/>
      <c r="F708" s="4"/>
      <c r="G708" s="4"/>
      <c r="H708" s="4"/>
      <c r="I708" s="4"/>
      <c r="J708" s="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25">
      <c r="A709" s="1"/>
      <c r="B709" s="2"/>
      <c r="C709" s="3"/>
      <c r="D709" s="4"/>
      <c r="E709" s="4"/>
      <c r="F709" s="4"/>
      <c r="G709" s="4"/>
      <c r="H709" s="4"/>
      <c r="I709" s="4"/>
      <c r="J709" s="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25">
      <c r="A710" s="1"/>
      <c r="B710" s="2"/>
      <c r="C710" s="3"/>
      <c r="D710" s="4"/>
      <c r="E710" s="4"/>
      <c r="F710" s="4"/>
      <c r="G710" s="4"/>
      <c r="H710" s="4"/>
      <c r="I710" s="4"/>
      <c r="J710" s="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25">
      <c r="A711" s="1"/>
      <c r="B711" s="2"/>
      <c r="C711" s="3"/>
      <c r="D711" s="4"/>
      <c r="E711" s="4"/>
      <c r="F711" s="4"/>
      <c r="G711" s="4"/>
      <c r="H711" s="4"/>
      <c r="I711" s="4"/>
      <c r="J711" s="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25">
      <c r="A712" s="1"/>
      <c r="B712" s="2"/>
      <c r="C712" s="3"/>
      <c r="D712" s="4"/>
      <c r="E712" s="4"/>
      <c r="F712" s="4"/>
      <c r="G712" s="4"/>
      <c r="H712" s="4"/>
      <c r="I712" s="4"/>
      <c r="J712" s="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25">
      <c r="A713" s="1"/>
      <c r="B713" s="2"/>
      <c r="C713" s="3"/>
      <c r="D713" s="4"/>
      <c r="E713" s="4"/>
      <c r="F713" s="4"/>
      <c r="G713" s="4"/>
      <c r="H713" s="4"/>
      <c r="I713" s="4"/>
      <c r="J713" s="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25">
      <c r="A714" s="1"/>
      <c r="B714" s="2"/>
      <c r="C714" s="3"/>
      <c r="D714" s="4"/>
      <c r="E714" s="4"/>
      <c r="F714" s="4"/>
      <c r="G714" s="4"/>
      <c r="H714" s="4"/>
      <c r="I714" s="4"/>
      <c r="J714" s="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25">
      <c r="A715" s="1"/>
      <c r="B715" s="2"/>
      <c r="C715" s="3"/>
      <c r="D715" s="4"/>
      <c r="E715" s="4"/>
      <c r="F715" s="4"/>
      <c r="G715" s="4"/>
      <c r="H715" s="4"/>
      <c r="I715" s="4"/>
      <c r="J715" s="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25">
      <c r="A716" s="1"/>
      <c r="B716" s="2"/>
      <c r="C716" s="3"/>
      <c r="D716" s="4"/>
      <c r="E716" s="4"/>
      <c r="F716" s="4"/>
      <c r="G716" s="4"/>
      <c r="H716" s="4"/>
      <c r="I716" s="4"/>
      <c r="J716" s="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25">
      <c r="A717" s="1"/>
      <c r="B717" s="2"/>
      <c r="C717" s="3"/>
      <c r="D717" s="4"/>
      <c r="E717" s="4"/>
      <c r="F717" s="4"/>
      <c r="G717" s="4"/>
      <c r="H717" s="4"/>
      <c r="I717" s="4"/>
      <c r="J717" s="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25">
      <c r="A718" s="1"/>
      <c r="B718" s="2"/>
      <c r="C718" s="3"/>
      <c r="D718" s="4"/>
      <c r="E718" s="4"/>
      <c r="F718" s="4"/>
      <c r="G718" s="4"/>
      <c r="H718" s="4"/>
      <c r="I718" s="4"/>
      <c r="J718" s="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25">
      <c r="A719" s="1"/>
      <c r="B719" s="2"/>
      <c r="C719" s="3"/>
      <c r="D719" s="4"/>
      <c r="E719" s="4"/>
      <c r="F719" s="4"/>
      <c r="G719" s="4"/>
      <c r="H719" s="4"/>
      <c r="I719" s="4"/>
      <c r="J719" s="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25">
      <c r="A720" s="1"/>
      <c r="B720" s="2"/>
      <c r="C720" s="3"/>
      <c r="D720" s="4"/>
      <c r="E720" s="4"/>
      <c r="F720" s="4"/>
      <c r="G720" s="4"/>
      <c r="H720" s="4"/>
      <c r="I720" s="4"/>
      <c r="J720" s="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25">
      <c r="A721" s="1"/>
      <c r="B721" s="2"/>
      <c r="C721" s="3"/>
      <c r="D721" s="4"/>
      <c r="E721" s="4"/>
      <c r="F721" s="4"/>
      <c r="G721" s="4"/>
      <c r="H721" s="4"/>
      <c r="I721" s="4"/>
      <c r="J721" s="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25">
      <c r="A722" s="1"/>
      <c r="B722" s="2"/>
      <c r="C722" s="3"/>
      <c r="D722" s="4"/>
      <c r="E722" s="4"/>
      <c r="F722" s="4"/>
      <c r="G722" s="4"/>
      <c r="H722" s="4"/>
      <c r="I722" s="4"/>
      <c r="J722" s="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25">
      <c r="A723" s="1"/>
      <c r="B723" s="2"/>
      <c r="C723" s="3"/>
      <c r="D723" s="4"/>
      <c r="E723" s="4"/>
      <c r="F723" s="4"/>
      <c r="G723" s="4"/>
      <c r="H723" s="4"/>
      <c r="I723" s="4"/>
      <c r="J723" s="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25">
      <c r="A724" s="1"/>
      <c r="B724" s="2"/>
      <c r="C724" s="3"/>
      <c r="D724" s="4"/>
      <c r="E724" s="4"/>
      <c r="F724" s="4"/>
      <c r="G724" s="4"/>
      <c r="H724" s="4"/>
      <c r="I724" s="4"/>
      <c r="J724" s="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25">
      <c r="A725" s="1"/>
      <c r="B725" s="2"/>
      <c r="C725" s="3"/>
      <c r="D725" s="4"/>
      <c r="E725" s="4"/>
      <c r="F725" s="4"/>
      <c r="G725" s="4"/>
      <c r="H725" s="4"/>
      <c r="I725" s="4"/>
      <c r="J725" s="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25">
      <c r="A726" s="1"/>
      <c r="B726" s="2"/>
      <c r="C726" s="3"/>
      <c r="D726" s="4"/>
      <c r="E726" s="4"/>
      <c r="F726" s="4"/>
      <c r="G726" s="4"/>
      <c r="H726" s="4"/>
      <c r="I726" s="4"/>
      <c r="J726" s="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25">
      <c r="A727" s="1"/>
      <c r="B727" s="2"/>
      <c r="C727" s="3"/>
      <c r="D727" s="4"/>
      <c r="E727" s="4"/>
      <c r="F727" s="4"/>
      <c r="G727" s="4"/>
      <c r="H727" s="4"/>
      <c r="I727" s="4"/>
      <c r="J727" s="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25">
      <c r="A728" s="1"/>
      <c r="B728" s="2"/>
      <c r="C728" s="3"/>
      <c r="D728" s="4"/>
      <c r="E728" s="4"/>
      <c r="F728" s="4"/>
      <c r="G728" s="4"/>
      <c r="H728" s="4"/>
      <c r="I728" s="4"/>
      <c r="J728" s="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25">
      <c r="A729" s="1"/>
      <c r="B729" s="2"/>
      <c r="C729" s="3"/>
      <c r="D729" s="4"/>
      <c r="E729" s="4"/>
      <c r="F729" s="4"/>
      <c r="G729" s="4"/>
      <c r="H729" s="4"/>
      <c r="I729" s="4"/>
      <c r="J729" s="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25">
      <c r="A730" s="1"/>
      <c r="B730" s="2"/>
      <c r="C730" s="3"/>
      <c r="D730" s="4"/>
      <c r="E730" s="4"/>
      <c r="F730" s="4"/>
      <c r="G730" s="4"/>
      <c r="H730" s="4"/>
      <c r="I730" s="4"/>
      <c r="J730" s="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25">
      <c r="A731" s="1"/>
      <c r="B731" s="2"/>
      <c r="C731" s="3"/>
      <c r="D731" s="4"/>
      <c r="E731" s="4"/>
      <c r="F731" s="4"/>
      <c r="G731" s="4"/>
      <c r="H731" s="4"/>
      <c r="I731" s="4"/>
      <c r="J731" s="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25">
      <c r="A732" s="1"/>
      <c r="B732" s="2"/>
      <c r="C732" s="3"/>
      <c r="D732" s="4"/>
      <c r="E732" s="4"/>
      <c r="F732" s="4"/>
      <c r="G732" s="4"/>
      <c r="H732" s="4"/>
      <c r="I732" s="4"/>
      <c r="J732" s="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25">
      <c r="A733" s="1"/>
      <c r="B733" s="2"/>
      <c r="C733" s="3"/>
      <c r="D733" s="4"/>
      <c r="E733" s="4"/>
      <c r="F733" s="4"/>
      <c r="G733" s="4"/>
      <c r="H733" s="4"/>
      <c r="I733" s="4"/>
      <c r="J733" s="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25">
      <c r="A734" s="1"/>
      <c r="B734" s="2"/>
      <c r="C734" s="3"/>
      <c r="D734" s="4"/>
      <c r="E734" s="4"/>
      <c r="F734" s="4"/>
      <c r="G734" s="4"/>
      <c r="H734" s="4"/>
      <c r="I734" s="4"/>
      <c r="J734" s="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25">
      <c r="A735" s="1"/>
      <c r="B735" s="2"/>
      <c r="C735" s="3"/>
      <c r="D735" s="4"/>
      <c r="E735" s="4"/>
      <c r="F735" s="4"/>
      <c r="G735" s="4"/>
      <c r="H735" s="4"/>
      <c r="I735" s="4"/>
      <c r="J735" s="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25">
      <c r="A736" s="1"/>
      <c r="B736" s="2"/>
      <c r="C736" s="3"/>
      <c r="D736" s="4"/>
      <c r="E736" s="4"/>
      <c r="F736" s="4"/>
      <c r="G736" s="4"/>
      <c r="H736" s="4"/>
      <c r="I736" s="4"/>
      <c r="J736" s="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25">
      <c r="A737" s="1"/>
      <c r="B737" s="2"/>
      <c r="C737" s="3"/>
      <c r="D737" s="4"/>
      <c r="E737" s="4"/>
      <c r="F737" s="4"/>
      <c r="G737" s="4"/>
      <c r="H737" s="4"/>
      <c r="I737" s="4"/>
      <c r="J737" s="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25">
      <c r="A738" s="1"/>
      <c r="B738" s="2"/>
      <c r="C738" s="3"/>
      <c r="D738" s="4"/>
      <c r="E738" s="4"/>
      <c r="F738" s="4"/>
      <c r="G738" s="4"/>
      <c r="H738" s="4"/>
      <c r="I738" s="4"/>
      <c r="J738" s="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25">
      <c r="A739" s="1"/>
      <c r="B739" s="2"/>
      <c r="C739" s="3"/>
      <c r="D739" s="4"/>
      <c r="E739" s="4"/>
      <c r="F739" s="4"/>
      <c r="G739" s="4"/>
      <c r="H739" s="4"/>
      <c r="I739" s="4"/>
      <c r="J739" s="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25">
      <c r="A740" s="1"/>
      <c r="B740" s="2"/>
      <c r="C740" s="3"/>
      <c r="D740" s="4"/>
      <c r="E740" s="4"/>
      <c r="F740" s="4"/>
      <c r="G740" s="4"/>
      <c r="H740" s="4"/>
      <c r="I740" s="4"/>
      <c r="J740" s="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25">
      <c r="A741" s="1"/>
      <c r="B741" s="2"/>
      <c r="C741" s="3"/>
      <c r="D741" s="4"/>
      <c r="E741" s="4"/>
      <c r="F741" s="4"/>
      <c r="G741" s="4"/>
      <c r="H741" s="4"/>
      <c r="I741" s="4"/>
      <c r="J741" s="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25">
      <c r="A742" s="1"/>
      <c r="B742" s="2"/>
      <c r="C742" s="3"/>
      <c r="D742" s="4"/>
      <c r="E742" s="4"/>
      <c r="F742" s="4"/>
      <c r="G742" s="4"/>
      <c r="H742" s="4"/>
      <c r="I742" s="4"/>
      <c r="J742" s="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25">
      <c r="A743" s="1"/>
      <c r="B743" s="2"/>
      <c r="C743" s="3"/>
      <c r="D743" s="4"/>
      <c r="E743" s="4"/>
      <c r="F743" s="4"/>
      <c r="G743" s="4"/>
      <c r="H743" s="4"/>
      <c r="I743" s="4"/>
      <c r="J743" s="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25">
      <c r="A744" s="1"/>
      <c r="B744" s="2"/>
      <c r="C744" s="3"/>
      <c r="D744" s="4"/>
      <c r="E744" s="4"/>
      <c r="F744" s="4"/>
      <c r="G744" s="4"/>
      <c r="H744" s="4"/>
      <c r="I744" s="4"/>
      <c r="J744" s="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25">
      <c r="A745" s="1"/>
      <c r="B745" s="2"/>
      <c r="C745" s="3"/>
      <c r="D745" s="4"/>
      <c r="E745" s="4"/>
      <c r="F745" s="4"/>
      <c r="G745" s="4"/>
      <c r="H745" s="4"/>
      <c r="I745" s="4"/>
      <c r="J745" s="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25">
      <c r="A746" s="1"/>
      <c r="B746" s="2"/>
      <c r="C746" s="3"/>
      <c r="D746" s="4"/>
      <c r="E746" s="4"/>
      <c r="F746" s="4"/>
      <c r="G746" s="4"/>
      <c r="H746" s="4"/>
      <c r="I746" s="4"/>
      <c r="J746" s="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25">
      <c r="A747" s="1"/>
      <c r="B747" s="2"/>
      <c r="C747" s="3"/>
      <c r="D747" s="4"/>
      <c r="E747" s="4"/>
      <c r="F747" s="4"/>
      <c r="G747" s="4"/>
      <c r="H747" s="4"/>
      <c r="I747" s="4"/>
      <c r="J747" s="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25">
      <c r="A748" s="1"/>
      <c r="B748" s="2"/>
      <c r="C748" s="3"/>
      <c r="D748" s="4"/>
      <c r="E748" s="4"/>
      <c r="F748" s="4"/>
      <c r="G748" s="4"/>
      <c r="H748" s="4"/>
      <c r="I748" s="4"/>
      <c r="J748" s="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25">
      <c r="A749" s="1"/>
      <c r="B749" s="2"/>
      <c r="C749" s="3"/>
      <c r="D749" s="4"/>
      <c r="E749" s="4"/>
      <c r="F749" s="4"/>
      <c r="G749" s="4"/>
      <c r="H749" s="4"/>
      <c r="I749" s="4"/>
      <c r="J749" s="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25">
      <c r="A750" s="1"/>
      <c r="B750" s="2"/>
      <c r="C750" s="3"/>
      <c r="D750" s="4"/>
      <c r="E750" s="4"/>
      <c r="F750" s="4"/>
      <c r="G750" s="4"/>
      <c r="H750" s="4"/>
      <c r="I750" s="4"/>
      <c r="J750" s="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25">
      <c r="A751" s="1"/>
      <c r="B751" s="2"/>
      <c r="C751" s="3"/>
      <c r="D751" s="4"/>
      <c r="E751" s="4"/>
      <c r="F751" s="4"/>
      <c r="G751" s="4"/>
      <c r="H751" s="4"/>
      <c r="I751" s="4"/>
      <c r="J751" s="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25">
      <c r="A752" s="1"/>
      <c r="B752" s="2"/>
      <c r="C752" s="3"/>
      <c r="D752" s="4"/>
      <c r="E752" s="4"/>
      <c r="F752" s="4"/>
      <c r="G752" s="4"/>
      <c r="H752" s="4"/>
      <c r="I752" s="4"/>
      <c r="J752" s="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25">
      <c r="A753" s="1"/>
      <c r="B753" s="2"/>
      <c r="C753" s="3"/>
      <c r="D753" s="4"/>
      <c r="E753" s="4"/>
      <c r="F753" s="4"/>
      <c r="G753" s="4"/>
      <c r="H753" s="4"/>
      <c r="I753" s="4"/>
      <c r="J753" s="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25">
      <c r="A754" s="1"/>
      <c r="B754" s="2"/>
      <c r="C754" s="3"/>
      <c r="D754" s="4"/>
      <c r="E754" s="4"/>
      <c r="F754" s="4"/>
      <c r="G754" s="4"/>
      <c r="H754" s="4"/>
      <c r="I754" s="4"/>
      <c r="J754" s="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25">
      <c r="A755" s="1"/>
      <c r="B755" s="2"/>
      <c r="C755" s="3"/>
      <c r="D755" s="4"/>
      <c r="E755" s="4"/>
      <c r="F755" s="4"/>
      <c r="G755" s="4"/>
      <c r="H755" s="4"/>
      <c r="I755" s="4"/>
      <c r="J755" s="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25">
      <c r="A756" s="1"/>
      <c r="B756" s="2"/>
      <c r="C756" s="3"/>
      <c r="D756" s="4"/>
      <c r="E756" s="4"/>
      <c r="F756" s="4"/>
      <c r="G756" s="4"/>
      <c r="H756" s="4"/>
      <c r="I756" s="4"/>
      <c r="J756" s="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25">
      <c r="A757" s="1"/>
      <c r="B757" s="2"/>
      <c r="C757" s="3"/>
      <c r="D757" s="4"/>
      <c r="E757" s="4"/>
      <c r="F757" s="4"/>
      <c r="G757" s="4"/>
      <c r="H757" s="4"/>
      <c r="I757" s="4"/>
      <c r="J757" s="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25">
      <c r="A758" s="1"/>
      <c r="B758" s="2"/>
      <c r="C758" s="3"/>
      <c r="D758" s="4"/>
      <c r="E758" s="4"/>
      <c r="F758" s="4"/>
      <c r="G758" s="4"/>
      <c r="H758" s="4"/>
      <c r="I758" s="4"/>
      <c r="J758" s="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25">
      <c r="A759" s="1"/>
      <c r="B759" s="2"/>
      <c r="C759" s="3"/>
      <c r="D759" s="4"/>
      <c r="E759" s="4"/>
      <c r="F759" s="4"/>
      <c r="G759" s="4"/>
      <c r="H759" s="4"/>
      <c r="I759" s="4"/>
      <c r="J759" s="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25">
      <c r="A760" s="1"/>
      <c r="B760" s="2"/>
      <c r="C760" s="3"/>
      <c r="D760" s="4"/>
      <c r="E760" s="4"/>
      <c r="F760" s="4"/>
      <c r="G760" s="4"/>
      <c r="H760" s="4"/>
      <c r="I760" s="4"/>
      <c r="J760" s="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25">
      <c r="A761" s="1"/>
      <c r="B761" s="2"/>
      <c r="C761" s="3"/>
      <c r="D761" s="4"/>
      <c r="E761" s="4"/>
      <c r="F761" s="4"/>
      <c r="G761" s="4"/>
      <c r="H761" s="4"/>
      <c r="I761" s="4"/>
      <c r="J761" s="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25">
      <c r="A762" s="1"/>
      <c r="B762" s="2"/>
      <c r="C762" s="3"/>
      <c r="D762" s="4"/>
      <c r="E762" s="4"/>
      <c r="F762" s="4"/>
      <c r="G762" s="4"/>
      <c r="H762" s="4"/>
      <c r="I762" s="4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25">
      <c r="A763" s="1"/>
      <c r="B763" s="2"/>
      <c r="C763" s="3"/>
      <c r="D763" s="4"/>
      <c r="E763" s="4"/>
      <c r="F763" s="4"/>
      <c r="G763" s="4"/>
      <c r="H763" s="4"/>
      <c r="I763" s="4"/>
      <c r="J763" s="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25">
      <c r="A764" s="1"/>
      <c r="B764" s="2"/>
      <c r="C764" s="3"/>
      <c r="D764" s="4"/>
      <c r="E764" s="4"/>
      <c r="F764" s="4"/>
      <c r="G764" s="4"/>
      <c r="H764" s="4"/>
      <c r="I764" s="4"/>
      <c r="J764" s="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25">
      <c r="A765" s="1"/>
      <c r="B765" s="2"/>
      <c r="C765" s="3"/>
      <c r="D765" s="4"/>
      <c r="E765" s="4"/>
      <c r="F765" s="4"/>
      <c r="G765" s="4"/>
      <c r="H765" s="4"/>
      <c r="I765" s="4"/>
      <c r="J765" s="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25">
      <c r="A766" s="1"/>
      <c r="B766" s="2"/>
      <c r="C766" s="3"/>
      <c r="D766" s="4"/>
      <c r="E766" s="4"/>
      <c r="F766" s="4"/>
      <c r="G766" s="4"/>
      <c r="H766" s="4"/>
      <c r="I766" s="4"/>
      <c r="J766" s="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25">
      <c r="A767" s="1"/>
      <c r="B767" s="2"/>
      <c r="C767" s="3"/>
      <c r="D767" s="4"/>
      <c r="E767" s="4"/>
      <c r="F767" s="4"/>
      <c r="G767" s="4"/>
      <c r="H767" s="4"/>
      <c r="I767" s="4"/>
      <c r="J767" s="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25">
      <c r="A768" s="1"/>
      <c r="B768" s="2"/>
      <c r="C768" s="3"/>
      <c r="D768" s="4"/>
      <c r="E768" s="4"/>
      <c r="F768" s="4"/>
      <c r="G768" s="4"/>
      <c r="H768" s="4"/>
      <c r="I768" s="4"/>
      <c r="J768" s="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25">
      <c r="A769" s="1"/>
      <c r="B769" s="2"/>
      <c r="C769" s="3"/>
      <c r="D769" s="4"/>
      <c r="E769" s="4"/>
      <c r="F769" s="4"/>
      <c r="G769" s="4"/>
      <c r="H769" s="4"/>
      <c r="I769" s="4"/>
      <c r="J769" s="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25">
      <c r="A770" s="1"/>
      <c r="B770" s="2"/>
      <c r="C770" s="3"/>
      <c r="D770" s="4"/>
      <c r="E770" s="4"/>
      <c r="F770" s="4"/>
      <c r="G770" s="4"/>
      <c r="H770" s="4"/>
      <c r="I770" s="4"/>
      <c r="J770" s="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25">
      <c r="A771" s="1"/>
      <c r="B771" s="2"/>
      <c r="C771" s="3"/>
      <c r="D771" s="4"/>
      <c r="E771" s="4"/>
      <c r="F771" s="4"/>
      <c r="G771" s="4"/>
      <c r="H771" s="4"/>
      <c r="I771" s="4"/>
      <c r="J771" s="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25">
      <c r="A772" s="1"/>
      <c r="B772" s="2"/>
      <c r="C772" s="3"/>
      <c r="D772" s="4"/>
      <c r="E772" s="4"/>
      <c r="F772" s="4"/>
      <c r="G772" s="4"/>
      <c r="H772" s="4"/>
      <c r="I772" s="4"/>
      <c r="J772" s="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25">
      <c r="A773" s="1"/>
      <c r="B773" s="2"/>
      <c r="C773" s="3"/>
      <c r="D773" s="4"/>
      <c r="E773" s="4"/>
      <c r="F773" s="4"/>
      <c r="G773" s="4"/>
      <c r="H773" s="4"/>
      <c r="I773" s="4"/>
      <c r="J773" s="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25">
      <c r="A774" s="1"/>
      <c r="B774" s="2"/>
      <c r="C774" s="3"/>
      <c r="D774" s="4"/>
      <c r="E774" s="4"/>
      <c r="F774" s="4"/>
      <c r="G774" s="4"/>
      <c r="H774" s="4"/>
      <c r="I774" s="4"/>
      <c r="J774" s="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25">
      <c r="A775" s="1"/>
      <c r="B775" s="2"/>
      <c r="C775" s="3"/>
      <c r="D775" s="4"/>
      <c r="E775" s="4"/>
      <c r="F775" s="4"/>
      <c r="G775" s="4"/>
      <c r="H775" s="4"/>
      <c r="I775" s="4"/>
      <c r="J775" s="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25">
      <c r="A776" s="1"/>
      <c r="B776" s="2"/>
      <c r="C776" s="3"/>
      <c r="D776" s="4"/>
      <c r="E776" s="4"/>
      <c r="F776" s="4"/>
      <c r="G776" s="4"/>
      <c r="H776" s="4"/>
      <c r="I776" s="4"/>
      <c r="J776" s="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25">
      <c r="A777" s="1"/>
      <c r="B777" s="2"/>
      <c r="C777" s="3"/>
      <c r="D777" s="4"/>
      <c r="E777" s="4"/>
      <c r="F777" s="4"/>
      <c r="G777" s="4"/>
      <c r="H777" s="4"/>
      <c r="I777" s="4"/>
      <c r="J777" s="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25">
      <c r="A778" s="1"/>
      <c r="B778" s="2"/>
      <c r="C778" s="3"/>
      <c r="D778" s="4"/>
      <c r="E778" s="4"/>
      <c r="F778" s="4"/>
      <c r="G778" s="4"/>
      <c r="H778" s="4"/>
      <c r="I778" s="4"/>
      <c r="J778" s="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25">
      <c r="A779" s="1"/>
      <c r="B779" s="2"/>
      <c r="C779" s="3"/>
      <c r="D779" s="4"/>
      <c r="E779" s="4"/>
      <c r="F779" s="4"/>
      <c r="G779" s="4"/>
      <c r="H779" s="4"/>
      <c r="I779" s="4"/>
      <c r="J779" s="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25">
      <c r="A780" s="1"/>
      <c r="B780" s="2"/>
      <c r="C780" s="3"/>
      <c r="D780" s="4"/>
      <c r="E780" s="4"/>
      <c r="F780" s="4"/>
      <c r="G780" s="4"/>
      <c r="H780" s="4"/>
      <c r="I780" s="4"/>
      <c r="J780" s="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25">
      <c r="A781" s="1"/>
      <c r="B781" s="2"/>
      <c r="C781" s="3"/>
      <c r="D781" s="4"/>
      <c r="E781" s="4"/>
      <c r="F781" s="4"/>
      <c r="G781" s="4"/>
      <c r="H781" s="4"/>
      <c r="I781" s="4"/>
      <c r="J781" s="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25">
      <c r="A782" s="1"/>
      <c r="B782" s="2"/>
      <c r="C782" s="3"/>
      <c r="D782" s="4"/>
      <c r="E782" s="4"/>
      <c r="F782" s="4"/>
      <c r="G782" s="4"/>
      <c r="H782" s="4"/>
      <c r="I782" s="4"/>
      <c r="J782" s="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25">
      <c r="A783" s="1"/>
      <c r="B783" s="2"/>
      <c r="C783" s="3"/>
      <c r="D783" s="4"/>
      <c r="E783" s="4"/>
      <c r="F783" s="4"/>
      <c r="G783" s="4"/>
      <c r="H783" s="4"/>
      <c r="I783" s="4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25">
      <c r="A784" s="1"/>
      <c r="B784" s="2"/>
      <c r="C784" s="3"/>
      <c r="D784" s="4"/>
      <c r="E784" s="4"/>
      <c r="F784" s="4"/>
      <c r="G784" s="4"/>
      <c r="H784" s="4"/>
      <c r="I784" s="4"/>
      <c r="J784" s="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25">
      <c r="A785" s="1"/>
      <c r="B785" s="2"/>
      <c r="C785" s="3"/>
      <c r="D785" s="4"/>
      <c r="E785" s="4"/>
      <c r="F785" s="4"/>
      <c r="G785" s="4"/>
      <c r="H785" s="4"/>
      <c r="I785" s="4"/>
      <c r="J785" s="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25">
      <c r="A786" s="1"/>
      <c r="B786" s="2"/>
      <c r="C786" s="3"/>
      <c r="D786" s="4"/>
      <c r="E786" s="4"/>
      <c r="F786" s="4"/>
      <c r="G786" s="4"/>
      <c r="H786" s="4"/>
      <c r="I786" s="4"/>
      <c r="J786" s="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25">
      <c r="A787" s="1"/>
      <c r="B787" s="2"/>
      <c r="C787" s="3"/>
      <c r="D787" s="4"/>
      <c r="E787" s="4"/>
      <c r="F787" s="4"/>
      <c r="G787" s="4"/>
      <c r="H787" s="4"/>
      <c r="I787" s="4"/>
      <c r="J787" s="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25">
      <c r="A788" s="1"/>
      <c r="B788" s="2"/>
      <c r="C788" s="3"/>
      <c r="D788" s="4"/>
      <c r="E788" s="4"/>
      <c r="F788" s="4"/>
      <c r="G788" s="4"/>
      <c r="H788" s="4"/>
      <c r="I788" s="4"/>
      <c r="J788" s="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25">
      <c r="A789" s="1"/>
      <c r="B789" s="2"/>
      <c r="C789" s="3"/>
      <c r="D789" s="4"/>
      <c r="E789" s="4"/>
      <c r="F789" s="4"/>
      <c r="G789" s="4"/>
      <c r="H789" s="4"/>
      <c r="I789" s="4"/>
      <c r="J789" s="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25">
      <c r="A790" s="1"/>
      <c r="B790" s="2"/>
      <c r="C790" s="3"/>
      <c r="D790" s="4"/>
      <c r="E790" s="4"/>
      <c r="F790" s="4"/>
      <c r="G790" s="4"/>
      <c r="H790" s="4"/>
      <c r="I790" s="4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25">
      <c r="A791" s="1"/>
      <c r="B791" s="2"/>
      <c r="C791" s="3"/>
      <c r="D791" s="4"/>
      <c r="E791" s="4"/>
      <c r="F791" s="4"/>
      <c r="G791" s="4"/>
      <c r="H791" s="4"/>
      <c r="I791" s="4"/>
      <c r="J791" s="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25">
      <c r="A792" s="1"/>
      <c r="B792" s="2"/>
      <c r="C792" s="3"/>
      <c r="D792" s="4"/>
      <c r="E792" s="4"/>
      <c r="F792" s="4"/>
      <c r="G792" s="4"/>
      <c r="H792" s="4"/>
      <c r="I792" s="4"/>
      <c r="J792" s="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25">
      <c r="A793" s="1"/>
      <c r="B793" s="2"/>
      <c r="C793" s="3"/>
      <c r="D793" s="4"/>
      <c r="E793" s="4"/>
      <c r="F793" s="4"/>
      <c r="G793" s="4"/>
      <c r="H793" s="4"/>
      <c r="I793" s="4"/>
      <c r="J793" s="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25">
      <c r="A794" s="1"/>
      <c r="B794" s="2"/>
      <c r="C794" s="3"/>
      <c r="D794" s="4"/>
      <c r="E794" s="4"/>
      <c r="F794" s="4"/>
      <c r="G794" s="4"/>
      <c r="H794" s="4"/>
      <c r="I794" s="4"/>
      <c r="J794" s="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25">
      <c r="A795" s="1"/>
      <c r="B795" s="2"/>
      <c r="C795" s="3"/>
      <c r="D795" s="4"/>
      <c r="E795" s="4"/>
      <c r="F795" s="4"/>
      <c r="G795" s="4"/>
      <c r="H795" s="4"/>
      <c r="I795" s="4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25">
      <c r="A796" s="1"/>
      <c r="B796" s="2"/>
      <c r="C796" s="3"/>
      <c r="D796" s="4"/>
      <c r="E796" s="4"/>
      <c r="F796" s="4"/>
      <c r="G796" s="4"/>
      <c r="H796" s="4"/>
      <c r="I796" s="4"/>
      <c r="J796" s="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25">
      <c r="A797" s="1"/>
      <c r="B797" s="2"/>
      <c r="C797" s="3"/>
      <c r="D797" s="4"/>
      <c r="E797" s="4"/>
      <c r="F797" s="4"/>
      <c r="G797" s="4"/>
      <c r="H797" s="4"/>
      <c r="I797" s="4"/>
      <c r="J797" s="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25">
      <c r="A798" s="1"/>
      <c r="B798" s="2"/>
      <c r="C798" s="3"/>
      <c r="D798" s="4"/>
      <c r="E798" s="4"/>
      <c r="F798" s="4"/>
      <c r="G798" s="4"/>
      <c r="H798" s="4"/>
      <c r="I798" s="4"/>
      <c r="J798" s="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25">
      <c r="A799" s="1"/>
      <c r="B799" s="2"/>
      <c r="C799" s="3"/>
      <c r="D799" s="4"/>
      <c r="E799" s="4"/>
      <c r="F799" s="4"/>
      <c r="G799" s="4"/>
      <c r="H799" s="4"/>
      <c r="I799" s="4"/>
      <c r="J799" s="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25">
      <c r="A800" s="1"/>
      <c r="B800" s="2"/>
      <c r="C800" s="3"/>
      <c r="D800" s="4"/>
      <c r="E800" s="4"/>
      <c r="F800" s="4"/>
      <c r="G800" s="4"/>
      <c r="H800" s="4"/>
      <c r="I800" s="4"/>
      <c r="J800" s="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25">
      <c r="A801" s="1"/>
      <c r="B801" s="2"/>
      <c r="C801" s="3"/>
      <c r="D801" s="4"/>
      <c r="E801" s="4"/>
      <c r="F801" s="4"/>
      <c r="G801" s="4"/>
      <c r="H801" s="4"/>
      <c r="I801" s="4"/>
      <c r="J801" s="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25">
      <c r="A802" s="1"/>
      <c r="B802" s="2"/>
      <c r="C802" s="3"/>
      <c r="D802" s="4"/>
      <c r="E802" s="4"/>
      <c r="F802" s="4"/>
      <c r="G802" s="4"/>
      <c r="H802" s="4"/>
      <c r="I802" s="4"/>
      <c r="J802" s="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25">
      <c r="A803" s="1"/>
      <c r="B803" s="2"/>
      <c r="C803" s="3"/>
      <c r="D803" s="4"/>
      <c r="E803" s="4"/>
      <c r="F803" s="4"/>
      <c r="G803" s="4"/>
      <c r="H803" s="4"/>
      <c r="I803" s="4"/>
      <c r="J803" s="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25">
      <c r="A804" s="1"/>
      <c r="B804" s="2"/>
      <c r="C804" s="3"/>
      <c r="D804" s="4"/>
      <c r="E804" s="4"/>
      <c r="F804" s="4"/>
      <c r="G804" s="4"/>
      <c r="H804" s="4"/>
      <c r="I804" s="4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25">
      <c r="A805" s="1"/>
      <c r="B805" s="2"/>
      <c r="C805" s="3"/>
      <c r="D805" s="4"/>
      <c r="E805" s="4"/>
      <c r="F805" s="4"/>
      <c r="G805" s="4"/>
      <c r="H805" s="4"/>
      <c r="I805" s="4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25">
      <c r="A806" s="1"/>
      <c r="B806" s="2"/>
      <c r="C806" s="3"/>
      <c r="D806" s="4"/>
      <c r="E806" s="4"/>
      <c r="F806" s="4"/>
      <c r="G806" s="4"/>
      <c r="H806" s="4"/>
      <c r="I806" s="4"/>
      <c r="J806" s="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25">
      <c r="A807" s="1"/>
      <c r="B807" s="2"/>
      <c r="C807" s="3"/>
      <c r="D807" s="4"/>
      <c r="E807" s="4"/>
      <c r="F807" s="4"/>
      <c r="G807" s="4"/>
      <c r="H807" s="4"/>
      <c r="I807" s="4"/>
      <c r="J807" s="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25">
      <c r="A808" s="1"/>
      <c r="B808" s="2"/>
      <c r="C808" s="3"/>
      <c r="D808" s="4"/>
      <c r="E808" s="4"/>
      <c r="F808" s="4"/>
      <c r="G808" s="4"/>
      <c r="H808" s="4"/>
      <c r="I808" s="4"/>
      <c r="J808" s="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25">
      <c r="A809" s="1"/>
      <c r="B809" s="2"/>
      <c r="C809" s="3"/>
      <c r="D809" s="4"/>
      <c r="E809" s="4"/>
      <c r="F809" s="4"/>
      <c r="G809" s="4"/>
      <c r="H809" s="4"/>
      <c r="I809" s="4"/>
      <c r="J809" s="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25">
      <c r="A810" s="1"/>
      <c r="B810" s="2"/>
      <c r="C810" s="3"/>
      <c r="D810" s="4"/>
      <c r="E810" s="4"/>
      <c r="F810" s="4"/>
      <c r="G810" s="4"/>
      <c r="H810" s="4"/>
      <c r="I810" s="4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25">
      <c r="A811" s="1"/>
      <c r="B811" s="2"/>
      <c r="C811" s="3"/>
      <c r="D811" s="4"/>
      <c r="E811" s="4"/>
      <c r="F811" s="4"/>
      <c r="G811" s="4"/>
      <c r="H811" s="4"/>
      <c r="I811" s="4"/>
      <c r="J811" s="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25">
      <c r="A812" s="1"/>
      <c r="B812" s="2"/>
      <c r="C812" s="3"/>
      <c r="D812" s="4"/>
      <c r="E812" s="4"/>
      <c r="F812" s="4"/>
      <c r="G812" s="4"/>
      <c r="H812" s="4"/>
      <c r="I812" s="4"/>
      <c r="J812" s="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25">
      <c r="A813" s="1"/>
      <c r="B813" s="2"/>
      <c r="C813" s="3"/>
      <c r="D813" s="4"/>
      <c r="E813" s="4"/>
      <c r="F813" s="4"/>
      <c r="G813" s="4"/>
      <c r="H813" s="4"/>
      <c r="I813" s="4"/>
      <c r="J813" s="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25">
      <c r="A814" s="1"/>
      <c r="B814" s="2"/>
      <c r="C814" s="3"/>
      <c r="D814" s="4"/>
      <c r="E814" s="4"/>
      <c r="F814" s="4"/>
      <c r="G814" s="4"/>
      <c r="H814" s="4"/>
      <c r="I814" s="4"/>
      <c r="J814" s="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25">
      <c r="A815" s="1"/>
      <c r="B815" s="2"/>
      <c r="C815" s="3"/>
      <c r="D815" s="4"/>
      <c r="E815" s="4"/>
      <c r="F815" s="4"/>
      <c r="G815" s="4"/>
      <c r="H815" s="4"/>
      <c r="I815" s="4"/>
      <c r="J815" s="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25">
      <c r="A816" s="1"/>
      <c r="B816" s="2"/>
      <c r="C816" s="3"/>
      <c r="D816" s="4"/>
      <c r="E816" s="4"/>
      <c r="F816" s="4"/>
      <c r="G816" s="4"/>
      <c r="H816" s="4"/>
      <c r="I816" s="4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25">
      <c r="A817" s="1"/>
      <c r="B817" s="2"/>
      <c r="C817" s="3"/>
      <c r="D817" s="4"/>
      <c r="E817" s="4"/>
      <c r="F817" s="4"/>
      <c r="G817" s="4"/>
      <c r="H817" s="4"/>
      <c r="I817" s="4"/>
      <c r="J817" s="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25">
      <c r="A818" s="1"/>
      <c r="B818" s="2"/>
      <c r="C818" s="3"/>
      <c r="D818" s="4"/>
      <c r="E818" s="4"/>
      <c r="F818" s="4"/>
      <c r="G818" s="4"/>
      <c r="H818" s="4"/>
      <c r="I818" s="4"/>
      <c r="J818" s="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25">
      <c r="A819" s="1"/>
      <c r="B819" s="2"/>
      <c r="C819" s="3"/>
      <c r="D819" s="4"/>
      <c r="E819" s="4"/>
      <c r="F819" s="4"/>
      <c r="G819" s="4"/>
      <c r="H819" s="4"/>
      <c r="I819" s="4"/>
      <c r="J819" s="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25">
      <c r="A820" s="1"/>
      <c r="B820" s="2"/>
      <c r="C820" s="3"/>
      <c r="D820" s="4"/>
      <c r="E820" s="4"/>
      <c r="F820" s="4"/>
      <c r="G820" s="4"/>
      <c r="H820" s="4"/>
      <c r="I820" s="4"/>
      <c r="J820" s="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25">
      <c r="A821" s="1"/>
      <c r="B821" s="2"/>
      <c r="C821" s="3"/>
      <c r="D821" s="4"/>
      <c r="E821" s="4"/>
      <c r="F821" s="4"/>
      <c r="G821" s="4"/>
      <c r="H821" s="4"/>
      <c r="I821" s="4"/>
      <c r="J821" s="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25">
      <c r="A822" s="1"/>
      <c r="B822" s="2"/>
      <c r="C822" s="3"/>
      <c r="D822" s="4"/>
      <c r="E822" s="4"/>
      <c r="F822" s="4"/>
      <c r="G822" s="4"/>
      <c r="H822" s="4"/>
      <c r="I822" s="4"/>
      <c r="J822" s="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25">
      <c r="A823" s="1"/>
      <c r="B823" s="2"/>
      <c r="C823" s="3"/>
      <c r="D823" s="4"/>
      <c r="E823" s="4"/>
      <c r="F823" s="4"/>
      <c r="G823" s="4"/>
      <c r="H823" s="4"/>
      <c r="I823" s="4"/>
      <c r="J823" s="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25">
      <c r="A824" s="1"/>
      <c r="B824" s="2"/>
      <c r="C824" s="3"/>
      <c r="D824" s="4"/>
      <c r="E824" s="4"/>
      <c r="F824" s="4"/>
      <c r="G824" s="4"/>
      <c r="H824" s="4"/>
      <c r="I824" s="4"/>
      <c r="J824" s="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25">
      <c r="A825" s="1"/>
      <c r="B825" s="2"/>
      <c r="C825" s="3"/>
      <c r="D825" s="4"/>
      <c r="E825" s="4"/>
      <c r="F825" s="4"/>
      <c r="G825" s="4"/>
      <c r="H825" s="4"/>
      <c r="I825" s="4"/>
      <c r="J825" s="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25">
      <c r="A826" s="1"/>
      <c r="B826" s="2"/>
      <c r="C826" s="3"/>
      <c r="D826" s="4"/>
      <c r="E826" s="4"/>
      <c r="F826" s="4"/>
      <c r="G826" s="4"/>
      <c r="H826" s="4"/>
      <c r="I826" s="4"/>
      <c r="J826" s="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25">
      <c r="A827" s="1"/>
      <c r="B827" s="2"/>
      <c r="C827" s="3"/>
      <c r="D827" s="4"/>
      <c r="E827" s="4"/>
      <c r="F827" s="4"/>
      <c r="G827" s="4"/>
      <c r="H827" s="4"/>
      <c r="I827" s="4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25">
      <c r="A828" s="1"/>
      <c r="B828" s="2"/>
      <c r="C828" s="3"/>
      <c r="D828" s="4"/>
      <c r="E828" s="4"/>
      <c r="F828" s="4"/>
      <c r="G828" s="4"/>
      <c r="H828" s="4"/>
      <c r="I828" s="4"/>
      <c r="J828" s="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25">
      <c r="A829" s="1"/>
      <c r="B829" s="2"/>
      <c r="C829" s="3"/>
      <c r="D829" s="4"/>
      <c r="E829" s="4"/>
      <c r="F829" s="4"/>
      <c r="G829" s="4"/>
      <c r="H829" s="4"/>
      <c r="I829" s="4"/>
      <c r="J829" s="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25">
      <c r="A830" s="1"/>
      <c r="B830" s="2"/>
      <c r="C830" s="3"/>
      <c r="D830" s="4"/>
      <c r="E830" s="4"/>
      <c r="F830" s="4"/>
      <c r="G830" s="4"/>
      <c r="H830" s="4"/>
      <c r="I830" s="4"/>
      <c r="J830" s="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25">
      <c r="A831" s="1"/>
      <c r="B831" s="2"/>
      <c r="C831" s="3"/>
      <c r="D831" s="4"/>
      <c r="E831" s="4"/>
      <c r="F831" s="4"/>
      <c r="G831" s="4"/>
      <c r="H831" s="4"/>
      <c r="I831" s="4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25">
      <c r="A832" s="1"/>
      <c r="B832" s="2"/>
      <c r="C832" s="3"/>
      <c r="D832" s="4"/>
      <c r="E832" s="4"/>
      <c r="F832" s="4"/>
      <c r="G832" s="4"/>
      <c r="H832" s="4"/>
      <c r="I832" s="4"/>
      <c r="J832" s="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25">
      <c r="A833" s="1"/>
      <c r="B833" s="2"/>
      <c r="C833" s="3"/>
      <c r="D833" s="4"/>
      <c r="E833" s="4"/>
      <c r="F833" s="4"/>
      <c r="G833" s="4"/>
      <c r="H833" s="4"/>
      <c r="I833" s="4"/>
      <c r="J833" s="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25">
      <c r="A834" s="1"/>
      <c r="B834" s="2"/>
      <c r="C834" s="3"/>
      <c r="D834" s="4"/>
      <c r="E834" s="4"/>
      <c r="F834" s="4"/>
      <c r="G834" s="4"/>
      <c r="H834" s="4"/>
      <c r="I834" s="4"/>
      <c r="J834" s="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25">
      <c r="A835" s="1"/>
      <c r="B835" s="2"/>
      <c r="C835" s="3"/>
      <c r="D835" s="4"/>
      <c r="E835" s="4"/>
      <c r="F835" s="4"/>
      <c r="G835" s="4"/>
      <c r="H835" s="4"/>
      <c r="I835" s="4"/>
      <c r="J835" s="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25">
      <c r="A836" s="1"/>
      <c r="B836" s="2"/>
      <c r="C836" s="3"/>
      <c r="D836" s="4"/>
      <c r="E836" s="4"/>
      <c r="F836" s="4"/>
      <c r="G836" s="4"/>
      <c r="H836" s="4"/>
      <c r="I836" s="4"/>
      <c r="J836" s="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25">
      <c r="A837" s="1"/>
      <c r="B837" s="2"/>
      <c r="C837" s="3"/>
      <c r="D837" s="4"/>
      <c r="E837" s="4"/>
      <c r="F837" s="4"/>
      <c r="G837" s="4"/>
      <c r="H837" s="4"/>
      <c r="I837" s="4"/>
      <c r="J837" s="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25">
      <c r="A838" s="1"/>
      <c r="B838" s="2"/>
      <c r="C838" s="3"/>
      <c r="D838" s="4"/>
      <c r="E838" s="4"/>
      <c r="F838" s="4"/>
      <c r="G838" s="4"/>
      <c r="H838" s="4"/>
      <c r="I838" s="4"/>
      <c r="J838" s="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25">
      <c r="A839" s="1"/>
      <c r="B839" s="2"/>
      <c r="C839" s="3"/>
      <c r="D839" s="4"/>
      <c r="E839" s="4"/>
      <c r="F839" s="4"/>
      <c r="G839" s="4"/>
      <c r="H839" s="4"/>
      <c r="I839" s="4"/>
      <c r="J839" s="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25">
      <c r="A840" s="1"/>
      <c r="B840" s="2"/>
      <c r="C840" s="3"/>
      <c r="D840" s="4"/>
      <c r="E840" s="4"/>
      <c r="F840" s="4"/>
      <c r="G840" s="4"/>
      <c r="H840" s="4"/>
      <c r="I840" s="4"/>
      <c r="J840" s="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25">
      <c r="A841" s="1"/>
      <c r="B841" s="2"/>
      <c r="C841" s="3"/>
      <c r="D841" s="4"/>
      <c r="E841" s="4"/>
      <c r="F841" s="4"/>
      <c r="G841" s="4"/>
      <c r="H841" s="4"/>
      <c r="I841" s="4"/>
      <c r="J841" s="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25">
      <c r="A842" s="1"/>
      <c r="B842" s="2"/>
      <c r="C842" s="3"/>
      <c r="D842" s="4"/>
      <c r="E842" s="4"/>
      <c r="F842" s="4"/>
      <c r="G842" s="4"/>
      <c r="H842" s="4"/>
      <c r="I842" s="4"/>
      <c r="J842" s="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25">
      <c r="A843" s="1"/>
      <c r="B843" s="2"/>
      <c r="C843" s="3"/>
      <c r="D843" s="4"/>
      <c r="E843" s="4"/>
      <c r="F843" s="4"/>
      <c r="G843" s="4"/>
      <c r="H843" s="4"/>
      <c r="I843" s="4"/>
      <c r="J843" s="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25">
      <c r="A844" s="1"/>
      <c r="B844" s="2"/>
      <c r="C844" s="3"/>
      <c r="D844" s="4"/>
      <c r="E844" s="4"/>
      <c r="F844" s="4"/>
      <c r="G844" s="4"/>
      <c r="H844" s="4"/>
      <c r="I844" s="4"/>
      <c r="J844" s="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25">
      <c r="A845" s="1"/>
      <c r="B845" s="2"/>
      <c r="C845" s="3"/>
      <c r="D845" s="4"/>
      <c r="E845" s="4"/>
      <c r="F845" s="4"/>
      <c r="G845" s="4"/>
      <c r="H845" s="4"/>
      <c r="I845" s="4"/>
      <c r="J845" s="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25">
      <c r="A846" s="1"/>
      <c r="B846" s="2"/>
      <c r="C846" s="3"/>
      <c r="D846" s="4"/>
      <c r="E846" s="4"/>
      <c r="F846" s="4"/>
      <c r="G846" s="4"/>
      <c r="H846" s="4"/>
      <c r="I846" s="4"/>
      <c r="J846" s="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25">
      <c r="A847" s="1"/>
      <c r="B847" s="2"/>
      <c r="C847" s="3"/>
      <c r="D847" s="4"/>
      <c r="E847" s="4"/>
      <c r="F847" s="4"/>
      <c r="G847" s="4"/>
      <c r="H847" s="4"/>
      <c r="I847" s="4"/>
      <c r="J847" s="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25">
      <c r="A848" s="1"/>
      <c r="B848" s="2"/>
      <c r="C848" s="3"/>
      <c r="D848" s="4"/>
      <c r="E848" s="4"/>
      <c r="F848" s="4"/>
      <c r="G848" s="4"/>
      <c r="H848" s="4"/>
      <c r="I848" s="4"/>
      <c r="J848" s="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25">
      <c r="A849" s="1"/>
      <c r="B849" s="2"/>
      <c r="C849" s="3"/>
      <c r="D849" s="4"/>
      <c r="E849" s="4"/>
      <c r="F849" s="4"/>
      <c r="G849" s="4"/>
      <c r="H849" s="4"/>
      <c r="I849" s="4"/>
      <c r="J849" s="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25">
      <c r="A850" s="1"/>
      <c r="B850" s="2"/>
      <c r="C850" s="3"/>
      <c r="D850" s="4"/>
      <c r="E850" s="4"/>
      <c r="F850" s="4"/>
      <c r="G850" s="4"/>
      <c r="H850" s="4"/>
      <c r="I850" s="4"/>
      <c r="J850" s="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25">
      <c r="A851" s="1"/>
      <c r="B851" s="2"/>
      <c r="C851" s="3"/>
      <c r="D851" s="4"/>
      <c r="E851" s="4"/>
      <c r="F851" s="4"/>
      <c r="G851" s="4"/>
      <c r="H851" s="4"/>
      <c r="I851" s="4"/>
      <c r="J851" s="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25">
      <c r="A852" s="1"/>
      <c r="B852" s="2"/>
      <c r="C852" s="3"/>
      <c r="D852" s="4"/>
      <c r="E852" s="4"/>
      <c r="F852" s="4"/>
      <c r="G852" s="4"/>
      <c r="H852" s="4"/>
      <c r="I852" s="4"/>
      <c r="J852" s="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25">
      <c r="A853" s="1"/>
      <c r="B853" s="2"/>
      <c r="C853" s="3"/>
      <c r="D853" s="4"/>
      <c r="E853" s="4"/>
      <c r="F853" s="4"/>
      <c r="G853" s="4"/>
      <c r="H853" s="4"/>
      <c r="I853" s="4"/>
      <c r="J853" s="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25">
      <c r="A854" s="1"/>
      <c r="B854" s="2"/>
      <c r="C854" s="3"/>
      <c r="D854" s="4"/>
      <c r="E854" s="4"/>
      <c r="F854" s="4"/>
      <c r="G854" s="4"/>
      <c r="H854" s="4"/>
      <c r="I854" s="4"/>
      <c r="J854" s="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25">
      <c r="A855" s="1"/>
      <c r="B855" s="2"/>
      <c r="C855" s="3"/>
      <c r="D855" s="4"/>
      <c r="E855" s="4"/>
      <c r="F855" s="4"/>
      <c r="G855" s="4"/>
      <c r="H855" s="4"/>
      <c r="I855" s="4"/>
      <c r="J855" s="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25">
      <c r="A856" s="1"/>
      <c r="B856" s="2"/>
      <c r="C856" s="3"/>
      <c r="D856" s="4"/>
      <c r="E856" s="4"/>
      <c r="F856" s="4"/>
      <c r="G856" s="4"/>
      <c r="H856" s="4"/>
      <c r="I856" s="4"/>
      <c r="J856" s="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25">
      <c r="A857" s="1"/>
      <c r="B857" s="2"/>
      <c r="C857" s="3"/>
      <c r="D857" s="4"/>
      <c r="E857" s="4"/>
      <c r="F857" s="4"/>
      <c r="G857" s="4"/>
      <c r="H857" s="4"/>
      <c r="I857" s="4"/>
      <c r="J857" s="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25">
      <c r="A858" s="1"/>
      <c r="B858" s="2"/>
      <c r="C858" s="3"/>
      <c r="D858" s="4"/>
      <c r="E858" s="4"/>
      <c r="F858" s="4"/>
      <c r="G858" s="4"/>
      <c r="H858" s="4"/>
      <c r="I858" s="4"/>
      <c r="J858" s="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25">
      <c r="A859" s="1"/>
      <c r="B859" s="2"/>
      <c r="C859" s="3"/>
      <c r="D859" s="4"/>
      <c r="E859" s="4"/>
      <c r="F859" s="4"/>
      <c r="G859" s="4"/>
      <c r="H859" s="4"/>
      <c r="I859" s="4"/>
      <c r="J859" s="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25">
      <c r="A860" s="1"/>
      <c r="B860" s="2"/>
      <c r="C860" s="3"/>
      <c r="D860" s="4"/>
      <c r="E860" s="4"/>
      <c r="F860" s="4"/>
      <c r="G860" s="4"/>
      <c r="H860" s="4"/>
      <c r="I860" s="4"/>
      <c r="J860" s="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25">
      <c r="A861" s="1"/>
      <c r="B861" s="2"/>
      <c r="C861" s="3"/>
      <c r="D861" s="4"/>
      <c r="E861" s="4"/>
      <c r="F861" s="4"/>
      <c r="G861" s="4"/>
      <c r="H861" s="4"/>
      <c r="I861" s="4"/>
      <c r="J861" s="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25">
      <c r="A862" s="1"/>
      <c r="B862" s="2"/>
      <c r="C862" s="3"/>
      <c r="D862" s="4"/>
      <c r="E862" s="4"/>
      <c r="F862" s="4"/>
      <c r="G862" s="4"/>
      <c r="H862" s="4"/>
      <c r="I862" s="4"/>
      <c r="J862" s="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25">
      <c r="A863" s="1"/>
      <c r="B863" s="2"/>
      <c r="C863" s="3"/>
      <c r="D863" s="4"/>
      <c r="E863" s="4"/>
      <c r="F863" s="4"/>
      <c r="G863" s="4"/>
      <c r="H863" s="4"/>
      <c r="I863" s="4"/>
      <c r="J863" s="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25">
      <c r="A864" s="1"/>
      <c r="B864" s="2"/>
      <c r="C864" s="3"/>
      <c r="D864" s="4"/>
      <c r="E864" s="4"/>
      <c r="F864" s="4"/>
      <c r="G864" s="4"/>
      <c r="H864" s="4"/>
      <c r="I864" s="4"/>
      <c r="J864" s="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25">
      <c r="A865" s="1"/>
      <c r="B865" s="2"/>
      <c r="C865" s="3"/>
      <c r="D865" s="4"/>
      <c r="E865" s="4"/>
      <c r="F865" s="4"/>
      <c r="G865" s="4"/>
      <c r="H865" s="4"/>
      <c r="I865" s="4"/>
      <c r="J865" s="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25">
      <c r="A866" s="1"/>
      <c r="B866" s="2"/>
      <c r="C866" s="3"/>
      <c r="D866" s="4"/>
      <c r="E866" s="4"/>
      <c r="F866" s="4"/>
      <c r="G866" s="4"/>
      <c r="H866" s="4"/>
      <c r="I866" s="4"/>
      <c r="J866" s="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25">
      <c r="A867" s="1"/>
      <c r="B867" s="2"/>
      <c r="C867" s="3"/>
      <c r="D867" s="4"/>
      <c r="E867" s="4"/>
      <c r="F867" s="4"/>
      <c r="G867" s="4"/>
      <c r="H867" s="4"/>
      <c r="I867" s="4"/>
      <c r="J867" s="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25">
      <c r="A868" s="1"/>
      <c r="B868" s="2"/>
      <c r="C868" s="3"/>
      <c r="D868" s="4"/>
      <c r="E868" s="4"/>
      <c r="F868" s="4"/>
      <c r="G868" s="4"/>
      <c r="H868" s="4"/>
      <c r="I868" s="4"/>
      <c r="J868" s="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25">
      <c r="A869" s="1"/>
      <c r="B869" s="2"/>
      <c r="C869" s="3"/>
      <c r="D869" s="4"/>
      <c r="E869" s="4"/>
      <c r="F869" s="4"/>
      <c r="G869" s="4"/>
      <c r="H869" s="4"/>
      <c r="I869" s="4"/>
      <c r="J869" s="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25">
      <c r="A870" s="1"/>
      <c r="B870" s="2"/>
      <c r="C870" s="3"/>
      <c r="D870" s="4"/>
      <c r="E870" s="4"/>
      <c r="F870" s="4"/>
      <c r="G870" s="4"/>
      <c r="H870" s="4"/>
      <c r="I870" s="4"/>
      <c r="J870" s="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25">
      <c r="A871" s="1"/>
      <c r="B871" s="2"/>
      <c r="C871" s="3"/>
      <c r="D871" s="4"/>
      <c r="E871" s="4"/>
      <c r="F871" s="4"/>
      <c r="G871" s="4"/>
      <c r="H871" s="4"/>
      <c r="I871" s="4"/>
      <c r="J871" s="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25">
      <c r="A872" s="1"/>
      <c r="B872" s="2"/>
      <c r="C872" s="3"/>
      <c r="D872" s="4"/>
      <c r="E872" s="4"/>
      <c r="F872" s="4"/>
      <c r="G872" s="4"/>
      <c r="H872" s="4"/>
      <c r="I872" s="4"/>
      <c r="J872" s="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25">
      <c r="A873" s="1"/>
      <c r="B873" s="2"/>
      <c r="C873" s="3"/>
      <c r="D873" s="4"/>
      <c r="E873" s="4"/>
      <c r="F873" s="4"/>
      <c r="G873" s="4"/>
      <c r="H873" s="4"/>
      <c r="I873" s="4"/>
      <c r="J873" s="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25">
      <c r="A874" s="1"/>
      <c r="B874" s="2"/>
      <c r="C874" s="3"/>
      <c r="D874" s="4"/>
      <c r="E874" s="4"/>
      <c r="F874" s="4"/>
      <c r="G874" s="4"/>
      <c r="H874" s="4"/>
      <c r="I874" s="4"/>
      <c r="J874" s="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25">
      <c r="A875" s="1"/>
      <c r="B875" s="2"/>
      <c r="C875" s="3"/>
      <c r="D875" s="4"/>
      <c r="E875" s="4"/>
      <c r="F875" s="4"/>
      <c r="G875" s="4"/>
      <c r="H875" s="4"/>
      <c r="I875" s="4"/>
      <c r="J875" s="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25">
      <c r="A876" s="1"/>
      <c r="B876" s="2"/>
      <c r="C876" s="3"/>
      <c r="D876" s="4"/>
      <c r="E876" s="4"/>
      <c r="F876" s="4"/>
      <c r="G876" s="4"/>
      <c r="H876" s="4"/>
      <c r="I876" s="4"/>
      <c r="J876" s="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25">
      <c r="A877" s="1"/>
      <c r="B877" s="2"/>
      <c r="C877" s="3"/>
      <c r="D877" s="4"/>
      <c r="E877" s="4"/>
      <c r="F877" s="4"/>
      <c r="G877" s="4"/>
      <c r="H877" s="4"/>
      <c r="I877" s="4"/>
      <c r="J877" s="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25">
      <c r="A878" s="1"/>
      <c r="B878" s="2"/>
      <c r="C878" s="3"/>
      <c r="D878" s="4"/>
      <c r="E878" s="4"/>
      <c r="F878" s="4"/>
      <c r="G878" s="4"/>
      <c r="H878" s="4"/>
      <c r="I878" s="4"/>
      <c r="J878" s="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25">
      <c r="A879" s="1"/>
      <c r="B879" s="2"/>
      <c r="C879" s="3"/>
      <c r="D879" s="4"/>
      <c r="E879" s="4"/>
      <c r="F879" s="4"/>
      <c r="G879" s="4"/>
      <c r="H879" s="4"/>
      <c r="I879" s="4"/>
      <c r="J879" s="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25">
      <c r="A880" s="1"/>
      <c r="B880" s="2"/>
      <c r="C880" s="3"/>
      <c r="D880" s="4"/>
      <c r="E880" s="4"/>
      <c r="F880" s="4"/>
      <c r="G880" s="4"/>
      <c r="H880" s="4"/>
      <c r="I880" s="4"/>
      <c r="J880" s="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25">
      <c r="A881" s="1"/>
      <c r="B881" s="2"/>
      <c r="C881" s="3"/>
      <c r="D881" s="4"/>
      <c r="E881" s="4"/>
      <c r="F881" s="4"/>
      <c r="G881" s="4"/>
      <c r="H881" s="4"/>
      <c r="I881" s="4"/>
      <c r="J881" s="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25">
      <c r="A882" s="1"/>
      <c r="B882" s="2"/>
      <c r="C882" s="3"/>
      <c r="D882" s="4"/>
      <c r="E882" s="4"/>
      <c r="F882" s="4"/>
      <c r="G882" s="4"/>
      <c r="H882" s="4"/>
      <c r="I882" s="4"/>
      <c r="J882" s="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25">
      <c r="A883" s="1"/>
      <c r="B883" s="2"/>
      <c r="C883" s="3"/>
      <c r="D883" s="4"/>
      <c r="E883" s="4"/>
      <c r="F883" s="4"/>
      <c r="G883" s="4"/>
      <c r="H883" s="4"/>
      <c r="I883" s="4"/>
      <c r="J883" s="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25">
      <c r="A884" s="1"/>
      <c r="B884" s="2"/>
      <c r="C884" s="3"/>
      <c r="D884" s="4"/>
      <c r="E884" s="4"/>
      <c r="F884" s="4"/>
      <c r="G884" s="4"/>
      <c r="H884" s="4"/>
      <c r="I884" s="4"/>
      <c r="J884" s="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25">
      <c r="A885" s="1"/>
      <c r="B885" s="2"/>
      <c r="C885" s="3"/>
      <c r="D885" s="4"/>
      <c r="E885" s="4"/>
      <c r="F885" s="4"/>
      <c r="G885" s="4"/>
      <c r="H885" s="4"/>
      <c r="I885" s="4"/>
      <c r="J885" s="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25">
      <c r="A886" s="1"/>
      <c r="B886" s="2"/>
      <c r="C886" s="3"/>
      <c r="D886" s="4"/>
      <c r="E886" s="4"/>
      <c r="F886" s="4"/>
      <c r="G886" s="4"/>
      <c r="H886" s="4"/>
      <c r="I886" s="4"/>
      <c r="J886" s="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25">
      <c r="A887" s="1"/>
      <c r="B887" s="2"/>
      <c r="C887" s="3"/>
      <c r="D887" s="4"/>
      <c r="E887" s="4"/>
      <c r="F887" s="4"/>
      <c r="G887" s="4"/>
      <c r="H887" s="4"/>
      <c r="I887" s="4"/>
      <c r="J887" s="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25">
      <c r="A888" s="1"/>
      <c r="B888" s="2"/>
      <c r="C888" s="3"/>
      <c r="D888" s="4"/>
      <c r="E888" s="4"/>
      <c r="F888" s="4"/>
      <c r="G888" s="4"/>
      <c r="H888" s="4"/>
      <c r="I888" s="4"/>
      <c r="J888" s="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25">
      <c r="A889" s="1"/>
      <c r="B889" s="2"/>
      <c r="C889" s="3"/>
      <c r="D889" s="4"/>
      <c r="E889" s="4"/>
      <c r="F889" s="4"/>
      <c r="G889" s="4"/>
      <c r="H889" s="4"/>
      <c r="I889" s="4"/>
      <c r="J889" s="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25">
      <c r="A890" s="1"/>
      <c r="B890" s="2"/>
      <c r="C890" s="3"/>
      <c r="D890" s="4"/>
      <c r="E890" s="4"/>
      <c r="F890" s="4"/>
      <c r="G890" s="4"/>
      <c r="H890" s="4"/>
      <c r="I890" s="4"/>
      <c r="J890" s="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25">
      <c r="A891" s="1"/>
      <c r="B891" s="2"/>
      <c r="C891" s="3"/>
      <c r="D891" s="4"/>
      <c r="E891" s="4"/>
      <c r="F891" s="4"/>
      <c r="G891" s="4"/>
      <c r="H891" s="4"/>
      <c r="I891" s="4"/>
      <c r="J891" s="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25">
      <c r="A892" s="1"/>
      <c r="B892" s="2"/>
      <c r="C892" s="3"/>
      <c r="D892" s="4"/>
      <c r="E892" s="4"/>
      <c r="F892" s="4"/>
      <c r="G892" s="4"/>
      <c r="H892" s="4"/>
      <c r="I892" s="4"/>
      <c r="J892" s="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25">
      <c r="A893" s="1"/>
      <c r="B893" s="2"/>
      <c r="C893" s="3"/>
      <c r="D893" s="4"/>
      <c r="E893" s="4"/>
      <c r="F893" s="4"/>
      <c r="G893" s="4"/>
      <c r="H893" s="4"/>
      <c r="I893" s="4"/>
      <c r="J893" s="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25">
      <c r="A894" s="1"/>
      <c r="B894" s="2"/>
      <c r="C894" s="3"/>
      <c r="D894" s="4"/>
      <c r="E894" s="4"/>
      <c r="F894" s="4"/>
      <c r="G894" s="4"/>
      <c r="H894" s="4"/>
      <c r="I894" s="4"/>
      <c r="J894" s="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25">
      <c r="A895" s="1"/>
      <c r="B895" s="2"/>
      <c r="C895" s="3"/>
      <c r="D895" s="4"/>
      <c r="E895" s="4"/>
      <c r="F895" s="4"/>
      <c r="G895" s="4"/>
      <c r="H895" s="4"/>
      <c r="I895" s="4"/>
      <c r="J895" s="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25">
      <c r="A896" s="1"/>
      <c r="B896" s="2"/>
      <c r="C896" s="3"/>
      <c r="D896" s="4"/>
      <c r="E896" s="4"/>
      <c r="F896" s="4"/>
      <c r="G896" s="4"/>
      <c r="H896" s="4"/>
      <c r="I896" s="4"/>
      <c r="J896" s="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25">
      <c r="A897" s="1"/>
      <c r="B897" s="2"/>
      <c r="C897" s="3"/>
      <c r="D897" s="4"/>
      <c r="E897" s="4"/>
      <c r="F897" s="4"/>
      <c r="G897" s="4"/>
      <c r="H897" s="4"/>
      <c r="I897" s="4"/>
      <c r="J897" s="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25">
      <c r="A898" s="1"/>
      <c r="B898" s="2"/>
      <c r="C898" s="3"/>
      <c r="D898" s="4"/>
      <c r="E898" s="4"/>
      <c r="F898" s="4"/>
      <c r="G898" s="4"/>
      <c r="H898" s="4"/>
      <c r="I898" s="4"/>
      <c r="J898" s="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25">
      <c r="A899" s="1"/>
      <c r="B899" s="2"/>
      <c r="C899" s="3"/>
      <c r="D899" s="4"/>
      <c r="E899" s="4"/>
      <c r="F899" s="4"/>
      <c r="G899" s="4"/>
      <c r="H899" s="4"/>
      <c r="I899" s="4"/>
      <c r="J899" s="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25">
      <c r="A900" s="1"/>
      <c r="B900" s="2"/>
      <c r="C900" s="3"/>
      <c r="D900" s="4"/>
      <c r="E900" s="4"/>
      <c r="F900" s="4"/>
      <c r="G900" s="4"/>
      <c r="H900" s="4"/>
      <c r="I900" s="4"/>
      <c r="J900" s="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25">
      <c r="A901" s="1"/>
      <c r="B901" s="2"/>
      <c r="C901" s="3"/>
      <c r="D901" s="4"/>
      <c r="E901" s="4"/>
      <c r="F901" s="4"/>
      <c r="G901" s="4"/>
      <c r="H901" s="4"/>
      <c r="I901" s="4"/>
      <c r="J901" s="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25">
      <c r="A902" s="1"/>
      <c r="B902" s="2"/>
      <c r="C902" s="3"/>
      <c r="D902" s="4"/>
      <c r="E902" s="4"/>
      <c r="F902" s="4"/>
      <c r="G902" s="4"/>
      <c r="H902" s="4"/>
      <c r="I902" s="4"/>
      <c r="J902" s="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25">
      <c r="A903" s="1"/>
      <c r="B903" s="2"/>
      <c r="C903" s="3"/>
      <c r="D903" s="4"/>
      <c r="E903" s="4"/>
      <c r="F903" s="4"/>
      <c r="G903" s="4"/>
      <c r="H903" s="4"/>
      <c r="I903" s="4"/>
      <c r="J903" s="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25">
      <c r="A904" s="1"/>
      <c r="B904" s="2"/>
      <c r="C904" s="3"/>
      <c r="D904" s="4"/>
      <c r="E904" s="4"/>
      <c r="F904" s="4"/>
      <c r="G904" s="4"/>
      <c r="H904" s="4"/>
      <c r="I904" s="4"/>
      <c r="J904" s="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25">
      <c r="A905" s="1"/>
      <c r="B905" s="2"/>
      <c r="C905" s="3"/>
      <c r="D905" s="4"/>
      <c r="E905" s="4"/>
      <c r="F905" s="4"/>
      <c r="G905" s="4"/>
      <c r="H905" s="4"/>
      <c r="I905" s="4"/>
      <c r="J905" s="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25">
      <c r="A906" s="1"/>
      <c r="B906" s="2"/>
      <c r="C906" s="3"/>
      <c r="D906" s="4"/>
      <c r="E906" s="4"/>
      <c r="F906" s="4"/>
      <c r="G906" s="4"/>
      <c r="H906" s="4"/>
      <c r="I906" s="4"/>
      <c r="J906" s="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25">
      <c r="A907" s="1"/>
      <c r="B907" s="2"/>
      <c r="C907" s="3"/>
      <c r="D907" s="4"/>
      <c r="E907" s="4"/>
      <c r="F907" s="4"/>
      <c r="G907" s="4"/>
      <c r="H907" s="4"/>
      <c r="I907" s="4"/>
      <c r="J907" s="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25">
      <c r="A908" s="1"/>
      <c r="B908" s="2"/>
      <c r="C908" s="3"/>
      <c r="D908" s="4"/>
      <c r="E908" s="4"/>
      <c r="F908" s="4"/>
      <c r="G908" s="4"/>
      <c r="H908" s="4"/>
      <c r="I908" s="4"/>
      <c r="J908" s="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25">
      <c r="A909" s="1"/>
      <c r="B909" s="2"/>
      <c r="C909" s="3"/>
      <c r="D909" s="4"/>
      <c r="E909" s="4"/>
      <c r="F909" s="4"/>
      <c r="G909" s="4"/>
      <c r="H909" s="4"/>
      <c r="I909" s="4"/>
      <c r="J909" s="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25">
      <c r="A910" s="1"/>
      <c r="B910" s="2"/>
      <c r="C910" s="3"/>
      <c r="D910" s="4"/>
      <c r="E910" s="4"/>
      <c r="F910" s="4"/>
      <c r="G910" s="4"/>
      <c r="H910" s="4"/>
      <c r="I910" s="4"/>
      <c r="J910" s="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25">
      <c r="A911" s="1"/>
      <c r="B911" s="2"/>
      <c r="C911" s="3"/>
      <c r="D911" s="4"/>
      <c r="E911" s="4"/>
      <c r="F911" s="4"/>
      <c r="G911" s="4"/>
      <c r="H911" s="4"/>
      <c r="I911" s="4"/>
      <c r="J911" s="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25">
      <c r="A912" s="1"/>
      <c r="B912" s="2"/>
      <c r="C912" s="3"/>
      <c r="D912" s="4"/>
      <c r="E912" s="4"/>
      <c r="F912" s="4"/>
      <c r="G912" s="4"/>
      <c r="H912" s="4"/>
      <c r="I912" s="4"/>
      <c r="J912" s="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25">
      <c r="A913" s="1"/>
      <c r="B913" s="2"/>
      <c r="C913" s="3"/>
      <c r="D913" s="4"/>
      <c r="E913" s="4"/>
      <c r="F913" s="4"/>
      <c r="G913" s="4"/>
      <c r="H913" s="4"/>
      <c r="I913" s="4"/>
      <c r="J913" s="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25">
      <c r="A914" s="1"/>
      <c r="B914" s="2"/>
      <c r="C914" s="3"/>
      <c r="D914" s="4"/>
      <c r="E914" s="4"/>
      <c r="F914" s="4"/>
      <c r="G914" s="4"/>
      <c r="H914" s="4"/>
      <c r="I914" s="4"/>
      <c r="J914" s="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25">
      <c r="A915" s="1"/>
      <c r="B915" s="2"/>
      <c r="C915" s="3"/>
      <c r="D915" s="4"/>
      <c r="E915" s="4"/>
      <c r="F915" s="4"/>
      <c r="G915" s="4"/>
      <c r="H915" s="4"/>
      <c r="I915" s="4"/>
      <c r="J915" s="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25">
      <c r="A916" s="1"/>
      <c r="B916" s="2"/>
      <c r="C916" s="3"/>
      <c r="D916" s="4"/>
      <c r="E916" s="4"/>
      <c r="F916" s="4"/>
      <c r="G916" s="4"/>
      <c r="H916" s="4"/>
      <c r="I916" s="4"/>
      <c r="J916" s="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25">
      <c r="A917" s="1"/>
      <c r="B917" s="2"/>
      <c r="C917" s="3"/>
      <c r="D917" s="4"/>
      <c r="E917" s="4"/>
      <c r="F917" s="4"/>
      <c r="G917" s="4"/>
      <c r="H917" s="4"/>
      <c r="I917" s="4"/>
      <c r="J917" s="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25">
      <c r="A918" s="1"/>
      <c r="B918" s="2"/>
      <c r="C918" s="3"/>
      <c r="D918" s="4"/>
      <c r="E918" s="4"/>
      <c r="F918" s="4"/>
      <c r="G918" s="4"/>
      <c r="H918" s="4"/>
      <c r="I918" s="4"/>
      <c r="J918" s="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25">
      <c r="A919" s="1"/>
      <c r="B919" s="2"/>
      <c r="C919" s="3"/>
      <c r="D919" s="4"/>
      <c r="E919" s="4"/>
      <c r="F919" s="4"/>
      <c r="G919" s="4"/>
      <c r="H919" s="4"/>
      <c r="I919" s="4"/>
      <c r="J919" s="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25">
      <c r="A920" s="1"/>
      <c r="B920" s="2"/>
      <c r="C920" s="3"/>
      <c r="D920" s="4"/>
      <c r="E920" s="4"/>
      <c r="F920" s="4"/>
      <c r="G920" s="4"/>
      <c r="H920" s="4"/>
      <c r="I920" s="4"/>
      <c r="J920" s="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25">
      <c r="A921" s="1"/>
      <c r="B921" s="2"/>
      <c r="C921" s="3"/>
      <c r="D921" s="4"/>
      <c r="E921" s="4"/>
      <c r="F921" s="4"/>
      <c r="G921" s="4"/>
      <c r="H921" s="4"/>
      <c r="I921" s="4"/>
      <c r="J921" s="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25">
      <c r="A922" s="1"/>
      <c r="B922" s="2"/>
      <c r="C922" s="3"/>
      <c r="D922" s="4"/>
      <c r="E922" s="4"/>
      <c r="F922" s="4"/>
      <c r="G922" s="4"/>
      <c r="H922" s="4"/>
      <c r="I922" s="4"/>
      <c r="J922" s="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25">
      <c r="A923" s="1"/>
      <c r="B923" s="2"/>
      <c r="C923" s="3"/>
      <c r="D923" s="4"/>
      <c r="E923" s="4"/>
      <c r="F923" s="4"/>
      <c r="G923" s="4"/>
      <c r="H923" s="4"/>
      <c r="I923" s="4"/>
      <c r="J923" s="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25">
      <c r="A924" s="1"/>
      <c r="B924" s="2"/>
      <c r="C924" s="3"/>
      <c r="D924" s="4"/>
      <c r="E924" s="4"/>
      <c r="F924" s="4"/>
      <c r="G924" s="4"/>
      <c r="H924" s="4"/>
      <c r="I924" s="4"/>
      <c r="J924" s="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25">
      <c r="A925" s="1"/>
      <c r="B925" s="2"/>
      <c r="C925" s="3"/>
      <c r="D925" s="4"/>
      <c r="E925" s="4"/>
      <c r="F925" s="4"/>
      <c r="G925" s="4"/>
      <c r="H925" s="4"/>
      <c r="I925" s="4"/>
      <c r="J925" s="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25">
      <c r="A926" s="1"/>
      <c r="B926" s="2"/>
      <c r="C926" s="3"/>
      <c r="D926" s="4"/>
      <c r="E926" s="4"/>
      <c r="F926" s="4"/>
      <c r="G926" s="4"/>
      <c r="H926" s="4"/>
      <c r="I926" s="4"/>
      <c r="J926" s="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25">
      <c r="A927" s="1"/>
      <c r="B927" s="2"/>
      <c r="C927" s="3"/>
      <c r="D927" s="4"/>
      <c r="E927" s="4"/>
      <c r="F927" s="4"/>
      <c r="G927" s="4"/>
      <c r="H927" s="4"/>
      <c r="I927" s="4"/>
      <c r="J927" s="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25">
      <c r="A928" s="1"/>
      <c r="B928" s="2"/>
      <c r="C928" s="3"/>
      <c r="D928" s="4"/>
      <c r="E928" s="4"/>
      <c r="F928" s="4"/>
      <c r="G928" s="4"/>
      <c r="H928" s="4"/>
      <c r="I928" s="4"/>
      <c r="J928" s="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25">
      <c r="A929" s="1"/>
      <c r="B929" s="2"/>
      <c r="C929" s="3"/>
      <c r="D929" s="4"/>
      <c r="E929" s="4"/>
      <c r="F929" s="4"/>
      <c r="G929" s="4"/>
      <c r="H929" s="4"/>
      <c r="I929" s="4"/>
      <c r="J929" s="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25">
      <c r="A930" s="1"/>
      <c r="B930" s="2"/>
      <c r="C930" s="3"/>
      <c r="D930" s="4"/>
      <c r="E930" s="4"/>
      <c r="F930" s="4"/>
      <c r="G930" s="4"/>
      <c r="H930" s="4"/>
      <c r="I930" s="4"/>
      <c r="J930" s="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25">
      <c r="A931" s="1"/>
      <c r="B931" s="2"/>
      <c r="C931" s="3"/>
      <c r="D931" s="4"/>
      <c r="E931" s="4"/>
      <c r="F931" s="4"/>
      <c r="G931" s="4"/>
      <c r="H931" s="4"/>
      <c r="I931" s="4"/>
      <c r="J931" s="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25">
      <c r="A932" s="1"/>
      <c r="B932" s="2"/>
      <c r="C932" s="3"/>
      <c r="D932" s="4"/>
      <c r="E932" s="4"/>
      <c r="F932" s="4"/>
      <c r="G932" s="4"/>
      <c r="H932" s="4"/>
      <c r="I932" s="4"/>
      <c r="J932" s="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25">
      <c r="A933" s="1"/>
      <c r="B933" s="2"/>
      <c r="C933" s="3"/>
      <c r="D933" s="4"/>
      <c r="E933" s="4"/>
      <c r="F933" s="4"/>
      <c r="G933" s="4"/>
      <c r="H933" s="4"/>
      <c r="I933" s="4"/>
      <c r="J933" s="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25">
      <c r="A934" s="1"/>
      <c r="B934" s="2"/>
      <c r="C934" s="3"/>
      <c r="D934" s="4"/>
      <c r="E934" s="4"/>
      <c r="F934" s="4"/>
      <c r="G934" s="4"/>
      <c r="H934" s="4"/>
      <c r="I934" s="4"/>
      <c r="J934" s="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25">
      <c r="A935" s="1"/>
      <c r="B935" s="2"/>
      <c r="C935" s="3"/>
      <c r="D935" s="4"/>
      <c r="E935" s="4"/>
      <c r="F935" s="4"/>
      <c r="G935" s="4"/>
      <c r="H935" s="4"/>
      <c r="I935" s="4"/>
      <c r="J935" s="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25">
      <c r="A936" s="1"/>
      <c r="B936" s="2"/>
      <c r="C936" s="3"/>
      <c r="D936" s="4"/>
      <c r="E936" s="4"/>
      <c r="F936" s="4"/>
      <c r="G936" s="4"/>
      <c r="H936" s="4"/>
      <c r="I936" s="4"/>
      <c r="J936" s="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25">
      <c r="A937" s="1"/>
      <c r="B937" s="2"/>
      <c r="C937" s="3"/>
      <c r="D937" s="4"/>
      <c r="E937" s="4"/>
      <c r="F937" s="4"/>
      <c r="G937" s="4"/>
      <c r="H937" s="4"/>
      <c r="I937" s="4"/>
      <c r="J937" s="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25">
      <c r="A938" s="1"/>
      <c r="B938" s="2"/>
      <c r="C938" s="3"/>
      <c r="D938" s="4"/>
      <c r="E938" s="4"/>
      <c r="F938" s="4"/>
      <c r="G938" s="4"/>
      <c r="H938" s="4"/>
      <c r="I938" s="4"/>
      <c r="J938" s="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25">
      <c r="A939" s="1"/>
      <c r="B939" s="2"/>
      <c r="C939" s="3"/>
      <c r="D939" s="4"/>
      <c r="E939" s="4"/>
      <c r="F939" s="4"/>
      <c r="G939" s="4"/>
      <c r="H939" s="4"/>
      <c r="I939" s="4"/>
      <c r="J939" s="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25">
      <c r="A940" s="1"/>
      <c r="B940" s="2"/>
      <c r="C940" s="3"/>
      <c r="D940" s="4"/>
      <c r="E940" s="4"/>
      <c r="F940" s="4"/>
      <c r="G940" s="4"/>
      <c r="H940" s="4"/>
      <c r="I940" s="4"/>
      <c r="J940" s="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25">
      <c r="A941" s="1"/>
      <c r="B941" s="2"/>
      <c r="C941" s="3"/>
      <c r="D941" s="4"/>
      <c r="E941" s="4"/>
      <c r="F941" s="4"/>
      <c r="G941" s="4"/>
      <c r="H941" s="4"/>
      <c r="I941" s="4"/>
      <c r="J941" s="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25">
      <c r="A942" s="1"/>
      <c r="B942" s="2"/>
      <c r="C942" s="3"/>
      <c r="D942" s="4"/>
      <c r="E942" s="4"/>
      <c r="F942" s="4"/>
      <c r="G942" s="4"/>
      <c r="H942" s="4"/>
      <c r="I942" s="4"/>
      <c r="J942" s="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25">
      <c r="A943" s="1"/>
      <c r="B943" s="2"/>
      <c r="C943" s="3"/>
      <c r="D943" s="4"/>
      <c r="E943" s="4"/>
      <c r="F943" s="4"/>
      <c r="G943" s="4"/>
      <c r="H943" s="4"/>
      <c r="I943" s="4"/>
      <c r="J943" s="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25">
      <c r="A944" s="1"/>
      <c r="B944" s="2"/>
      <c r="C944" s="3"/>
      <c r="D944" s="4"/>
      <c r="E944" s="4"/>
      <c r="F944" s="4"/>
      <c r="G944" s="4"/>
      <c r="H944" s="4"/>
      <c r="I944" s="4"/>
      <c r="J944" s="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25">
      <c r="A945" s="1"/>
      <c r="B945" s="2"/>
      <c r="C945" s="3"/>
      <c r="D945" s="4"/>
      <c r="E945" s="4"/>
      <c r="F945" s="4"/>
      <c r="G945" s="4"/>
      <c r="H945" s="4"/>
      <c r="I945" s="4"/>
      <c r="J945" s="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25">
      <c r="A946" s="1"/>
      <c r="B946" s="2"/>
      <c r="C946" s="3"/>
      <c r="D946" s="4"/>
      <c r="E946" s="4"/>
      <c r="F946" s="4"/>
      <c r="G946" s="4"/>
      <c r="H946" s="4"/>
      <c r="I946" s="4"/>
      <c r="J946" s="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25">
      <c r="A947" s="1"/>
      <c r="B947" s="2"/>
      <c r="C947" s="3"/>
      <c r="D947" s="4"/>
      <c r="E947" s="4"/>
      <c r="F947" s="4"/>
      <c r="G947" s="4"/>
      <c r="H947" s="4"/>
      <c r="I947" s="4"/>
      <c r="J947" s="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25">
      <c r="A948" s="1"/>
      <c r="B948" s="2"/>
      <c r="C948" s="3"/>
      <c r="D948" s="4"/>
      <c r="E948" s="4"/>
      <c r="F948" s="4"/>
      <c r="G948" s="4"/>
      <c r="H948" s="4"/>
      <c r="I948" s="4"/>
      <c r="J948" s="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25">
      <c r="A949" s="1"/>
      <c r="B949" s="2"/>
      <c r="C949" s="3"/>
      <c r="D949" s="4"/>
      <c r="E949" s="4"/>
      <c r="F949" s="4"/>
      <c r="G949" s="4"/>
      <c r="H949" s="4"/>
      <c r="I949" s="4"/>
      <c r="J949" s="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25">
      <c r="A950" s="1"/>
      <c r="B950" s="2"/>
      <c r="C950" s="3"/>
      <c r="D950" s="4"/>
      <c r="E950" s="4"/>
      <c r="F950" s="4"/>
      <c r="G950" s="4"/>
      <c r="H950" s="4"/>
      <c r="I950" s="4"/>
      <c r="J950" s="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25">
      <c r="A951" s="1"/>
      <c r="B951" s="2"/>
      <c r="C951" s="3"/>
      <c r="D951" s="4"/>
      <c r="E951" s="4"/>
      <c r="F951" s="4"/>
      <c r="G951" s="4"/>
      <c r="H951" s="4"/>
      <c r="I951" s="4"/>
      <c r="J951" s="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25">
      <c r="A952" s="1"/>
      <c r="B952" s="2"/>
      <c r="C952" s="3"/>
      <c r="D952" s="4"/>
      <c r="E952" s="4"/>
      <c r="F952" s="4"/>
      <c r="G952" s="4"/>
      <c r="H952" s="4"/>
      <c r="I952" s="4"/>
      <c r="J952" s="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25">
      <c r="A953" s="1"/>
      <c r="B953" s="2"/>
      <c r="C953" s="3"/>
      <c r="D953" s="4"/>
      <c r="E953" s="4"/>
      <c r="F953" s="4"/>
      <c r="G953" s="4"/>
      <c r="H953" s="4"/>
      <c r="I953" s="4"/>
      <c r="J953" s="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25">
      <c r="A954" s="1"/>
      <c r="B954" s="2"/>
      <c r="C954" s="3"/>
      <c r="D954" s="4"/>
      <c r="E954" s="4"/>
      <c r="F954" s="4"/>
      <c r="G954" s="4"/>
      <c r="H954" s="4"/>
      <c r="I954" s="4"/>
      <c r="J954" s="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25">
      <c r="A955" s="1"/>
      <c r="B955" s="2"/>
      <c r="C955" s="3"/>
      <c r="D955" s="4"/>
      <c r="E955" s="4"/>
      <c r="F955" s="4"/>
      <c r="G955" s="4"/>
      <c r="H955" s="4"/>
      <c r="I955" s="4"/>
      <c r="J955" s="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25">
      <c r="A956" s="1"/>
      <c r="B956" s="2"/>
      <c r="C956" s="3"/>
      <c r="D956" s="4"/>
      <c r="E956" s="4"/>
      <c r="F956" s="4"/>
      <c r="G956" s="4"/>
      <c r="H956" s="4"/>
      <c r="I956" s="4"/>
      <c r="J956" s="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25">
      <c r="A957" s="1"/>
      <c r="B957" s="2"/>
      <c r="C957" s="3"/>
      <c r="D957" s="4"/>
      <c r="E957" s="4"/>
      <c r="F957" s="4"/>
      <c r="G957" s="4"/>
      <c r="H957" s="4"/>
      <c r="I957" s="4"/>
      <c r="J957" s="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25">
      <c r="A958" s="1"/>
      <c r="B958" s="2"/>
      <c r="C958" s="3"/>
      <c r="D958" s="4"/>
      <c r="E958" s="4"/>
      <c r="F958" s="4"/>
      <c r="G958" s="4"/>
      <c r="H958" s="4"/>
      <c r="I958" s="4"/>
      <c r="J958" s="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25">
      <c r="A959" s="1"/>
      <c r="B959" s="2"/>
      <c r="C959" s="3"/>
      <c r="D959" s="4"/>
      <c r="E959" s="4"/>
      <c r="F959" s="4"/>
      <c r="G959" s="4"/>
      <c r="H959" s="4"/>
      <c r="I959" s="4"/>
      <c r="J959" s="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25">
      <c r="A960" s="1"/>
      <c r="B960" s="2"/>
      <c r="C960" s="3"/>
      <c r="D960" s="4"/>
      <c r="E960" s="4"/>
      <c r="F960" s="4"/>
      <c r="G960" s="4"/>
      <c r="H960" s="4"/>
      <c r="I960" s="4"/>
      <c r="J960" s="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25">
      <c r="A961" s="1"/>
      <c r="B961" s="2"/>
      <c r="C961" s="3"/>
      <c r="D961" s="4"/>
      <c r="E961" s="4"/>
      <c r="F961" s="4"/>
      <c r="G961" s="4"/>
      <c r="H961" s="4"/>
      <c r="I961" s="4"/>
      <c r="J961" s="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25">
      <c r="A962" s="1"/>
      <c r="B962" s="2"/>
      <c r="C962" s="3"/>
      <c r="D962" s="4"/>
      <c r="E962" s="4"/>
      <c r="F962" s="4"/>
      <c r="G962" s="4"/>
      <c r="H962" s="4"/>
      <c r="I962" s="4"/>
      <c r="J962" s="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25">
      <c r="A963" s="1"/>
      <c r="B963" s="2"/>
      <c r="C963" s="3"/>
      <c r="D963" s="4"/>
      <c r="E963" s="4"/>
      <c r="F963" s="4"/>
      <c r="G963" s="4"/>
      <c r="H963" s="4"/>
      <c r="I963" s="4"/>
      <c r="J963" s="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25">
      <c r="A964" s="1"/>
      <c r="B964" s="2"/>
      <c r="C964" s="3"/>
      <c r="D964" s="4"/>
      <c r="E964" s="4"/>
      <c r="F964" s="4"/>
      <c r="G964" s="4"/>
      <c r="H964" s="4"/>
      <c r="I964" s="4"/>
      <c r="J964" s="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25">
      <c r="A965" s="1"/>
      <c r="B965" s="2"/>
      <c r="C965" s="3"/>
      <c r="D965" s="4"/>
      <c r="E965" s="4"/>
      <c r="F965" s="4"/>
      <c r="G965" s="4"/>
      <c r="H965" s="4"/>
      <c r="I965" s="4"/>
      <c r="J965" s="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25">
      <c r="A966" s="1"/>
      <c r="B966" s="2"/>
      <c r="C966" s="3"/>
      <c r="D966" s="4"/>
      <c r="E966" s="4"/>
      <c r="F966" s="4"/>
      <c r="G966" s="4"/>
      <c r="H966" s="4"/>
      <c r="I966" s="4"/>
      <c r="J966" s="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25">
      <c r="A967" s="1"/>
      <c r="B967" s="2"/>
      <c r="C967" s="3"/>
      <c r="D967" s="4"/>
      <c r="E967" s="4"/>
      <c r="F967" s="4"/>
      <c r="G967" s="4"/>
      <c r="H967" s="4"/>
      <c r="I967" s="4"/>
      <c r="J967" s="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25">
      <c r="A968" s="1"/>
      <c r="B968" s="2"/>
      <c r="C968" s="3"/>
      <c r="D968" s="4"/>
      <c r="E968" s="4"/>
      <c r="F968" s="4"/>
      <c r="G968" s="4"/>
      <c r="H968" s="4"/>
      <c r="I968" s="4"/>
      <c r="J968" s="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25">
      <c r="A969" s="1"/>
      <c r="B969" s="2"/>
      <c r="C969" s="3"/>
      <c r="D969" s="4"/>
      <c r="E969" s="4"/>
      <c r="F969" s="4"/>
      <c r="G969" s="4"/>
      <c r="H969" s="4"/>
      <c r="I969" s="4"/>
      <c r="J969" s="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25">
      <c r="A970" s="1"/>
      <c r="B970" s="2"/>
      <c r="C970" s="3"/>
      <c r="D970" s="4"/>
      <c r="E970" s="4"/>
      <c r="F970" s="4"/>
      <c r="G970" s="4"/>
      <c r="H970" s="4"/>
      <c r="I970" s="4"/>
      <c r="J970" s="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25">
      <c r="A971" s="1"/>
      <c r="B971" s="2"/>
      <c r="C971" s="3"/>
      <c r="D971" s="4"/>
      <c r="E971" s="4"/>
      <c r="F971" s="4"/>
      <c r="G971" s="4"/>
      <c r="H971" s="4"/>
      <c r="I971" s="4"/>
      <c r="J971" s="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25">
      <c r="A972" s="1"/>
      <c r="B972" s="2"/>
      <c r="C972" s="3"/>
      <c r="D972" s="4"/>
      <c r="E972" s="4"/>
      <c r="F972" s="4"/>
      <c r="G972" s="4"/>
      <c r="H972" s="4"/>
      <c r="I972" s="4"/>
      <c r="J972" s="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25">
      <c r="A973" s="1"/>
      <c r="B973" s="2"/>
      <c r="C973" s="3"/>
      <c r="D973" s="4"/>
      <c r="E973" s="4"/>
      <c r="F973" s="4"/>
      <c r="G973" s="4"/>
      <c r="H973" s="4"/>
      <c r="I973" s="4"/>
      <c r="J973" s="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25">
      <c r="A974" s="1"/>
      <c r="B974" s="2"/>
      <c r="C974" s="3"/>
      <c r="D974" s="4"/>
      <c r="E974" s="4"/>
      <c r="F974" s="4"/>
      <c r="G974" s="4"/>
      <c r="H974" s="4"/>
      <c r="I974" s="4"/>
      <c r="J974" s="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25">
      <c r="A975" s="1"/>
      <c r="B975" s="2"/>
      <c r="C975" s="3"/>
      <c r="D975" s="4"/>
      <c r="E975" s="4"/>
      <c r="F975" s="4"/>
      <c r="G975" s="4"/>
      <c r="H975" s="4"/>
      <c r="I975" s="4"/>
      <c r="J975" s="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25">
      <c r="A976" s="1"/>
      <c r="B976" s="2"/>
      <c r="C976" s="3"/>
      <c r="D976" s="4"/>
      <c r="E976" s="4"/>
      <c r="F976" s="4"/>
      <c r="G976" s="4"/>
      <c r="H976" s="4"/>
      <c r="I976" s="4"/>
      <c r="J976" s="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25">
      <c r="A977" s="1"/>
      <c r="B977" s="2"/>
      <c r="C977" s="3"/>
      <c r="D977" s="4"/>
      <c r="E977" s="4"/>
      <c r="F977" s="4"/>
      <c r="G977" s="4"/>
      <c r="H977" s="4"/>
      <c r="I977" s="4"/>
      <c r="J977" s="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25">
      <c r="A978" s="1"/>
      <c r="B978" s="2"/>
      <c r="C978" s="3"/>
      <c r="D978" s="4"/>
      <c r="E978" s="4"/>
      <c r="F978" s="4"/>
      <c r="G978" s="4"/>
      <c r="H978" s="4"/>
      <c r="I978" s="4"/>
      <c r="J978" s="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25">
      <c r="A979" s="1"/>
      <c r="B979" s="2"/>
      <c r="C979" s="3"/>
      <c r="D979" s="4"/>
      <c r="E979" s="4"/>
      <c r="F979" s="4"/>
      <c r="G979" s="4"/>
      <c r="H979" s="4"/>
      <c r="I979" s="4"/>
      <c r="J979" s="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25">
      <c r="A980" s="1"/>
      <c r="B980" s="2"/>
      <c r="C980" s="3"/>
      <c r="D980" s="4"/>
      <c r="E980" s="4"/>
      <c r="F980" s="4"/>
      <c r="G980" s="4"/>
      <c r="H980" s="4"/>
      <c r="I980" s="4"/>
      <c r="J980" s="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25">
      <c r="A981" s="1"/>
      <c r="B981" s="2"/>
      <c r="C981" s="3"/>
      <c r="D981" s="4"/>
      <c r="E981" s="4"/>
      <c r="F981" s="4"/>
      <c r="G981" s="4"/>
      <c r="H981" s="4"/>
      <c r="I981" s="4"/>
      <c r="J981" s="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25">
      <c r="A982" s="1"/>
      <c r="B982" s="2"/>
      <c r="C982" s="3"/>
      <c r="D982" s="4"/>
      <c r="E982" s="4"/>
      <c r="F982" s="4"/>
      <c r="G982" s="4"/>
      <c r="H982" s="4"/>
      <c r="I982" s="4"/>
      <c r="J982" s="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25">
      <c r="A983" s="1"/>
      <c r="B983" s="2"/>
      <c r="C983" s="3"/>
      <c r="D983" s="4"/>
      <c r="E983" s="4"/>
      <c r="F983" s="4"/>
      <c r="G983" s="4"/>
      <c r="H983" s="4"/>
      <c r="I983" s="4"/>
      <c r="J983" s="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25">
      <c r="A984" s="1"/>
      <c r="B984" s="2"/>
      <c r="C984" s="3"/>
      <c r="D984" s="4"/>
      <c r="E984" s="4"/>
      <c r="F984" s="4"/>
      <c r="G984" s="4"/>
      <c r="H984" s="4"/>
      <c r="I984" s="4"/>
      <c r="J984" s="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25">
      <c r="A985" s="1"/>
      <c r="B985" s="2"/>
      <c r="C985" s="3"/>
      <c r="D985" s="4"/>
      <c r="E985" s="4"/>
      <c r="F985" s="4"/>
      <c r="G985" s="4"/>
      <c r="H985" s="4"/>
      <c r="I985" s="4"/>
      <c r="J985" s="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25">
      <c r="A986" s="1"/>
      <c r="B986" s="2"/>
      <c r="C986" s="3"/>
      <c r="D986" s="4"/>
      <c r="E986" s="4"/>
      <c r="F986" s="4"/>
      <c r="G986" s="4"/>
      <c r="H986" s="4"/>
      <c r="I986" s="4"/>
      <c r="J986" s="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25">
      <c r="A987" s="1"/>
      <c r="B987" s="2"/>
      <c r="C987" s="3"/>
      <c r="D987" s="4"/>
      <c r="E987" s="4"/>
      <c r="F987" s="4"/>
      <c r="G987" s="4"/>
      <c r="H987" s="4"/>
      <c r="I987" s="4"/>
      <c r="J987" s="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25">
      <c r="A988" s="1"/>
      <c r="B988" s="2"/>
      <c r="C988" s="3"/>
      <c r="D988" s="4"/>
      <c r="E988" s="4"/>
      <c r="F988" s="4"/>
      <c r="G988" s="4"/>
      <c r="H988" s="4"/>
      <c r="I988" s="4"/>
      <c r="J988" s="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25">
      <c r="A989" s="1"/>
      <c r="B989" s="2"/>
      <c r="C989" s="3"/>
      <c r="D989" s="4"/>
      <c r="E989" s="4"/>
      <c r="F989" s="4"/>
      <c r="G989" s="4"/>
      <c r="H989" s="4"/>
      <c r="I989" s="4"/>
      <c r="J989" s="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25">
      <c r="A990" s="1"/>
      <c r="B990" s="2"/>
      <c r="C990" s="3"/>
      <c r="D990" s="4"/>
      <c r="E990" s="4"/>
      <c r="F990" s="4"/>
      <c r="G990" s="4"/>
      <c r="H990" s="4"/>
      <c r="I990" s="4"/>
      <c r="J990" s="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25">
      <c r="A991" s="1"/>
      <c r="B991" s="2"/>
      <c r="C991" s="3"/>
      <c r="D991" s="4"/>
      <c r="E991" s="4"/>
      <c r="F991" s="4"/>
      <c r="G991" s="4"/>
      <c r="H991" s="4"/>
      <c r="I991" s="4"/>
      <c r="J991" s="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25">
      <c r="A992" s="1"/>
      <c r="B992" s="2"/>
      <c r="C992" s="3"/>
      <c r="D992" s="4"/>
      <c r="E992" s="4"/>
      <c r="F992" s="4"/>
      <c r="G992" s="4"/>
      <c r="H992" s="4"/>
      <c r="I992" s="4"/>
      <c r="J992" s="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25">
      <c r="A993" s="1"/>
      <c r="B993" s="2"/>
      <c r="C993" s="3"/>
      <c r="D993" s="4"/>
      <c r="E993" s="4"/>
      <c r="F993" s="4"/>
      <c r="G993" s="4"/>
      <c r="H993" s="4"/>
      <c r="I993" s="4"/>
      <c r="J993" s="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25">
      <c r="A994" s="1"/>
      <c r="B994" s="2"/>
      <c r="C994" s="3"/>
      <c r="D994" s="4"/>
      <c r="E994" s="4"/>
      <c r="F994" s="4"/>
      <c r="G994" s="4"/>
      <c r="H994" s="4"/>
      <c r="I994" s="4"/>
      <c r="J994" s="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25">
      <c r="A995" s="1"/>
      <c r="B995" s="2"/>
      <c r="C995" s="3"/>
      <c r="D995" s="4"/>
      <c r="E995" s="4"/>
      <c r="F995" s="4"/>
      <c r="G995" s="4"/>
      <c r="H995" s="4"/>
      <c r="I995" s="4"/>
      <c r="J995" s="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25">
      <c r="A996" s="1"/>
      <c r="B996" s="2"/>
      <c r="C996" s="3"/>
      <c r="D996" s="4"/>
      <c r="E996" s="4"/>
      <c r="F996" s="4"/>
      <c r="G996" s="4"/>
      <c r="H996" s="4"/>
      <c r="I996" s="4"/>
      <c r="J996" s="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25">
      <c r="A997" s="1"/>
      <c r="B997" s="2"/>
      <c r="C997" s="3"/>
      <c r="D997" s="4"/>
      <c r="E997" s="4"/>
      <c r="F997" s="4"/>
      <c r="G997" s="4"/>
      <c r="H997" s="4"/>
      <c r="I997" s="4"/>
      <c r="J997" s="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25">
      <c r="A998" s="1"/>
      <c r="B998" s="2"/>
      <c r="C998" s="3"/>
      <c r="D998" s="4"/>
      <c r="E998" s="4"/>
      <c r="F998" s="4"/>
      <c r="G998" s="4"/>
      <c r="H998" s="4"/>
      <c r="I998" s="4"/>
      <c r="J998" s="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25">
      <c r="A999" s="1"/>
      <c r="B999" s="2"/>
      <c r="C999" s="3"/>
      <c r="D999" s="4"/>
      <c r="E999" s="4"/>
      <c r="F999" s="4"/>
      <c r="G999" s="4"/>
      <c r="H999" s="4"/>
      <c r="I999" s="4"/>
      <c r="J999" s="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25">
      <c r="A1000" s="1"/>
      <c r="B1000" s="2"/>
      <c r="C1000" s="3"/>
      <c r="D1000" s="4"/>
      <c r="E1000" s="4"/>
      <c r="F1000" s="4"/>
      <c r="G1000" s="4"/>
      <c r="H1000" s="4"/>
      <c r="I1000" s="4"/>
      <c r="J1000" s="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3:K3"/>
    <mergeCell ref="B5:B6"/>
    <mergeCell ref="C5:C6"/>
    <mergeCell ref="D5:I5"/>
    <mergeCell ref="J5:J6"/>
    <mergeCell ref="K5:K6"/>
  </mergeCells>
  <pageMargins left="0.7" right="0.7" top="0.75" bottom="0.75" header="0" footer="0"/>
  <pageSetup scale="37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5"/>
  <cols>
    <col min="1" max="5" width="8.7109375" customWidth="1"/>
    <col min="6" max="6" width="43.5703125" customWidth="1"/>
    <col min="7" max="7" width="10.7109375" customWidth="1"/>
    <col min="8" max="8" width="12.28515625" customWidth="1"/>
    <col min="9" max="26" width="8.7109375" customWidth="1"/>
  </cols>
  <sheetData>
    <row r="1" spans="1:26" ht="14.25" customHeight="1" x14ac:dyDescent="0.25"/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8.75" customHeight="1" x14ac:dyDescent="0.25">
      <c r="A8" s="125"/>
      <c r="B8" s="125"/>
      <c r="C8" s="125"/>
      <c r="D8" s="125"/>
      <c r="E8" s="125"/>
      <c r="F8" s="126" t="s">
        <v>171</v>
      </c>
      <c r="G8" s="127" t="s">
        <v>172</v>
      </c>
      <c r="H8" s="128" t="s">
        <v>173</v>
      </c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ht="14.25" customHeight="1" x14ac:dyDescent="0.25">
      <c r="F9" s="129" t="s">
        <v>174</v>
      </c>
      <c r="G9" s="130"/>
      <c r="H9" s="131"/>
    </row>
    <row r="10" spans="1:26" ht="14.25" customHeight="1" x14ac:dyDescent="0.25">
      <c r="F10" s="129" t="s">
        <v>175</v>
      </c>
      <c r="G10" s="130"/>
      <c r="H10" s="131"/>
    </row>
    <row r="11" spans="1:26" ht="14.25" customHeight="1" x14ac:dyDescent="0.25">
      <c r="F11" s="132" t="s">
        <v>176</v>
      </c>
      <c r="G11" s="133"/>
      <c r="H11" s="134"/>
    </row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X964"/>
  <sheetViews>
    <sheetView tabSelected="1" topLeftCell="A39" zoomScale="55" zoomScaleNormal="55" workbookViewId="0">
      <selection activeCell="B43" sqref="B43"/>
    </sheetView>
  </sheetViews>
  <sheetFormatPr defaultColWidth="14.42578125" defaultRowHeight="28.5" customHeight="1" x14ac:dyDescent="0.25"/>
  <cols>
    <col min="1" max="1" width="5.42578125" style="190" customWidth="1"/>
    <col min="2" max="2" width="83.42578125" style="191" customWidth="1"/>
    <col min="3" max="3" width="17.140625" style="160" customWidth="1"/>
    <col min="4" max="4" width="18.7109375" style="190" customWidth="1"/>
    <col min="5" max="5" width="17" style="160" customWidth="1"/>
    <col min="6" max="6" width="15.5703125" style="160" customWidth="1"/>
    <col min="7" max="7" width="21.42578125" style="160" customWidth="1"/>
    <col min="8" max="8" width="17.28515625" style="160" customWidth="1"/>
    <col min="9" max="9" width="21.42578125" style="160" customWidth="1"/>
    <col min="10" max="10" width="15.85546875" style="160" customWidth="1"/>
    <col min="11" max="11" width="21.42578125" style="160" customWidth="1"/>
    <col min="12" max="12" width="15.5703125" style="160" customWidth="1"/>
    <col min="13" max="13" width="21.42578125" style="160" customWidth="1"/>
    <col min="14" max="14" width="17.5703125" style="160" customWidth="1"/>
    <col min="15" max="16" width="18.85546875" style="160" customWidth="1"/>
    <col min="17" max="17" width="17.140625" style="160" bestFit="1" customWidth="1"/>
    <col min="18" max="18" width="13.42578125" style="160" customWidth="1"/>
    <col min="19" max="19" width="18.7109375" style="160" hidden="1" customWidth="1"/>
    <col min="20" max="20" width="20" style="160" hidden="1" customWidth="1"/>
    <col min="21" max="21" width="22.7109375" style="160" hidden="1" customWidth="1"/>
    <col min="22" max="22" width="20" style="160" hidden="1" customWidth="1"/>
    <col min="23" max="23" width="18.7109375" style="160" hidden="1" customWidth="1"/>
    <col min="24" max="16384" width="14.42578125" style="160"/>
  </cols>
  <sheetData>
    <row r="2" spans="1:24" s="192" customFormat="1" ht="28.5" customHeight="1" x14ac:dyDescent="0.35">
      <c r="A2" s="255" t="s">
        <v>342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</row>
    <row r="3" spans="1:24" s="192" customFormat="1" ht="28.5" customHeight="1" x14ac:dyDescent="0.35">
      <c r="A3" s="256" t="s">
        <v>350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193"/>
      <c r="T3" s="193"/>
      <c r="U3" s="193"/>
      <c r="V3" s="193"/>
      <c r="W3" s="193"/>
      <c r="X3" s="194"/>
    </row>
    <row r="4" spans="1:24" s="192" customFormat="1" ht="28.5" customHeight="1" x14ac:dyDescent="0.35">
      <c r="A4" s="256" t="s">
        <v>351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193"/>
      <c r="T4" s="193"/>
      <c r="U4" s="193"/>
      <c r="V4" s="193"/>
      <c r="W4" s="193"/>
      <c r="X4" s="194"/>
    </row>
    <row r="5" spans="1:24" ht="28.5" customHeight="1" x14ac:dyDescent="0.25">
      <c r="A5" s="257"/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158"/>
      <c r="T5" s="158"/>
      <c r="U5" s="158"/>
      <c r="V5" s="158"/>
      <c r="W5" s="158"/>
      <c r="X5" s="159"/>
    </row>
    <row r="6" spans="1:24" ht="28.5" customHeight="1" x14ac:dyDescent="0.25">
      <c r="A6" s="252" t="s">
        <v>0</v>
      </c>
      <c r="B6" s="250" t="s">
        <v>1</v>
      </c>
      <c r="C6" s="231" t="s">
        <v>2</v>
      </c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47"/>
      <c r="O6" s="231" t="s">
        <v>3</v>
      </c>
      <c r="P6" s="232"/>
      <c r="Q6" s="233"/>
      <c r="R6" s="234"/>
      <c r="S6" s="161"/>
      <c r="T6" s="162">
        <f>+U6-V6</f>
        <v>86620000</v>
      </c>
      <c r="U6" s="159">
        <v>9281279000</v>
      </c>
      <c r="V6" s="159">
        <v>9194659000</v>
      </c>
      <c r="W6" s="158"/>
      <c r="X6" s="159"/>
    </row>
    <row r="7" spans="1:24" ht="36.75" customHeight="1" x14ac:dyDescent="0.25">
      <c r="A7" s="253"/>
      <c r="B7" s="251"/>
      <c r="C7" s="237" t="s">
        <v>346</v>
      </c>
      <c r="D7" s="238"/>
      <c r="E7" s="239" t="s">
        <v>347</v>
      </c>
      <c r="F7" s="240"/>
      <c r="G7" s="241" t="s">
        <v>177</v>
      </c>
      <c r="H7" s="242"/>
      <c r="I7" s="243" t="s">
        <v>348</v>
      </c>
      <c r="J7" s="244"/>
      <c r="K7" s="245" t="s">
        <v>178</v>
      </c>
      <c r="L7" s="246"/>
      <c r="M7" s="235" t="s">
        <v>349</v>
      </c>
      <c r="N7" s="236"/>
      <c r="O7" s="248" t="s">
        <v>93</v>
      </c>
      <c r="P7" s="248" t="s">
        <v>96</v>
      </c>
      <c r="Q7" s="248" t="s">
        <v>94</v>
      </c>
      <c r="R7" s="248" t="s">
        <v>95</v>
      </c>
      <c r="S7" s="163" t="s">
        <v>96</v>
      </c>
      <c r="T7" s="164"/>
      <c r="U7" s="165"/>
      <c r="V7" s="166"/>
      <c r="W7" s="166"/>
    </row>
    <row r="8" spans="1:24" ht="28.5" customHeight="1" thickBot="1" x14ac:dyDescent="0.3">
      <c r="A8" s="254"/>
      <c r="B8" s="251"/>
      <c r="C8" s="167" t="s">
        <v>168</v>
      </c>
      <c r="D8" s="168" t="s">
        <v>179</v>
      </c>
      <c r="E8" s="169" t="s">
        <v>168</v>
      </c>
      <c r="F8" s="169" t="s">
        <v>179</v>
      </c>
      <c r="G8" s="170" t="s">
        <v>168</v>
      </c>
      <c r="H8" s="170" t="s">
        <v>179</v>
      </c>
      <c r="I8" s="171" t="s">
        <v>168</v>
      </c>
      <c r="J8" s="171" t="s">
        <v>179</v>
      </c>
      <c r="K8" s="172" t="s">
        <v>168</v>
      </c>
      <c r="L8" s="172" t="s">
        <v>179</v>
      </c>
      <c r="M8" s="173" t="s">
        <v>168</v>
      </c>
      <c r="N8" s="173" t="s">
        <v>179</v>
      </c>
      <c r="O8" s="249"/>
      <c r="P8" s="249"/>
      <c r="Q8" s="249"/>
      <c r="R8" s="249"/>
      <c r="S8" s="174"/>
      <c r="T8" s="175" t="s">
        <v>79</v>
      </c>
      <c r="U8" s="176" t="s">
        <v>180</v>
      </c>
      <c r="V8" s="176" t="s">
        <v>79</v>
      </c>
      <c r="W8" s="176" t="s">
        <v>181</v>
      </c>
    </row>
    <row r="9" spans="1:24" ht="30" customHeight="1" thickBot="1" x14ac:dyDescent="0.35">
      <c r="A9" s="204">
        <v>1</v>
      </c>
      <c r="B9" s="216" t="s">
        <v>352</v>
      </c>
      <c r="C9" s="195"/>
      <c r="D9" s="155"/>
      <c r="E9" s="196"/>
      <c r="F9" s="150"/>
      <c r="G9" s="196"/>
      <c r="H9" s="150"/>
      <c r="I9" s="196"/>
      <c r="J9" s="196"/>
      <c r="K9" s="196"/>
      <c r="L9" s="150"/>
      <c r="M9" s="196"/>
      <c r="N9" s="150"/>
      <c r="O9" s="150">
        <f t="shared" ref="O9:O46" si="0">M9+K9+I9+G9+E9+C9</f>
        <v>0</v>
      </c>
      <c r="P9" s="202">
        <f>O9*30%</f>
        <v>0</v>
      </c>
      <c r="Q9" s="150">
        <f t="shared" ref="Q9:Q46" si="1">D9+F9+H9+J9+L9+N9</f>
        <v>0</v>
      </c>
      <c r="R9" s="151" t="e">
        <f t="shared" ref="R9:R46" si="2">Q9/O9</f>
        <v>#DIV/0!</v>
      </c>
      <c r="S9" s="177"/>
      <c r="T9" s="178">
        <f t="shared" ref="T9:T18" si="3">U9-Q9</f>
        <v>1740706595</v>
      </c>
      <c r="U9" s="179">
        <v>1740706595</v>
      </c>
      <c r="V9" s="178">
        <f t="shared" ref="V9:V18" si="4">W9-O9</f>
        <v>2481913000</v>
      </c>
      <c r="W9" s="179">
        <v>2481913000</v>
      </c>
    </row>
    <row r="10" spans="1:24" ht="30" customHeight="1" thickBot="1" x14ac:dyDescent="0.35">
      <c r="A10" s="204">
        <v>2</v>
      </c>
      <c r="B10" s="216" t="s">
        <v>353</v>
      </c>
      <c r="C10" s="195"/>
      <c r="D10" s="198"/>
      <c r="E10" s="196"/>
      <c r="F10" s="152"/>
      <c r="G10" s="196"/>
      <c r="H10" s="152"/>
      <c r="I10" s="196"/>
      <c r="J10" s="196"/>
      <c r="K10" s="196"/>
      <c r="L10" s="152"/>
      <c r="M10" s="196"/>
      <c r="N10" s="152"/>
      <c r="O10" s="150">
        <f t="shared" si="0"/>
        <v>0</v>
      </c>
      <c r="P10" s="202">
        <f t="shared" ref="P10:P46" si="5">O10*30%</f>
        <v>0</v>
      </c>
      <c r="Q10" s="150">
        <f t="shared" si="1"/>
        <v>0</v>
      </c>
      <c r="R10" s="153" t="e">
        <f t="shared" si="2"/>
        <v>#DIV/0!</v>
      </c>
      <c r="S10" s="180"/>
      <c r="T10" s="178">
        <f t="shared" si="3"/>
        <v>3042314200</v>
      </c>
      <c r="U10" s="179">
        <v>3042314200</v>
      </c>
      <c r="V10" s="178">
        <f t="shared" si="4"/>
        <v>3298486000</v>
      </c>
      <c r="W10" s="179">
        <v>3298486000</v>
      </c>
    </row>
    <row r="11" spans="1:24" ht="30" customHeight="1" thickBot="1" x14ac:dyDescent="0.35">
      <c r="A11" s="204">
        <v>3</v>
      </c>
      <c r="B11" s="216" t="s">
        <v>354</v>
      </c>
      <c r="C11" s="195"/>
      <c r="D11" s="155"/>
      <c r="E11" s="196"/>
      <c r="F11" s="155"/>
      <c r="G11" s="196"/>
      <c r="H11" s="155"/>
      <c r="I11" s="196"/>
      <c r="J11" s="196"/>
      <c r="K11" s="196"/>
      <c r="L11" s="155"/>
      <c r="M11" s="196"/>
      <c r="N11" s="155"/>
      <c r="O11" s="150">
        <f t="shared" si="0"/>
        <v>0</v>
      </c>
      <c r="P11" s="202">
        <f t="shared" si="5"/>
        <v>0</v>
      </c>
      <c r="Q11" s="150">
        <f t="shared" si="1"/>
        <v>0</v>
      </c>
      <c r="R11" s="156" t="e">
        <f t="shared" si="2"/>
        <v>#DIV/0!</v>
      </c>
      <c r="S11" s="181"/>
      <c r="T11" s="178">
        <f t="shared" si="3"/>
        <v>3416523305</v>
      </c>
      <c r="U11" s="179">
        <v>3416523305</v>
      </c>
      <c r="V11" s="178">
        <f t="shared" si="4"/>
        <v>3446356000</v>
      </c>
      <c r="W11" s="179">
        <v>3446356000</v>
      </c>
    </row>
    <row r="12" spans="1:24" ht="30" customHeight="1" thickBot="1" x14ac:dyDescent="0.35">
      <c r="A12" s="204">
        <v>4</v>
      </c>
      <c r="B12" s="216" t="s">
        <v>355</v>
      </c>
      <c r="C12" s="195"/>
      <c r="D12" s="155"/>
      <c r="E12" s="196"/>
      <c r="F12" s="155"/>
      <c r="G12" s="196"/>
      <c r="H12" s="155"/>
      <c r="I12" s="196"/>
      <c r="J12" s="196"/>
      <c r="K12" s="196"/>
      <c r="L12" s="155"/>
      <c r="M12" s="196"/>
      <c r="N12" s="155"/>
      <c r="O12" s="150">
        <f t="shared" si="0"/>
        <v>0</v>
      </c>
      <c r="P12" s="202">
        <f t="shared" si="5"/>
        <v>0</v>
      </c>
      <c r="Q12" s="150">
        <f t="shared" si="1"/>
        <v>0</v>
      </c>
      <c r="R12" s="156" t="e">
        <f t="shared" si="2"/>
        <v>#DIV/0!</v>
      </c>
      <c r="S12" s="181"/>
      <c r="T12" s="178">
        <f t="shared" si="3"/>
        <v>2541283079</v>
      </c>
      <c r="U12" s="179">
        <v>2541283079</v>
      </c>
      <c r="V12" s="178">
        <f t="shared" si="4"/>
        <v>2577145000</v>
      </c>
      <c r="W12" s="179">
        <v>2577145000</v>
      </c>
    </row>
    <row r="13" spans="1:24" ht="30" customHeight="1" thickBot="1" x14ac:dyDescent="0.35">
      <c r="A13" s="204">
        <v>5</v>
      </c>
      <c r="B13" s="216" t="s">
        <v>356</v>
      </c>
      <c r="C13" s="195"/>
      <c r="D13" s="155"/>
      <c r="E13" s="196"/>
      <c r="F13" s="155"/>
      <c r="G13" s="196"/>
      <c r="H13" s="155"/>
      <c r="I13" s="196"/>
      <c r="J13" s="196"/>
      <c r="K13" s="196"/>
      <c r="L13" s="155"/>
      <c r="M13" s="196"/>
      <c r="N13" s="155"/>
      <c r="O13" s="150">
        <f t="shared" si="0"/>
        <v>0</v>
      </c>
      <c r="P13" s="202">
        <f t="shared" si="5"/>
        <v>0</v>
      </c>
      <c r="Q13" s="150">
        <f t="shared" si="1"/>
        <v>0</v>
      </c>
      <c r="R13" s="156" t="e">
        <f t="shared" si="2"/>
        <v>#DIV/0!</v>
      </c>
      <c r="S13" s="182"/>
      <c r="T13" s="178">
        <f t="shared" si="3"/>
        <v>305651000</v>
      </c>
      <c r="U13" s="179">
        <v>305651000</v>
      </c>
      <c r="V13" s="178">
        <f t="shared" si="4"/>
        <v>309597000</v>
      </c>
      <c r="W13" s="179">
        <v>309597000</v>
      </c>
    </row>
    <row r="14" spans="1:24" ht="30" customHeight="1" thickBot="1" x14ac:dyDescent="0.35">
      <c r="A14" s="204">
        <v>6</v>
      </c>
      <c r="B14" s="216" t="s">
        <v>357</v>
      </c>
      <c r="C14" s="195"/>
      <c r="D14" s="155"/>
      <c r="E14" s="196"/>
      <c r="F14" s="155"/>
      <c r="G14" s="196"/>
      <c r="H14" s="155"/>
      <c r="I14" s="196"/>
      <c r="J14" s="196"/>
      <c r="K14" s="196"/>
      <c r="L14" s="155"/>
      <c r="M14" s="196"/>
      <c r="N14" s="155"/>
      <c r="O14" s="150">
        <f t="shared" si="0"/>
        <v>0</v>
      </c>
      <c r="P14" s="202">
        <f t="shared" si="5"/>
        <v>0</v>
      </c>
      <c r="Q14" s="150">
        <f t="shared" si="1"/>
        <v>0</v>
      </c>
      <c r="R14" s="156" t="e">
        <f t="shared" si="2"/>
        <v>#DIV/0!</v>
      </c>
      <c r="S14" s="181"/>
      <c r="T14" s="178">
        <f t="shared" si="3"/>
        <v>2940619777</v>
      </c>
      <c r="U14" s="179">
        <v>2940619777</v>
      </c>
      <c r="V14" s="178">
        <f t="shared" si="4"/>
        <v>2978898000</v>
      </c>
      <c r="W14" s="179">
        <v>2978898000</v>
      </c>
    </row>
    <row r="15" spans="1:24" ht="30" customHeight="1" thickBot="1" x14ac:dyDescent="0.35">
      <c r="A15" s="204">
        <v>7</v>
      </c>
      <c r="B15" s="216" t="s">
        <v>358</v>
      </c>
      <c r="C15" s="195"/>
      <c r="D15" s="155"/>
      <c r="E15" s="196"/>
      <c r="F15" s="155"/>
      <c r="G15" s="196"/>
      <c r="H15" s="155"/>
      <c r="I15" s="196"/>
      <c r="J15" s="196"/>
      <c r="K15" s="196"/>
      <c r="L15" s="155"/>
      <c r="M15" s="196"/>
      <c r="N15" s="155"/>
      <c r="O15" s="150">
        <f t="shared" si="0"/>
        <v>0</v>
      </c>
      <c r="P15" s="202">
        <f t="shared" si="5"/>
        <v>0</v>
      </c>
      <c r="Q15" s="150">
        <f t="shared" si="1"/>
        <v>0</v>
      </c>
      <c r="R15" s="156" t="e">
        <f t="shared" si="2"/>
        <v>#DIV/0!</v>
      </c>
      <c r="S15" s="181"/>
      <c r="T15" s="178">
        <f t="shared" si="3"/>
        <v>4809685080</v>
      </c>
      <c r="U15" s="179">
        <v>4809685080</v>
      </c>
      <c r="V15" s="178">
        <f t="shared" si="4"/>
        <v>4813514000</v>
      </c>
      <c r="W15" s="179">
        <v>4813514000</v>
      </c>
    </row>
    <row r="16" spans="1:24" ht="30" customHeight="1" thickBot="1" x14ac:dyDescent="0.35">
      <c r="A16" s="204">
        <v>8</v>
      </c>
      <c r="B16" s="216" t="s">
        <v>359</v>
      </c>
      <c r="C16" s="195"/>
      <c r="D16" s="155"/>
      <c r="E16" s="196"/>
      <c r="F16" s="155"/>
      <c r="G16" s="196"/>
      <c r="H16" s="155"/>
      <c r="I16" s="196"/>
      <c r="J16" s="196"/>
      <c r="K16" s="196"/>
      <c r="L16" s="155"/>
      <c r="M16" s="196"/>
      <c r="N16" s="155"/>
      <c r="O16" s="150">
        <f t="shared" si="0"/>
        <v>0</v>
      </c>
      <c r="P16" s="202">
        <f t="shared" si="5"/>
        <v>0</v>
      </c>
      <c r="Q16" s="150">
        <f t="shared" si="1"/>
        <v>0</v>
      </c>
      <c r="R16" s="156" t="e">
        <f t="shared" si="2"/>
        <v>#DIV/0!</v>
      </c>
      <c r="S16" s="181"/>
      <c r="T16" s="178">
        <f t="shared" si="3"/>
        <v>1519325700</v>
      </c>
      <c r="U16" s="179">
        <v>1519325700</v>
      </c>
      <c r="V16" s="178">
        <f t="shared" si="4"/>
        <v>1523498000</v>
      </c>
      <c r="W16" s="179">
        <v>1523498000</v>
      </c>
    </row>
    <row r="17" spans="1:23" ht="30" customHeight="1" thickBot="1" x14ac:dyDescent="0.35">
      <c r="A17" s="204">
        <v>9</v>
      </c>
      <c r="B17" s="216" t="s">
        <v>360</v>
      </c>
      <c r="C17" s="195"/>
      <c r="D17" s="155"/>
      <c r="E17" s="196"/>
      <c r="F17" s="155"/>
      <c r="G17" s="196"/>
      <c r="H17" s="155"/>
      <c r="I17" s="196"/>
      <c r="J17" s="196"/>
      <c r="K17" s="196"/>
      <c r="L17" s="155"/>
      <c r="M17" s="196"/>
      <c r="N17" s="155"/>
      <c r="O17" s="150">
        <f t="shared" si="0"/>
        <v>0</v>
      </c>
      <c r="P17" s="202">
        <f t="shared" si="5"/>
        <v>0</v>
      </c>
      <c r="Q17" s="150">
        <f t="shared" si="1"/>
        <v>0</v>
      </c>
      <c r="R17" s="156" t="e">
        <f t="shared" si="2"/>
        <v>#DIV/0!</v>
      </c>
      <c r="S17" s="181"/>
      <c r="T17" s="178">
        <f t="shared" si="3"/>
        <v>1952520500</v>
      </c>
      <c r="U17" s="179">
        <v>1952520500</v>
      </c>
      <c r="V17" s="178">
        <f t="shared" si="4"/>
        <v>1954218000</v>
      </c>
      <c r="W17" s="179">
        <v>1954218000</v>
      </c>
    </row>
    <row r="18" spans="1:23" ht="30" customHeight="1" thickBot="1" x14ac:dyDescent="0.35">
      <c r="A18" s="214">
        <v>10</v>
      </c>
      <c r="B18" s="216" t="s">
        <v>361</v>
      </c>
      <c r="C18" s="206"/>
      <c r="D18" s="198"/>
      <c r="E18" s="207"/>
      <c r="F18" s="198"/>
      <c r="G18" s="207"/>
      <c r="H18" s="198"/>
      <c r="I18" s="207"/>
      <c r="J18" s="207"/>
      <c r="K18" s="207"/>
      <c r="L18" s="198"/>
      <c r="M18" s="207"/>
      <c r="N18" s="198"/>
      <c r="O18" s="152">
        <f t="shared" si="0"/>
        <v>0</v>
      </c>
      <c r="P18" s="208">
        <f t="shared" si="5"/>
        <v>0</v>
      </c>
      <c r="Q18" s="152">
        <f t="shared" si="1"/>
        <v>0</v>
      </c>
      <c r="R18" s="209" t="e">
        <f t="shared" si="2"/>
        <v>#DIV/0!</v>
      </c>
      <c r="S18" s="181"/>
      <c r="T18" s="178">
        <f t="shared" si="3"/>
        <v>689729958</v>
      </c>
      <c r="U18" s="179">
        <v>689729958</v>
      </c>
      <c r="V18" s="178">
        <f t="shared" si="4"/>
        <v>743530000</v>
      </c>
      <c r="W18" s="179">
        <v>743530000</v>
      </c>
    </row>
    <row r="19" spans="1:23" ht="30" customHeight="1" x14ac:dyDescent="0.3">
      <c r="A19" s="215">
        <f>A18+1</f>
        <v>11</v>
      </c>
      <c r="B19" s="216" t="s">
        <v>362</v>
      </c>
      <c r="C19" s="195"/>
      <c r="D19" s="155"/>
      <c r="E19" s="196"/>
      <c r="F19" s="155"/>
      <c r="G19" s="196"/>
      <c r="H19" s="155"/>
      <c r="I19" s="196"/>
      <c r="J19" s="196"/>
      <c r="K19" s="196"/>
      <c r="L19" s="155"/>
      <c r="M19" s="196"/>
      <c r="N19" s="155"/>
      <c r="O19" s="152">
        <f t="shared" si="0"/>
        <v>0</v>
      </c>
      <c r="P19" s="208">
        <f t="shared" si="5"/>
        <v>0</v>
      </c>
      <c r="Q19" s="152">
        <f t="shared" si="1"/>
        <v>0</v>
      </c>
      <c r="R19" s="209" t="e">
        <f t="shared" si="2"/>
        <v>#DIV/0!</v>
      </c>
      <c r="S19" s="181"/>
      <c r="T19" s="203"/>
      <c r="U19" s="205"/>
      <c r="V19" s="203"/>
      <c r="W19" s="205"/>
    </row>
    <row r="20" spans="1:23" ht="30" customHeight="1" x14ac:dyDescent="0.3">
      <c r="A20" s="215">
        <f t="shared" ref="A20:A43" si="6">A19+1</f>
        <v>12</v>
      </c>
      <c r="B20" s="216" t="s">
        <v>363</v>
      </c>
      <c r="C20" s="195"/>
      <c r="D20" s="155"/>
      <c r="E20" s="196"/>
      <c r="F20" s="155"/>
      <c r="G20" s="196"/>
      <c r="H20" s="155"/>
      <c r="I20" s="196"/>
      <c r="J20" s="196"/>
      <c r="K20" s="196"/>
      <c r="L20" s="155"/>
      <c r="M20" s="196"/>
      <c r="N20" s="155"/>
      <c r="O20" s="152">
        <f t="shared" si="0"/>
        <v>0</v>
      </c>
      <c r="P20" s="208">
        <f t="shared" si="5"/>
        <v>0</v>
      </c>
      <c r="Q20" s="152">
        <f t="shared" si="1"/>
        <v>0</v>
      </c>
      <c r="R20" s="209" t="e">
        <f t="shared" si="2"/>
        <v>#DIV/0!</v>
      </c>
      <c r="S20" s="181"/>
      <c r="T20" s="203"/>
      <c r="U20" s="205"/>
      <c r="V20" s="203"/>
      <c r="W20" s="205"/>
    </row>
    <row r="21" spans="1:23" ht="30" customHeight="1" x14ac:dyDescent="0.3">
      <c r="A21" s="215">
        <f t="shared" si="6"/>
        <v>13</v>
      </c>
      <c r="B21" s="216" t="s">
        <v>364</v>
      </c>
      <c r="C21" s="195"/>
      <c r="D21" s="155"/>
      <c r="E21" s="196"/>
      <c r="F21" s="155"/>
      <c r="G21" s="196"/>
      <c r="H21" s="155"/>
      <c r="I21" s="196"/>
      <c r="J21" s="196"/>
      <c r="K21" s="196"/>
      <c r="L21" s="155"/>
      <c r="M21" s="196"/>
      <c r="N21" s="155"/>
      <c r="O21" s="152">
        <f t="shared" si="0"/>
        <v>0</v>
      </c>
      <c r="P21" s="208">
        <f t="shared" si="5"/>
        <v>0</v>
      </c>
      <c r="Q21" s="152">
        <f t="shared" si="1"/>
        <v>0</v>
      </c>
      <c r="R21" s="209" t="e">
        <f t="shared" si="2"/>
        <v>#DIV/0!</v>
      </c>
      <c r="S21" s="181"/>
      <c r="T21" s="203"/>
      <c r="U21" s="205"/>
      <c r="V21" s="203"/>
      <c r="W21" s="205"/>
    </row>
    <row r="22" spans="1:23" ht="30" customHeight="1" x14ac:dyDescent="0.3">
      <c r="A22" s="215">
        <f t="shared" si="6"/>
        <v>14</v>
      </c>
      <c r="B22" s="216" t="s">
        <v>365</v>
      </c>
      <c r="C22" s="195"/>
      <c r="D22" s="155"/>
      <c r="E22" s="196"/>
      <c r="F22" s="155"/>
      <c r="G22" s="196"/>
      <c r="H22" s="155"/>
      <c r="I22" s="196"/>
      <c r="J22" s="196"/>
      <c r="K22" s="196"/>
      <c r="L22" s="155"/>
      <c r="M22" s="196"/>
      <c r="N22" s="155"/>
      <c r="O22" s="152">
        <f t="shared" si="0"/>
        <v>0</v>
      </c>
      <c r="P22" s="208">
        <f t="shared" si="5"/>
        <v>0</v>
      </c>
      <c r="Q22" s="152">
        <f t="shared" si="1"/>
        <v>0</v>
      </c>
      <c r="R22" s="209" t="e">
        <f t="shared" si="2"/>
        <v>#DIV/0!</v>
      </c>
      <c r="S22" s="181"/>
      <c r="T22" s="203"/>
      <c r="U22" s="205"/>
      <c r="V22" s="203"/>
      <c r="W22" s="205"/>
    </row>
    <row r="23" spans="1:23" ht="30" customHeight="1" x14ac:dyDescent="0.3">
      <c r="A23" s="215">
        <f t="shared" si="6"/>
        <v>15</v>
      </c>
      <c r="B23" s="216" t="s">
        <v>366</v>
      </c>
      <c r="C23" s="195"/>
      <c r="D23" s="155"/>
      <c r="E23" s="196"/>
      <c r="F23" s="155"/>
      <c r="G23" s="196"/>
      <c r="H23" s="155"/>
      <c r="I23" s="196"/>
      <c r="J23" s="196"/>
      <c r="K23" s="196"/>
      <c r="L23" s="155"/>
      <c r="M23" s="196"/>
      <c r="N23" s="155"/>
      <c r="O23" s="152">
        <f t="shared" si="0"/>
        <v>0</v>
      </c>
      <c r="P23" s="208">
        <f t="shared" si="5"/>
        <v>0</v>
      </c>
      <c r="Q23" s="152">
        <f t="shared" si="1"/>
        <v>0</v>
      </c>
      <c r="R23" s="209" t="e">
        <f t="shared" si="2"/>
        <v>#DIV/0!</v>
      </c>
      <c r="S23" s="181"/>
      <c r="T23" s="203"/>
      <c r="U23" s="205"/>
      <c r="V23" s="203"/>
      <c r="W23" s="205"/>
    </row>
    <row r="24" spans="1:23" ht="30" customHeight="1" x14ac:dyDescent="0.3">
      <c r="A24" s="215">
        <f t="shared" si="6"/>
        <v>16</v>
      </c>
      <c r="B24" s="216" t="s">
        <v>367</v>
      </c>
      <c r="C24" s="195"/>
      <c r="D24" s="155"/>
      <c r="E24" s="196"/>
      <c r="F24" s="155"/>
      <c r="G24" s="196"/>
      <c r="H24" s="155"/>
      <c r="I24" s="196"/>
      <c r="J24" s="196"/>
      <c r="K24" s="196"/>
      <c r="L24" s="155"/>
      <c r="M24" s="196"/>
      <c r="N24" s="155"/>
      <c r="O24" s="152">
        <f t="shared" si="0"/>
        <v>0</v>
      </c>
      <c r="P24" s="208">
        <f t="shared" si="5"/>
        <v>0</v>
      </c>
      <c r="Q24" s="152">
        <f t="shared" si="1"/>
        <v>0</v>
      </c>
      <c r="R24" s="209" t="e">
        <f t="shared" si="2"/>
        <v>#DIV/0!</v>
      </c>
      <c r="S24" s="181"/>
      <c r="T24" s="203"/>
      <c r="U24" s="205"/>
      <c r="V24" s="203"/>
      <c r="W24" s="205"/>
    </row>
    <row r="25" spans="1:23" ht="30" customHeight="1" x14ac:dyDescent="0.3">
      <c r="A25" s="215">
        <f t="shared" si="6"/>
        <v>17</v>
      </c>
      <c r="B25" s="216" t="s">
        <v>368</v>
      </c>
      <c r="C25" s="195"/>
      <c r="D25" s="155"/>
      <c r="E25" s="196"/>
      <c r="F25" s="155"/>
      <c r="G25" s="196"/>
      <c r="H25" s="155"/>
      <c r="I25" s="196"/>
      <c r="J25" s="196"/>
      <c r="K25" s="196"/>
      <c r="L25" s="155"/>
      <c r="M25" s="196"/>
      <c r="N25" s="155"/>
      <c r="O25" s="152">
        <f t="shared" si="0"/>
        <v>0</v>
      </c>
      <c r="P25" s="208">
        <f t="shared" si="5"/>
        <v>0</v>
      </c>
      <c r="Q25" s="152">
        <f t="shared" si="1"/>
        <v>0</v>
      </c>
      <c r="R25" s="209" t="e">
        <f t="shared" si="2"/>
        <v>#DIV/0!</v>
      </c>
      <c r="S25" s="181"/>
      <c r="T25" s="203"/>
      <c r="U25" s="205"/>
      <c r="V25" s="203"/>
      <c r="W25" s="205"/>
    </row>
    <row r="26" spans="1:23" ht="30" customHeight="1" x14ac:dyDescent="0.3">
      <c r="A26" s="215">
        <f t="shared" si="6"/>
        <v>18</v>
      </c>
      <c r="B26" s="216" t="s">
        <v>369</v>
      </c>
      <c r="C26" s="195"/>
      <c r="D26" s="155"/>
      <c r="E26" s="196"/>
      <c r="F26" s="155"/>
      <c r="G26" s="196"/>
      <c r="H26" s="155"/>
      <c r="I26" s="196"/>
      <c r="J26" s="196"/>
      <c r="K26" s="196"/>
      <c r="L26" s="155"/>
      <c r="M26" s="196"/>
      <c r="N26" s="155"/>
      <c r="O26" s="152">
        <f t="shared" si="0"/>
        <v>0</v>
      </c>
      <c r="P26" s="208">
        <f t="shared" si="5"/>
        <v>0</v>
      </c>
      <c r="Q26" s="152">
        <f t="shared" si="1"/>
        <v>0</v>
      </c>
      <c r="R26" s="209" t="e">
        <f t="shared" si="2"/>
        <v>#DIV/0!</v>
      </c>
      <c r="S26" s="181"/>
      <c r="T26" s="203"/>
      <c r="U26" s="205"/>
      <c r="V26" s="203"/>
      <c r="W26" s="205"/>
    </row>
    <row r="27" spans="1:23" ht="30" customHeight="1" x14ac:dyDescent="0.3">
      <c r="A27" s="215">
        <f t="shared" si="6"/>
        <v>19</v>
      </c>
      <c r="B27" s="216" t="s">
        <v>370</v>
      </c>
      <c r="C27" s="195"/>
      <c r="D27" s="155"/>
      <c r="E27" s="196"/>
      <c r="F27" s="155"/>
      <c r="G27" s="196"/>
      <c r="H27" s="155"/>
      <c r="I27" s="196"/>
      <c r="J27" s="196"/>
      <c r="K27" s="196"/>
      <c r="L27" s="155"/>
      <c r="M27" s="196"/>
      <c r="N27" s="155"/>
      <c r="O27" s="152">
        <f t="shared" si="0"/>
        <v>0</v>
      </c>
      <c r="P27" s="208">
        <f t="shared" si="5"/>
        <v>0</v>
      </c>
      <c r="Q27" s="152">
        <f t="shared" si="1"/>
        <v>0</v>
      </c>
      <c r="R27" s="209" t="e">
        <f t="shared" si="2"/>
        <v>#DIV/0!</v>
      </c>
      <c r="S27" s="181"/>
      <c r="T27" s="203"/>
      <c r="U27" s="205"/>
      <c r="V27" s="203"/>
      <c r="W27" s="205"/>
    </row>
    <row r="28" spans="1:23" ht="30" customHeight="1" x14ac:dyDescent="0.3">
      <c r="A28" s="215">
        <f t="shared" si="6"/>
        <v>20</v>
      </c>
      <c r="B28" s="216" t="s">
        <v>371</v>
      </c>
      <c r="C28" s="195"/>
      <c r="D28" s="155"/>
      <c r="E28" s="196"/>
      <c r="F28" s="155"/>
      <c r="G28" s="196"/>
      <c r="H28" s="155"/>
      <c r="I28" s="196"/>
      <c r="J28" s="196"/>
      <c r="K28" s="196"/>
      <c r="L28" s="155"/>
      <c r="M28" s="196"/>
      <c r="N28" s="155"/>
      <c r="O28" s="152">
        <f t="shared" si="0"/>
        <v>0</v>
      </c>
      <c r="P28" s="208">
        <f t="shared" si="5"/>
        <v>0</v>
      </c>
      <c r="Q28" s="152">
        <f t="shared" si="1"/>
        <v>0</v>
      </c>
      <c r="R28" s="209" t="e">
        <f t="shared" si="2"/>
        <v>#DIV/0!</v>
      </c>
      <c r="S28" s="181"/>
      <c r="T28" s="203"/>
      <c r="U28" s="205"/>
      <c r="V28" s="203"/>
      <c r="W28" s="205"/>
    </row>
    <row r="29" spans="1:23" ht="30" customHeight="1" x14ac:dyDescent="0.3">
      <c r="A29" s="215">
        <f t="shared" si="6"/>
        <v>21</v>
      </c>
      <c r="B29" s="216" t="s">
        <v>372</v>
      </c>
      <c r="C29" s="195"/>
      <c r="D29" s="155"/>
      <c r="E29" s="196"/>
      <c r="F29" s="155"/>
      <c r="G29" s="196"/>
      <c r="H29" s="155"/>
      <c r="I29" s="196"/>
      <c r="J29" s="196"/>
      <c r="K29" s="196"/>
      <c r="L29" s="155"/>
      <c r="M29" s="196"/>
      <c r="N29" s="155"/>
      <c r="O29" s="152">
        <f t="shared" si="0"/>
        <v>0</v>
      </c>
      <c r="P29" s="208">
        <f t="shared" si="5"/>
        <v>0</v>
      </c>
      <c r="Q29" s="152">
        <f t="shared" si="1"/>
        <v>0</v>
      </c>
      <c r="R29" s="209" t="e">
        <f t="shared" si="2"/>
        <v>#DIV/0!</v>
      </c>
      <c r="S29" s="181"/>
      <c r="T29" s="203"/>
      <c r="U29" s="205"/>
      <c r="V29" s="203"/>
      <c r="W29" s="205"/>
    </row>
    <row r="30" spans="1:23" ht="30" customHeight="1" x14ac:dyDescent="0.3">
      <c r="A30" s="215">
        <f t="shared" si="6"/>
        <v>22</v>
      </c>
      <c r="B30" s="216" t="s">
        <v>373</v>
      </c>
      <c r="C30" s="195"/>
      <c r="D30" s="155"/>
      <c r="E30" s="196"/>
      <c r="F30" s="155"/>
      <c r="G30" s="196"/>
      <c r="H30" s="155"/>
      <c r="I30" s="196"/>
      <c r="J30" s="196"/>
      <c r="K30" s="196"/>
      <c r="L30" s="155"/>
      <c r="M30" s="196"/>
      <c r="N30" s="155"/>
      <c r="O30" s="152">
        <f t="shared" si="0"/>
        <v>0</v>
      </c>
      <c r="P30" s="208">
        <f t="shared" si="5"/>
        <v>0</v>
      </c>
      <c r="Q30" s="152">
        <f t="shared" si="1"/>
        <v>0</v>
      </c>
      <c r="R30" s="209" t="e">
        <f t="shared" si="2"/>
        <v>#DIV/0!</v>
      </c>
      <c r="S30" s="181"/>
      <c r="T30" s="203"/>
      <c r="U30" s="205"/>
      <c r="V30" s="203"/>
      <c r="W30" s="205"/>
    </row>
    <row r="31" spans="1:23" ht="30" customHeight="1" x14ac:dyDescent="0.3">
      <c r="A31" s="215">
        <f t="shared" si="6"/>
        <v>23</v>
      </c>
      <c r="B31" s="216" t="s">
        <v>374</v>
      </c>
      <c r="C31" s="195"/>
      <c r="D31" s="155"/>
      <c r="E31" s="196"/>
      <c r="F31" s="155"/>
      <c r="G31" s="196"/>
      <c r="H31" s="155"/>
      <c r="I31" s="196"/>
      <c r="J31" s="196"/>
      <c r="K31" s="196"/>
      <c r="L31" s="155"/>
      <c r="M31" s="196"/>
      <c r="N31" s="155"/>
      <c r="O31" s="152">
        <f t="shared" si="0"/>
        <v>0</v>
      </c>
      <c r="P31" s="208">
        <f t="shared" si="5"/>
        <v>0</v>
      </c>
      <c r="Q31" s="152">
        <f t="shared" si="1"/>
        <v>0</v>
      </c>
      <c r="R31" s="209" t="e">
        <f t="shared" si="2"/>
        <v>#DIV/0!</v>
      </c>
      <c r="S31" s="181"/>
      <c r="T31" s="203"/>
      <c r="U31" s="205"/>
      <c r="V31" s="203"/>
      <c r="W31" s="205"/>
    </row>
    <row r="32" spans="1:23" ht="30" customHeight="1" x14ac:dyDescent="0.3">
      <c r="A32" s="215">
        <f t="shared" si="6"/>
        <v>24</v>
      </c>
      <c r="B32" s="216" t="s">
        <v>375</v>
      </c>
      <c r="C32" s="195"/>
      <c r="D32" s="155"/>
      <c r="E32" s="196"/>
      <c r="F32" s="155"/>
      <c r="G32" s="196"/>
      <c r="H32" s="155"/>
      <c r="I32" s="196"/>
      <c r="J32" s="196"/>
      <c r="K32" s="196"/>
      <c r="L32" s="155"/>
      <c r="M32" s="196"/>
      <c r="N32" s="155"/>
      <c r="O32" s="152">
        <f t="shared" si="0"/>
        <v>0</v>
      </c>
      <c r="P32" s="208">
        <f t="shared" si="5"/>
        <v>0</v>
      </c>
      <c r="Q32" s="152">
        <f t="shared" si="1"/>
        <v>0</v>
      </c>
      <c r="R32" s="209" t="e">
        <f t="shared" si="2"/>
        <v>#DIV/0!</v>
      </c>
      <c r="S32" s="181"/>
      <c r="T32" s="203"/>
      <c r="U32" s="205"/>
      <c r="V32" s="203"/>
      <c r="W32" s="205"/>
    </row>
    <row r="33" spans="1:23" ht="30" customHeight="1" x14ac:dyDescent="0.3">
      <c r="A33" s="215">
        <f t="shared" si="6"/>
        <v>25</v>
      </c>
      <c r="B33" s="216" t="s">
        <v>376</v>
      </c>
      <c r="C33" s="195"/>
      <c r="D33" s="155"/>
      <c r="E33" s="196"/>
      <c r="F33" s="155"/>
      <c r="G33" s="196"/>
      <c r="H33" s="155"/>
      <c r="I33" s="196"/>
      <c r="J33" s="196"/>
      <c r="K33" s="196"/>
      <c r="L33" s="155"/>
      <c r="M33" s="196"/>
      <c r="N33" s="155"/>
      <c r="O33" s="152">
        <f t="shared" si="0"/>
        <v>0</v>
      </c>
      <c r="P33" s="208">
        <f t="shared" si="5"/>
        <v>0</v>
      </c>
      <c r="Q33" s="152">
        <f t="shared" si="1"/>
        <v>0</v>
      </c>
      <c r="R33" s="209" t="e">
        <f t="shared" si="2"/>
        <v>#DIV/0!</v>
      </c>
      <c r="S33" s="181"/>
      <c r="T33" s="203"/>
      <c r="U33" s="205"/>
      <c r="V33" s="203"/>
      <c r="W33" s="205"/>
    </row>
    <row r="34" spans="1:23" ht="30" customHeight="1" x14ac:dyDescent="0.3">
      <c r="A34" s="215">
        <f t="shared" si="6"/>
        <v>26</v>
      </c>
      <c r="B34" s="216" t="s">
        <v>377</v>
      </c>
      <c r="C34" s="195"/>
      <c r="D34" s="155"/>
      <c r="E34" s="196"/>
      <c r="F34" s="155"/>
      <c r="G34" s="196"/>
      <c r="H34" s="155"/>
      <c r="I34" s="196"/>
      <c r="J34" s="196"/>
      <c r="K34" s="196"/>
      <c r="L34" s="155"/>
      <c r="M34" s="196"/>
      <c r="N34" s="155"/>
      <c r="O34" s="152">
        <f t="shared" si="0"/>
        <v>0</v>
      </c>
      <c r="P34" s="208">
        <f t="shared" si="5"/>
        <v>0</v>
      </c>
      <c r="Q34" s="152">
        <f t="shared" si="1"/>
        <v>0</v>
      </c>
      <c r="R34" s="209" t="e">
        <f t="shared" si="2"/>
        <v>#DIV/0!</v>
      </c>
      <c r="S34" s="181"/>
      <c r="T34" s="203"/>
      <c r="U34" s="205"/>
      <c r="V34" s="203"/>
      <c r="W34" s="205"/>
    </row>
    <row r="35" spans="1:23" ht="30" customHeight="1" x14ac:dyDescent="0.3">
      <c r="A35" s="215">
        <f t="shared" si="6"/>
        <v>27</v>
      </c>
      <c r="B35" s="216" t="s">
        <v>378</v>
      </c>
      <c r="C35" s="195"/>
      <c r="D35" s="155"/>
      <c r="E35" s="196"/>
      <c r="F35" s="155"/>
      <c r="G35" s="196"/>
      <c r="H35" s="155"/>
      <c r="I35" s="196"/>
      <c r="J35" s="196"/>
      <c r="K35" s="196"/>
      <c r="L35" s="155"/>
      <c r="M35" s="196"/>
      <c r="N35" s="155"/>
      <c r="O35" s="152">
        <f t="shared" si="0"/>
        <v>0</v>
      </c>
      <c r="P35" s="208">
        <f t="shared" si="5"/>
        <v>0</v>
      </c>
      <c r="Q35" s="152">
        <f t="shared" si="1"/>
        <v>0</v>
      </c>
      <c r="R35" s="209" t="e">
        <f t="shared" si="2"/>
        <v>#DIV/0!</v>
      </c>
      <c r="S35" s="181"/>
      <c r="T35" s="203"/>
      <c r="U35" s="205"/>
      <c r="V35" s="203"/>
      <c r="W35" s="205"/>
    </row>
    <row r="36" spans="1:23" ht="30" customHeight="1" x14ac:dyDescent="0.3">
      <c r="A36" s="215">
        <f t="shared" si="6"/>
        <v>28</v>
      </c>
      <c r="B36" s="216" t="s">
        <v>379</v>
      </c>
      <c r="C36" s="195"/>
      <c r="D36" s="155"/>
      <c r="E36" s="196"/>
      <c r="F36" s="155"/>
      <c r="G36" s="196"/>
      <c r="H36" s="155"/>
      <c r="I36" s="196"/>
      <c r="J36" s="196"/>
      <c r="K36" s="196"/>
      <c r="L36" s="155"/>
      <c r="M36" s="196"/>
      <c r="N36" s="155"/>
      <c r="O36" s="152">
        <f t="shared" si="0"/>
        <v>0</v>
      </c>
      <c r="P36" s="208">
        <f t="shared" si="5"/>
        <v>0</v>
      </c>
      <c r="Q36" s="152">
        <f t="shared" si="1"/>
        <v>0</v>
      </c>
      <c r="R36" s="209" t="e">
        <f t="shared" si="2"/>
        <v>#DIV/0!</v>
      </c>
      <c r="S36" s="181"/>
      <c r="T36" s="203"/>
      <c r="U36" s="205"/>
      <c r="V36" s="203"/>
      <c r="W36" s="205"/>
    </row>
    <row r="37" spans="1:23" ht="30" customHeight="1" x14ac:dyDescent="0.3">
      <c r="A37" s="215">
        <f t="shared" si="6"/>
        <v>29</v>
      </c>
      <c r="B37" s="216" t="s">
        <v>380</v>
      </c>
      <c r="C37" s="195"/>
      <c r="D37" s="155"/>
      <c r="E37" s="196"/>
      <c r="F37" s="155"/>
      <c r="G37" s="196"/>
      <c r="H37" s="155"/>
      <c r="I37" s="196"/>
      <c r="J37" s="196"/>
      <c r="K37" s="196"/>
      <c r="L37" s="155"/>
      <c r="M37" s="196"/>
      <c r="N37" s="155"/>
      <c r="O37" s="152">
        <f t="shared" si="0"/>
        <v>0</v>
      </c>
      <c r="P37" s="208">
        <f t="shared" si="5"/>
        <v>0</v>
      </c>
      <c r="Q37" s="152">
        <f t="shared" si="1"/>
        <v>0</v>
      </c>
      <c r="R37" s="209" t="e">
        <f t="shared" si="2"/>
        <v>#DIV/0!</v>
      </c>
      <c r="S37" s="181"/>
      <c r="T37" s="203"/>
      <c r="U37" s="205"/>
      <c r="V37" s="203"/>
      <c r="W37" s="205"/>
    </row>
    <row r="38" spans="1:23" ht="30" customHeight="1" x14ac:dyDescent="0.3">
      <c r="A38" s="215">
        <f t="shared" si="6"/>
        <v>30</v>
      </c>
      <c r="B38" s="216" t="s">
        <v>381</v>
      </c>
      <c r="C38" s="195"/>
      <c r="D38" s="155"/>
      <c r="E38" s="196"/>
      <c r="F38" s="155"/>
      <c r="G38" s="196"/>
      <c r="H38" s="155"/>
      <c r="I38" s="196"/>
      <c r="J38" s="196"/>
      <c r="K38" s="196"/>
      <c r="L38" s="155"/>
      <c r="M38" s="196"/>
      <c r="N38" s="155"/>
      <c r="O38" s="152">
        <f t="shared" si="0"/>
        <v>0</v>
      </c>
      <c r="P38" s="208">
        <f t="shared" si="5"/>
        <v>0</v>
      </c>
      <c r="Q38" s="152">
        <f t="shared" si="1"/>
        <v>0</v>
      </c>
      <c r="R38" s="209" t="e">
        <f t="shared" si="2"/>
        <v>#DIV/0!</v>
      </c>
      <c r="S38" s="181"/>
      <c r="T38" s="203"/>
      <c r="U38" s="205"/>
      <c r="V38" s="203"/>
      <c r="W38" s="205"/>
    </row>
    <row r="39" spans="1:23" ht="30" customHeight="1" x14ac:dyDescent="0.3">
      <c r="A39" s="215">
        <f t="shared" si="6"/>
        <v>31</v>
      </c>
      <c r="B39" s="216" t="s">
        <v>382</v>
      </c>
      <c r="C39" s="195"/>
      <c r="D39" s="155"/>
      <c r="E39" s="196"/>
      <c r="F39" s="155"/>
      <c r="G39" s="196"/>
      <c r="H39" s="155"/>
      <c r="I39" s="196"/>
      <c r="J39" s="196"/>
      <c r="K39" s="196"/>
      <c r="L39" s="155"/>
      <c r="M39" s="196"/>
      <c r="N39" s="155"/>
      <c r="O39" s="152">
        <f t="shared" si="0"/>
        <v>0</v>
      </c>
      <c r="P39" s="208">
        <f t="shared" si="5"/>
        <v>0</v>
      </c>
      <c r="Q39" s="152">
        <f t="shared" si="1"/>
        <v>0</v>
      </c>
      <c r="R39" s="209" t="e">
        <f t="shared" si="2"/>
        <v>#DIV/0!</v>
      </c>
      <c r="S39" s="181"/>
      <c r="T39" s="203"/>
      <c r="U39" s="205"/>
      <c r="V39" s="203"/>
      <c r="W39" s="205"/>
    </row>
    <row r="40" spans="1:23" ht="30" customHeight="1" x14ac:dyDescent="0.3">
      <c r="A40" s="215">
        <f t="shared" si="6"/>
        <v>32</v>
      </c>
      <c r="B40" s="216" t="s">
        <v>383</v>
      </c>
      <c r="C40" s="195"/>
      <c r="D40" s="155"/>
      <c r="E40" s="196"/>
      <c r="F40" s="155"/>
      <c r="G40" s="196"/>
      <c r="H40" s="155"/>
      <c r="I40" s="196"/>
      <c r="J40" s="196"/>
      <c r="K40" s="196"/>
      <c r="L40" s="155"/>
      <c r="M40" s="196"/>
      <c r="N40" s="155"/>
      <c r="O40" s="152">
        <f t="shared" si="0"/>
        <v>0</v>
      </c>
      <c r="P40" s="208">
        <f t="shared" si="5"/>
        <v>0</v>
      </c>
      <c r="Q40" s="152">
        <f t="shared" si="1"/>
        <v>0</v>
      </c>
      <c r="R40" s="209" t="e">
        <f t="shared" si="2"/>
        <v>#DIV/0!</v>
      </c>
      <c r="S40" s="181"/>
      <c r="T40" s="203"/>
      <c r="U40" s="205"/>
      <c r="V40" s="203"/>
      <c r="W40" s="205"/>
    </row>
    <row r="41" spans="1:23" ht="30" customHeight="1" x14ac:dyDescent="0.3">
      <c r="A41" s="215">
        <f t="shared" si="6"/>
        <v>33</v>
      </c>
      <c r="B41" s="216" t="s">
        <v>384</v>
      </c>
      <c r="C41" s="195"/>
      <c r="D41" s="155"/>
      <c r="E41" s="196"/>
      <c r="F41" s="155"/>
      <c r="G41" s="196"/>
      <c r="H41" s="155"/>
      <c r="I41" s="196"/>
      <c r="J41" s="196"/>
      <c r="K41" s="196"/>
      <c r="L41" s="155"/>
      <c r="M41" s="196"/>
      <c r="N41" s="155"/>
      <c r="O41" s="152">
        <f t="shared" si="0"/>
        <v>0</v>
      </c>
      <c r="P41" s="208">
        <f t="shared" si="5"/>
        <v>0</v>
      </c>
      <c r="Q41" s="152">
        <f t="shared" si="1"/>
        <v>0</v>
      </c>
      <c r="R41" s="209" t="e">
        <f t="shared" si="2"/>
        <v>#DIV/0!</v>
      </c>
      <c r="S41" s="181"/>
      <c r="T41" s="203"/>
      <c r="U41" s="205"/>
      <c r="V41" s="203"/>
      <c r="W41" s="205"/>
    </row>
    <row r="42" spans="1:23" ht="30" customHeight="1" x14ac:dyDescent="0.3">
      <c r="A42" s="215">
        <f t="shared" si="6"/>
        <v>34</v>
      </c>
      <c r="B42" s="216" t="s">
        <v>389</v>
      </c>
      <c r="C42" s="195"/>
      <c r="D42" s="155"/>
      <c r="E42" s="196"/>
      <c r="F42" s="155"/>
      <c r="G42" s="196"/>
      <c r="H42" s="155"/>
      <c r="I42" s="196"/>
      <c r="J42" s="196"/>
      <c r="K42" s="196"/>
      <c r="L42" s="155"/>
      <c r="M42" s="196"/>
      <c r="N42" s="155"/>
      <c r="O42" s="152">
        <f t="shared" si="0"/>
        <v>0</v>
      </c>
      <c r="P42" s="208">
        <f t="shared" si="5"/>
        <v>0</v>
      </c>
      <c r="Q42" s="152">
        <f t="shared" si="1"/>
        <v>0</v>
      </c>
      <c r="R42" s="209" t="e">
        <f t="shared" si="2"/>
        <v>#DIV/0!</v>
      </c>
      <c r="S42" s="181"/>
      <c r="T42" s="203"/>
      <c r="U42" s="205"/>
      <c r="V42" s="203"/>
      <c r="W42" s="205"/>
    </row>
    <row r="43" spans="1:23" ht="30" customHeight="1" x14ac:dyDescent="0.3">
      <c r="A43" s="213">
        <f t="shared" si="6"/>
        <v>35</v>
      </c>
      <c r="B43" s="216" t="s">
        <v>385</v>
      </c>
      <c r="C43" s="195"/>
      <c r="D43" s="155"/>
      <c r="E43" s="196"/>
      <c r="F43" s="155"/>
      <c r="G43" s="196"/>
      <c r="H43" s="155"/>
      <c r="I43" s="196"/>
      <c r="J43" s="196"/>
      <c r="K43" s="196"/>
      <c r="L43" s="155"/>
      <c r="M43" s="196"/>
      <c r="N43" s="155"/>
      <c r="O43" s="152">
        <f t="shared" si="0"/>
        <v>0</v>
      </c>
      <c r="P43" s="208">
        <f t="shared" si="5"/>
        <v>0</v>
      </c>
      <c r="Q43" s="152">
        <f t="shared" si="1"/>
        <v>0</v>
      </c>
      <c r="R43" s="209" t="e">
        <f t="shared" si="2"/>
        <v>#DIV/0!</v>
      </c>
      <c r="S43" s="181"/>
      <c r="T43" s="203"/>
      <c r="U43" s="205"/>
      <c r="V43" s="203"/>
      <c r="W43" s="205"/>
    </row>
    <row r="44" spans="1:23" ht="30" customHeight="1" x14ac:dyDescent="0.3">
      <c r="A44" s="213">
        <f>A43+1</f>
        <v>36</v>
      </c>
      <c r="B44" s="216" t="s">
        <v>386</v>
      </c>
      <c r="C44" s="195"/>
      <c r="D44" s="155"/>
      <c r="E44" s="196"/>
      <c r="F44" s="155"/>
      <c r="G44" s="196"/>
      <c r="H44" s="155"/>
      <c r="I44" s="196"/>
      <c r="J44" s="196"/>
      <c r="K44" s="196"/>
      <c r="L44" s="155"/>
      <c r="M44" s="196"/>
      <c r="N44" s="155"/>
      <c r="O44" s="152">
        <f t="shared" si="0"/>
        <v>0</v>
      </c>
      <c r="P44" s="208">
        <f t="shared" si="5"/>
        <v>0</v>
      </c>
      <c r="Q44" s="152">
        <f t="shared" si="1"/>
        <v>0</v>
      </c>
      <c r="R44" s="209" t="e">
        <f t="shared" si="2"/>
        <v>#DIV/0!</v>
      </c>
      <c r="S44" s="181"/>
      <c r="T44" s="203"/>
      <c r="U44" s="205"/>
      <c r="V44" s="203"/>
      <c r="W44" s="205"/>
    </row>
    <row r="45" spans="1:23" ht="30" customHeight="1" x14ac:dyDescent="0.3">
      <c r="A45" s="213">
        <f t="shared" ref="A45:A46" si="7">A44+1</f>
        <v>37</v>
      </c>
      <c r="B45" s="216" t="s">
        <v>387</v>
      </c>
      <c r="C45" s="195"/>
      <c r="D45" s="155"/>
      <c r="E45" s="196"/>
      <c r="F45" s="155"/>
      <c r="G45" s="196"/>
      <c r="H45" s="155"/>
      <c r="I45" s="196"/>
      <c r="J45" s="196"/>
      <c r="K45" s="196"/>
      <c r="L45" s="155"/>
      <c r="M45" s="196"/>
      <c r="N45" s="155"/>
      <c r="O45" s="152">
        <f t="shared" si="0"/>
        <v>0</v>
      </c>
      <c r="P45" s="208">
        <f t="shared" si="5"/>
        <v>0</v>
      </c>
      <c r="Q45" s="152">
        <f t="shared" si="1"/>
        <v>0</v>
      </c>
      <c r="R45" s="209" t="e">
        <f t="shared" si="2"/>
        <v>#DIV/0!</v>
      </c>
      <c r="S45" s="181"/>
      <c r="T45" s="203"/>
      <c r="U45" s="205"/>
      <c r="V45" s="203"/>
      <c r="W45" s="205"/>
    </row>
    <row r="46" spans="1:23" ht="30" customHeight="1" x14ac:dyDescent="0.3">
      <c r="A46" s="213">
        <f t="shared" si="7"/>
        <v>38</v>
      </c>
      <c r="B46" s="216" t="s">
        <v>388</v>
      </c>
      <c r="C46" s="195"/>
      <c r="D46" s="155"/>
      <c r="E46" s="196"/>
      <c r="F46" s="155"/>
      <c r="G46" s="196"/>
      <c r="H46" s="155"/>
      <c r="I46" s="196"/>
      <c r="J46" s="196"/>
      <c r="K46" s="196"/>
      <c r="L46" s="155"/>
      <c r="M46" s="196"/>
      <c r="N46" s="155"/>
      <c r="O46" s="152">
        <f t="shared" si="0"/>
        <v>0</v>
      </c>
      <c r="P46" s="208">
        <f t="shared" si="5"/>
        <v>0</v>
      </c>
      <c r="Q46" s="152">
        <f t="shared" si="1"/>
        <v>0</v>
      </c>
      <c r="R46" s="209" t="e">
        <f t="shared" si="2"/>
        <v>#DIV/0!</v>
      </c>
      <c r="S46" s="181"/>
      <c r="T46" s="203"/>
      <c r="U46" s="205"/>
      <c r="V46" s="203"/>
      <c r="W46" s="205"/>
    </row>
    <row r="47" spans="1:23" ht="30" customHeight="1" x14ac:dyDescent="0.25">
      <c r="A47" s="229" t="s">
        <v>3</v>
      </c>
      <c r="B47" s="230"/>
      <c r="C47" s="210">
        <f t="shared" ref="C47:Q47" si="8">SUM(C9:C18)</f>
        <v>0</v>
      </c>
      <c r="D47" s="210">
        <f t="shared" si="8"/>
        <v>0</v>
      </c>
      <c r="E47" s="210">
        <f t="shared" si="8"/>
        <v>0</v>
      </c>
      <c r="F47" s="210">
        <f t="shared" si="8"/>
        <v>0</v>
      </c>
      <c r="G47" s="210">
        <f t="shared" si="8"/>
        <v>0</v>
      </c>
      <c r="H47" s="210">
        <f t="shared" si="8"/>
        <v>0</v>
      </c>
      <c r="I47" s="210">
        <f t="shared" si="8"/>
        <v>0</v>
      </c>
      <c r="J47" s="210">
        <f t="shared" si="8"/>
        <v>0</v>
      </c>
      <c r="K47" s="210">
        <f t="shared" si="8"/>
        <v>0</v>
      </c>
      <c r="L47" s="210">
        <f t="shared" si="8"/>
        <v>0</v>
      </c>
      <c r="M47" s="210">
        <f t="shared" si="8"/>
        <v>0</v>
      </c>
      <c r="N47" s="210">
        <f t="shared" si="8"/>
        <v>0</v>
      </c>
      <c r="O47" s="211">
        <f t="shared" si="8"/>
        <v>0</v>
      </c>
      <c r="P47" s="211">
        <f t="shared" si="8"/>
        <v>0</v>
      </c>
      <c r="Q47" s="211">
        <f t="shared" si="8"/>
        <v>0</v>
      </c>
      <c r="R47" s="212" t="e">
        <f t="shared" ref="R47" si="9">Q47/O47</f>
        <v>#DIV/0!</v>
      </c>
      <c r="S47" s="183">
        <f>SUM(S9:S18)</f>
        <v>0</v>
      </c>
      <c r="T47" s="180"/>
      <c r="U47" s="180">
        <f>SUM(U9:U18)</f>
        <v>22958359194</v>
      </c>
      <c r="V47" s="180">
        <f>W47-O47</f>
        <v>0</v>
      </c>
      <c r="W47" s="184"/>
    </row>
    <row r="48" spans="1:23" ht="28.5" customHeight="1" x14ac:dyDescent="0.25">
      <c r="A48" s="185"/>
      <c r="B48" s="186"/>
      <c r="Q48" s="200"/>
    </row>
    <row r="49" spans="1:5" ht="28.5" customHeight="1" x14ac:dyDescent="0.25">
      <c r="A49" s="185"/>
      <c r="B49" s="186"/>
      <c r="E49" s="111"/>
    </row>
    <row r="50" spans="1:5" ht="28.5" customHeight="1" x14ac:dyDescent="0.25">
      <c r="A50" s="187"/>
      <c r="B50" s="188"/>
      <c r="E50" s="111"/>
    </row>
    <row r="51" spans="1:5" ht="28.5" customHeight="1" x14ac:dyDescent="0.25">
      <c r="A51" s="187"/>
      <c r="B51" s="188"/>
      <c r="E51" s="111"/>
    </row>
    <row r="52" spans="1:5" ht="28.5" customHeight="1" x14ac:dyDescent="0.25">
      <c r="A52" s="187"/>
      <c r="B52" s="188"/>
      <c r="E52" s="111"/>
    </row>
    <row r="53" spans="1:5" ht="28.5" customHeight="1" x14ac:dyDescent="0.25">
      <c r="A53" s="187"/>
      <c r="B53" s="188"/>
      <c r="E53" s="111"/>
    </row>
    <row r="54" spans="1:5" ht="28.5" customHeight="1" x14ac:dyDescent="0.25">
      <c r="A54" s="187"/>
      <c r="B54" s="188"/>
    </row>
    <row r="55" spans="1:5" ht="28.5" customHeight="1" x14ac:dyDescent="0.25">
      <c r="A55" s="187"/>
      <c r="B55" s="188"/>
    </row>
    <row r="56" spans="1:5" ht="28.5" customHeight="1" x14ac:dyDescent="0.25">
      <c r="A56" s="187"/>
      <c r="B56" s="188"/>
    </row>
    <row r="57" spans="1:5" ht="28.5" customHeight="1" x14ac:dyDescent="0.25">
      <c r="A57" s="187"/>
      <c r="B57" s="188"/>
    </row>
    <row r="58" spans="1:5" ht="28.5" customHeight="1" x14ac:dyDescent="0.25">
      <c r="A58" s="187"/>
      <c r="B58" s="188"/>
    </row>
    <row r="59" spans="1:5" ht="28.5" customHeight="1" x14ac:dyDescent="0.25">
      <c r="A59" s="187"/>
      <c r="B59" s="188"/>
    </row>
    <row r="60" spans="1:5" ht="28.5" customHeight="1" x14ac:dyDescent="0.25">
      <c r="A60" s="187"/>
      <c r="B60" s="188"/>
    </row>
    <row r="61" spans="1:5" ht="28.5" customHeight="1" x14ac:dyDescent="0.25">
      <c r="A61" s="187"/>
      <c r="B61" s="188"/>
    </row>
    <row r="62" spans="1:5" ht="28.5" customHeight="1" x14ac:dyDescent="0.25">
      <c r="A62" s="187"/>
      <c r="B62" s="188"/>
    </row>
    <row r="63" spans="1:5" ht="28.5" customHeight="1" x14ac:dyDescent="0.25">
      <c r="A63" s="187"/>
      <c r="B63" s="188"/>
    </row>
    <row r="64" spans="1:5" ht="28.5" customHeight="1" x14ac:dyDescent="0.25">
      <c r="A64" s="187"/>
      <c r="B64" s="188"/>
    </row>
    <row r="65" spans="1:2" ht="28.5" customHeight="1" x14ac:dyDescent="0.25">
      <c r="A65" s="187"/>
      <c r="B65" s="188"/>
    </row>
    <row r="66" spans="1:2" ht="28.5" customHeight="1" x14ac:dyDescent="0.25">
      <c r="A66" s="187"/>
      <c r="B66" s="188"/>
    </row>
    <row r="67" spans="1:2" ht="28.5" customHeight="1" x14ac:dyDescent="0.25">
      <c r="A67" s="187"/>
      <c r="B67" s="188"/>
    </row>
    <row r="68" spans="1:2" ht="28.5" customHeight="1" x14ac:dyDescent="0.25">
      <c r="A68" s="187"/>
      <c r="B68" s="188"/>
    </row>
    <row r="69" spans="1:2" ht="28.5" customHeight="1" x14ac:dyDescent="0.25">
      <c r="A69" s="187"/>
      <c r="B69" s="188"/>
    </row>
    <row r="70" spans="1:2" ht="28.5" customHeight="1" x14ac:dyDescent="0.25">
      <c r="A70" s="187"/>
      <c r="B70" s="188"/>
    </row>
    <row r="71" spans="1:2" ht="28.5" customHeight="1" x14ac:dyDescent="0.25">
      <c r="A71" s="187"/>
      <c r="B71" s="188"/>
    </row>
    <row r="72" spans="1:2" ht="28.5" customHeight="1" x14ac:dyDescent="0.25">
      <c r="A72" s="187"/>
      <c r="B72" s="188"/>
    </row>
    <row r="73" spans="1:2" ht="28.5" customHeight="1" x14ac:dyDescent="0.25">
      <c r="A73" s="187"/>
      <c r="B73" s="188"/>
    </row>
    <row r="74" spans="1:2" ht="28.5" customHeight="1" x14ac:dyDescent="0.25">
      <c r="A74" s="187"/>
      <c r="B74" s="188"/>
    </row>
    <row r="75" spans="1:2" ht="28.5" customHeight="1" x14ac:dyDescent="0.25">
      <c r="A75" s="187"/>
      <c r="B75" s="188"/>
    </row>
    <row r="76" spans="1:2" ht="28.5" customHeight="1" x14ac:dyDescent="0.25">
      <c r="A76" s="187"/>
      <c r="B76" s="188"/>
    </row>
    <row r="77" spans="1:2" ht="28.5" customHeight="1" x14ac:dyDescent="0.25">
      <c r="A77" s="187"/>
      <c r="B77" s="188"/>
    </row>
    <row r="78" spans="1:2" ht="28.5" customHeight="1" x14ac:dyDescent="0.25">
      <c r="A78" s="187"/>
      <c r="B78" s="188"/>
    </row>
    <row r="79" spans="1:2" ht="28.5" customHeight="1" x14ac:dyDescent="0.25">
      <c r="A79" s="187"/>
      <c r="B79" s="188"/>
    </row>
    <row r="80" spans="1:2" ht="28.5" customHeight="1" x14ac:dyDescent="0.25">
      <c r="A80" s="187"/>
      <c r="B80" s="188"/>
    </row>
    <row r="81" spans="1:6" ht="28.5" customHeight="1" x14ac:dyDescent="0.25">
      <c r="A81" s="187"/>
      <c r="B81" s="188"/>
    </row>
    <row r="82" spans="1:6" ht="28.5" customHeight="1" x14ac:dyDescent="0.25">
      <c r="A82" s="187"/>
      <c r="B82" s="188"/>
    </row>
    <row r="83" spans="1:6" ht="28.5" customHeight="1" x14ac:dyDescent="0.25">
      <c r="A83" s="187"/>
      <c r="B83" s="188"/>
    </row>
    <row r="84" spans="1:6" ht="28.5" customHeight="1" x14ac:dyDescent="0.25">
      <c r="A84" s="187"/>
      <c r="B84" s="188"/>
    </row>
    <row r="85" spans="1:6" ht="28.5" customHeight="1" x14ac:dyDescent="0.25">
      <c r="A85" s="187"/>
      <c r="B85" s="188"/>
    </row>
    <row r="86" spans="1:6" ht="28.5" customHeight="1" x14ac:dyDescent="0.25">
      <c r="A86" s="187"/>
      <c r="B86" s="188"/>
    </row>
    <row r="87" spans="1:6" ht="28.5" customHeight="1" x14ac:dyDescent="0.25">
      <c r="A87" s="187"/>
      <c r="B87" s="188"/>
    </row>
    <row r="88" spans="1:6" ht="28.5" customHeight="1" x14ac:dyDescent="0.25">
      <c r="A88" s="187"/>
      <c r="B88" s="188"/>
    </row>
    <row r="89" spans="1:6" ht="28.5" customHeight="1" x14ac:dyDescent="0.25">
      <c r="A89" s="187"/>
      <c r="B89" s="188"/>
    </row>
    <row r="90" spans="1:6" ht="28.5" customHeight="1" x14ac:dyDescent="0.25">
      <c r="A90" s="187"/>
      <c r="B90" s="188"/>
    </row>
    <row r="91" spans="1:6" ht="28.5" customHeight="1" x14ac:dyDescent="0.25">
      <c r="A91" s="187"/>
      <c r="B91" s="188"/>
      <c r="C91" s="189"/>
      <c r="D91" s="199"/>
      <c r="E91" s="189"/>
      <c r="F91" s="189"/>
    </row>
    <row r="92" spans="1:6" ht="28.5" customHeight="1" x14ac:dyDescent="0.25">
      <c r="A92" s="187"/>
      <c r="B92" s="188"/>
      <c r="C92" s="189"/>
      <c r="D92" s="199"/>
      <c r="E92" s="189"/>
      <c r="F92" s="189"/>
    </row>
    <row r="93" spans="1:6" ht="28.5" customHeight="1" x14ac:dyDescent="0.25">
      <c r="A93" s="187"/>
      <c r="B93" s="188"/>
      <c r="C93" s="189"/>
      <c r="D93" s="199"/>
      <c r="E93" s="189"/>
      <c r="F93" s="189"/>
    </row>
    <row r="94" spans="1:6" ht="28.5" customHeight="1" x14ac:dyDescent="0.25">
      <c r="A94" s="187"/>
      <c r="B94" s="188"/>
      <c r="C94" s="189"/>
      <c r="D94" s="199"/>
      <c r="E94" s="189"/>
      <c r="F94" s="189"/>
    </row>
    <row r="95" spans="1:6" ht="28.5" customHeight="1" x14ac:dyDescent="0.25">
      <c r="A95" s="187"/>
      <c r="B95" s="188"/>
      <c r="C95" s="189"/>
      <c r="D95" s="199"/>
      <c r="E95" s="189"/>
      <c r="F95" s="189"/>
    </row>
    <row r="96" spans="1:6" ht="28.5" customHeight="1" x14ac:dyDescent="0.25">
      <c r="A96" s="187"/>
      <c r="B96" s="188"/>
      <c r="C96" s="189"/>
      <c r="D96" s="199"/>
      <c r="E96" s="189"/>
      <c r="F96" s="189"/>
    </row>
    <row r="97" spans="1:6" ht="28.5" customHeight="1" x14ac:dyDescent="0.25">
      <c r="A97" s="187"/>
      <c r="B97" s="188"/>
      <c r="C97" s="189"/>
      <c r="D97" s="199"/>
      <c r="E97" s="189"/>
      <c r="F97" s="189"/>
    </row>
    <row r="98" spans="1:6" ht="28.5" customHeight="1" x14ac:dyDescent="0.25">
      <c r="A98" s="187"/>
      <c r="B98" s="188"/>
      <c r="C98" s="189"/>
      <c r="D98" s="199"/>
      <c r="E98" s="189"/>
      <c r="F98" s="189"/>
    </row>
    <row r="99" spans="1:6" ht="28.5" customHeight="1" x14ac:dyDescent="0.25">
      <c r="A99" s="187"/>
      <c r="B99" s="188"/>
      <c r="C99" s="189"/>
      <c r="D99" s="199"/>
      <c r="E99" s="189"/>
      <c r="F99" s="189"/>
    </row>
    <row r="100" spans="1:6" ht="28.5" customHeight="1" x14ac:dyDescent="0.25">
      <c r="A100" s="187"/>
      <c r="B100" s="188"/>
      <c r="C100" s="189"/>
      <c r="D100" s="199"/>
      <c r="E100" s="189"/>
      <c r="F100" s="189"/>
    </row>
    <row r="101" spans="1:6" ht="28.5" customHeight="1" x14ac:dyDescent="0.25">
      <c r="A101" s="187"/>
      <c r="B101" s="188"/>
      <c r="C101" s="189"/>
      <c r="D101" s="199"/>
      <c r="E101" s="189"/>
      <c r="F101" s="189"/>
    </row>
    <row r="102" spans="1:6" ht="28.5" customHeight="1" x14ac:dyDescent="0.25">
      <c r="A102" s="187"/>
      <c r="B102" s="188"/>
      <c r="C102" s="189"/>
      <c r="D102" s="199"/>
      <c r="E102" s="189"/>
      <c r="F102" s="189"/>
    </row>
    <row r="103" spans="1:6" ht="28.5" customHeight="1" x14ac:dyDescent="0.25">
      <c r="A103" s="187"/>
      <c r="B103" s="188"/>
      <c r="C103" s="189"/>
      <c r="D103" s="199"/>
      <c r="E103" s="189"/>
      <c r="F103" s="189"/>
    </row>
    <row r="104" spans="1:6" ht="28.5" customHeight="1" x14ac:dyDescent="0.25">
      <c r="A104" s="187"/>
      <c r="B104" s="188"/>
      <c r="C104" s="189"/>
      <c r="D104" s="199"/>
      <c r="E104" s="189"/>
      <c r="F104" s="189"/>
    </row>
    <row r="105" spans="1:6" ht="28.5" customHeight="1" x14ac:dyDescent="0.25">
      <c r="A105" s="187"/>
      <c r="B105" s="188"/>
      <c r="C105" s="189"/>
      <c r="D105" s="199"/>
      <c r="E105" s="189"/>
      <c r="F105" s="189"/>
    </row>
    <row r="106" spans="1:6" ht="28.5" customHeight="1" x14ac:dyDescent="0.25">
      <c r="A106" s="187"/>
      <c r="B106" s="188"/>
      <c r="C106" s="189"/>
      <c r="D106" s="199"/>
      <c r="E106" s="189"/>
      <c r="F106" s="189"/>
    </row>
    <row r="107" spans="1:6" ht="28.5" customHeight="1" x14ac:dyDescent="0.25">
      <c r="A107" s="187"/>
      <c r="B107" s="188"/>
      <c r="C107" s="189"/>
      <c r="D107" s="199"/>
      <c r="E107" s="189"/>
      <c r="F107" s="189"/>
    </row>
    <row r="108" spans="1:6" ht="28.5" customHeight="1" x14ac:dyDescent="0.25">
      <c r="A108" s="187"/>
      <c r="B108" s="188"/>
      <c r="C108" s="189"/>
      <c r="D108" s="199"/>
      <c r="E108" s="189"/>
      <c r="F108" s="189"/>
    </row>
    <row r="109" spans="1:6" ht="28.5" customHeight="1" x14ac:dyDescent="0.25">
      <c r="A109" s="187"/>
      <c r="B109" s="188"/>
      <c r="C109" s="189"/>
      <c r="D109" s="199"/>
      <c r="E109" s="189"/>
      <c r="F109" s="189"/>
    </row>
    <row r="110" spans="1:6" ht="28.5" customHeight="1" x14ac:dyDescent="0.25">
      <c r="A110" s="187"/>
      <c r="B110" s="188"/>
      <c r="C110" s="189"/>
      <c r="D110" s="199"/>
      <c r="E110" s="189"/>
      <c r="F110" s="189"/>
    </row>
    <row r="111" spans="1:6" ht="28.5" customHeight="1" x14ac:dyDescent="0.25">
      <c r="A111" s="187"/>
      <c r="B111" s="188"/>
      <c r="C111" s="189"/>
      <c r="D111" s="199"/>
      <c r="E111" s="189"/>
      <c r="F111" s="189"/>
    </row>
    <row r="112" spans="1:6" ht="28.5" customHeight="1" x14ac:dyDescent="0.25">
      <c r="A112" s="187"/>
      <c r="B112" s="188"/>
      <c r="C112" s="189"/>
      <c r="D112" s="199"/>
      <c r="E112" s="189"/>
      <c r="F112" s="189"/>
    </row>
    <row r="113" spans="1:6" ht="28.5" customHeight="1" x14ac:dyDescent="0.25">
      <c r="A113" s="187"/>
      <c r="B113" s="188"/>
      <c r="C113" s="189"/>
      <c r="D113" s="199"/>
      <c r="E113" s="189"/>
      <c r="F113" s="189"/>
    </row>
    <row r="114" spans="1:6" ht="28.5" customHeight="1" x14ac:dyDescent="0.25">
      <c r="A114" s="187"/>
      <c r="B114" s="188"/>
      <c r="C114" s="189"/>
      <c r="D114" s="199"/>
      <c r="E114" s="189"/>
      <c r="F114" s="189"/>
    </row>
    <row r="115" spans="1:6" ht="28.5" customHeight="1" x14ac:dyDescent="0.25">
      <c r="A115" s="187"/>
      <c r="B115" s="188"/>
      <c r="C115" s="189"/>
      <c r="D115" s="199"/>
      <c r="E115" s="189"/>
      <c r="F115" s="189"/>
    </row>
    <row r="116" spans="1:6" ht="28.5" customHeight="1" x14ac:dyDescent="0.25">
      <c r="A116" s="187"/>
      <c r="B116" s="188"/>
      <c r="C116" s="189"/>
      <c r="D116" s="199"/>
      <c r="E116" s="189"/>
      <c r="F116" s="189"/>
    </row>
    <row r="117" spans="1:6" ht="28.5" customHeight="1" x14ac:dyDescent="0.25">
      <c r="A117" s="187"/>
      <c r="B117" s="188"/>
      <c r="C117" s="189"/>
      <c r="D117" s="199"/>
      <c r="E117" s="189"/>
      <c r="F117" s="189"/>
    </row>
    <row r="118" spans="1:6" ht="28.5" customHeight="1" x14ac:dyDescent="0.25">
      <c r="A118" s="187"/>
      <c r="B118" s="188"/>
      <c r="C118" s="189"/>
      <c r="D118" s="199"/>
      <c r="E118" s="189"/>
      <c r="F118" s="189"/>
    </row>
    <row r="119" spans="1:6" ht="28.5" customHeight="1" x14ac:dyDescent="0.25">
      <c r="A119" s="187"/>
      <c r="B119" s="188"/>
      <c r="C119" s="189"/>
      <c r="D119" s="199"/>
      <c r="E119" s="189"/>
      <c r="F119" s="189"/>
    </row>
    <row r="120" spans="1:6" ht="28.5" customHeight="1" x14ac:dyDescent="0.25">
      <c r="A120" s="187"/>
      <c r="B120" s="188"/>
      <c r="C120" s="189"/>
      <c r="D120" s="199"/>
      <c r="E120" s="189"/>
      <c r="F120" s="189"/>
    </row>
    <row r="121" spans="1:6" ht="28.5" customHeight="1" x14ac:dyDescent="0.25">
      <c r="A121" s="187"/>
      <c r="B121" s="188"/>
      <c r="C121" s="189"/>
      <c r="D121" s="199"/>
      <c r="E121" s="189"/>
      <c r="F121" s="189"/>
    </row>
    <row r="122" spans="1:6" ht="28.5" customHeight="1" x14ac:dyDescent="0.25">
      <c r="A122" s="187"/>
      <c r="B122" s="188"/>
      <c r="C122" s="189"/>
      <c r="D122" s="199"/>
      <c r="E122" s="189"/>
      <c r="F122" s="189"/>
    </row>
    <row r="123" spans="1:6" ht="28.5" customHeight="1" x14ac:dyDescent="0.25">
      <c r="A123" s="187"/>
      <c r="B123" s="188"/>
      <c r="C123" s="189"/>
      <c r="D123" s="199"/>
      <c r="E123" s="189"/>
      <c r="F123" s="189"/>
    </row>
    <row r="124" spans="1:6" ht="28.5" customHeight="1" x14ac:dyDescent="0.25">
      <c r="A124" s="187"/>
      <c r="B124" s="188"/>
      <c r="C124" s="189"/>
      <c r="D124" s="199"/>
      <c r="E124" s="189"/>
      <c r="F124" s="189"/>
    </row>
    <row r="125" spans="1:6" ht="28.5" customHeight="1" x14ac:dyDescent="0.25">
      <c r="A125" s="187"/>
      <c r="B125" s="188"/>
      <c r="C125" s="189"/>
      <c r="D125" s="199"/>
      <c r="E125" s="189"/>
      <c r="F125" s="189"/>
    </row>
    <row r="126" spans="1:6" ht="28.5" customHeight="1" x14ac:dyDescent="0.25">
      <c r="A126" s="187"/>
      <c r="B126" s="188"/>
      <c r="C126" s="189"/>
      <c r="D126" s="199"/>
      <c r="E126" s="189"/>
      <c r="F126" s="189"/>
    </row>
    <row r="127" spans="1:6" ht="28.5" customHeight="1" x14ac:dyDescent="0.25">
      <c r="A127" s="187"/>
      <c r="B127" s="188"/>
      <c r="C127" s="189"/>
      <c r="D127" s="199"/>
      <c r="E127" s="189"/>
      <c r="F127" s="189"/>
    </row>
    <row r="128" spans="1:6" ht="28.5" customHeight="1" x14ac:dyDescent="0.25">
      <c r="A128" s="187"/>
      <c r="B128" s="188"/>
      <c r="C128" s="189"/>
      <c r="D128" s="199"/>
      <c r="E128" s="189"/>
      <c r="F128" s="189"/>
    </row>
    <row r="129" spans="1:6" ht="28.5" customHeight="1" x14ac:dyDescent="0.25">
      <c r="A129" s="187"/>
      <c r="B129" s="188"/>
      <c r="C129" s="189"/>
      <c r="D129" s="199"/>
      <c r="E129" s="189"/>
      <c r="F129" s="189"/>
    </row>
    <row r="130" spans="1:6" ht="28.5" customHeight="1" x14ac:dyDescent="0.25">
      <c r="A130" s="187"/>
      <c r="B130" s="188"/>
      <c r="C130" s="189"/>
      <c r="D130" s="199"/>
      <c r="E130" s="189"/>
      <c r="F130" s="189"/>
    </row>
    <row r="131" spans="1:6" ht="28.5" customHeight="1" x14ac:dyDescent="0.25">
      <c r="A131" s="187"/>
      <c r="B131" s="188"/>
      <c r="C131" s="189"/>
      <c r="D131" s="199"/>
      <c r="E131" s="189"/>
      <c r="F131" s="189"/>
    </row>
    <row r="132" spans="1:6" ht="28.5" customHeight="1" x14ac:dyDescent="0.25">
      <c r="A132" s="187"/>
      <c r="B132" s="188"/>
      <c r="C132" s="189"/>
      <c r="D132" s="199"/>
      <c r="E132" s="189"/>
      <c r="F132" s="189"/>
    </row>
    <row r="133" spans="1:6" ht="28.5" customHeight="1" x14ac:dyDescent="0.25">
      <c r="A133" s="187"/>
      <c r="B133" s="188"/>
      <c r="C133" s="189"/>
      <c r="D133" s="199"/>
      <c r="E133" s="189"/>
      <c r="F133" s="189"/>
    </row>
    <row r="134" spans="1:6" ht="28.5" customHeight="1" x14ac:dyDescent="0.25">
      <c r="A134" s="187"/>
      <c r="B134" s="188"/>
      <c r="C134" s="189"/>
      <c r="D134" s="199"/>
      <c r="E134" s="189"/>
      <c r="F134" s="189"/>
    </row>
    <row r="135" spans="1:6" ht="28.5" customHeight="1" x14ac:dyDescent="0.25">
      <c r="A135" s="187"/>
      <c r="B135" s="188"/>
      <c r="C135" s="189"/>
      <c r="D135" s="199"/>
      <c r="E135" s="189"/>
      <c r="F135" s="189"/>
    </row>
    <row r="136" spans="1:6" ht="28.5" customHeight="1" x14ac:dyDescent="0.25">
      <c r="A136" s="187"/>
      <c r="B136" s="188"/>
      <c r="C136" s="189"/>
      <c r="D136" s="199"/>
      <c r="E136" s="189"/>
      <c r="F136" s="189"/>
    </row>
    <row r="137" spans="1:6" ht="28.5" customHeight="1" x14ac:dyDescent="0.25">
      <c r="A137" s="187"/>
      <c r="B137" s="188"/>
      <c r="C137" s="189"/>
      <c r="D137" s="199"/>
      <c r="E137" s="189"/>
      <c r="F137" s="189"/>
    </row>
    <row r="138" spans="1:6" ht="28.5" customHeight="1" x14ac:dyDescent="0.25">
      <c r="A138" s="187"/>
      <c r="B138" s="188"/>
      <c r="C138" s="189"/>
      <c r="D138" s="199"/>
      <c r="E138" s="189"/>
      <c r="F138" s="189"/>
    </row>
    <row r="139" spans="1:6" ht="28.5" customHeight="1" x14ac:dyDescent="0.25">
      <c r="A139" s="187"/>
      <c r="B139" s="188"/>
      <c r="C139" s="189"/>
      <c r="D139" s="199"/>
      <c r="E139" s="189"/>
      <c r="F139" s="189"/>
    </row>
    <row r="140" spans="1:6" ht="28.5" customHeight="1" x14ac:dyDescent="0.25">
      <c r="A140" s="187"/>
      <c r="B140" s="188"/>
      <c r="C140" s="189"/>
      <c r="D140" s="199"/>
      <c r="E140" s="189"/>
      <c r="F140" s="189"/>
    </row>
    <row r="141" spans="1:6" ht="28.5" customHeight="1" x14ac:dyDescent="0.25">
      <c r="A141" s="187"/>
      <c r="B141" s="188"/>
      <c r="C141" s="189"/>
      <c r="D141" s="199"/>
      <c r="E141" s="189"/>
      <c r="F141" s="189"/>
    </row>
    <row r="142" spans="1:6" ht="28.5" customHeight="1" x14ac:dyDescent="0.25">
      <c r="A142" s="187"/>
      <c r="B142" s="188"/>
      <c r="C142" s="189"/>
      <c r="D142" s="199"/>
      <c r="E142" s="189"/>
      <c r="F142" s="189"/>
    </row>
    <row r="143" spans="1:6" ht="28.5" customHeight="1" x14ac:dyDescent="0.25">
      <c r="A143" s="187"/>
      <c r="B143" s="188"/>
      <c r="C143" s="189"/>
      <c r="D143" s="199"/>
      <c r="E143" s="189"/>
      <c r="F143" s="189"/>
    </row>
    <row r="144" spans="1:6" ht="28.5" customHeight="1" x14ac:dyDescent="0.25">
      <c r="A144" s="187"/>
      <c r="B144" s="188"/>
      <c r="C144" s="189"/>
      <c r="D144" s="199"/>
      <c r="E144" s="189"/>
      <c r="F144" s="189"/>
    </row>
    <row r="145" spans="1:6" ht="28.5" customHeight="1" x14ac:dyDescent="0.25">
      <c r="A145" s="187"/>
      <c r="B145" s="188"/>
      <c r="C145" s="189"/>
      <c r="D145" s="199"/>
      <c r="E145" s="189"/>
      <c r="F145" s="189"/>
    </row>
    <row r="146" spans="1:6" ht="28.5" customHeight="1" x14ac:dyDescent="0.25">
      <c r="A146" s="187"/>
      <c r="B146" s="188"/>
      <c r="C146" s="189"/>
      <c r="D146" s="199"/>
      <c r="E146" s="189"/>
      <c r="F146" s="189"/>
    </row>
    <row r="147" spans="1:6" ht="28.5" customHeight="1" x14ac:dyDescent="0.25">
      <c r="A147" s="187"/>
      <c r="B147" s="188"/>
      <c r="C147" s="189"/>
      <c r="D147" s="199"/>
      <c r="E147" s="189"/>
      <c r="F147" s="189"/>
    </row>
    <row r="148" spans="1:6" ht="28.5" customHeight="1" x14ac:dyDescent="0.25">
      <c r="A148" s="187"/>
      <c r="B148" s="188"/>
      <c r="C148" s="189"/>
      <c r="D148" s="199"/>
      <c r="E148" s="189"/>
      <c r="F148" s="189"/>
    </row>
    <row r="149" spans="1:6" ht="28.5" customHeight="1" x14ac:dyDescent="0.25">
      <c r="A149" s="187"/>
      <c r="B149" s="188"/>
      <c r="C149" s="189"/>
      <c r="D149" s="199"/>
      <c r="E149" s="189"/>
      <c r="F149" s="189"/>
    </row>
    <row r="150" spans="1:6" ht="28.5" customHeight="1" x14ac:dyDescent="0.25">
      <c r="A150" s="187"/>
      <c r="B150" s="188"/>
      <c r="C150" s="189"/>
      <c r="D150" s="199"/>
      <c r="E150" s="189"/>
      <c r="F150" s="189"/>
    </row>
    <row r="151" spans="1:6" ht="28.5" customHeight="1" x14ac:dyDescent="0.25">
      <c r="A151" s="187"/>
      <c r="B151" s="188"/>
      <c r="C151" s="189"/>
      <c r="D151" s="199"/>
      <c r="E151" s="189"/>
      <c r="F151" s="189"/>
    </row>
    <row r="152" spans="1:6" ht="28.5" customHeight="1" x14ac:dyDescent="0.25">
      <c r="A152" s="187"/>
      <c r="B152" s="188"/>
      <c r="C152" s="189"/>
      <c r="D152" s="199"/>
      <c r="E152" s="189"/>
      <c r="F152" s="189"/>
    </row>
    <row r="153" spans="1:6" ht="28.5" customHeight="1" x14ac:dyDescent="0.25">
      <c r="A153" s="187"/>
      <c r="B153" s="188"/>
      <c r="C153" s="189"/>
      <c r="D153" s="199"/>
      <c r="E153" s="189"/>
      <c r="F153" s="189"/>
    </row>
    <row r="154" spans="1:6" ht="28.5" customHeight="1" x14ac:dyDescent="0.25">
      <c r="A154" s="187"/>
      <c r="B154" s="188"/>
      <c r="C154" s="189"/>
      <c r="D154" s="199"/>
      <c r="E154" s="189"/>
      <c r="F154" s="189"/>
    </row>
    <row r="155" spans="1:6" ht="28.5" customHeight="1" x14ac:dyDescent="0.25">
      <c r="A155" s="187"/>
      <c r="B155" s="188"/>
      <c r="C155" s="189"/>
      <c r="D155" s="199"/>
      <c r="E155" s="189"/>
      <c r="F155" s="189"/>
    </row>
    <row r="156" spans="1:6" ht="28.5" customHeight="1" x14ac:dyDescent="0.25">
      <c r="A156" s="187"/>
      <c r="B156" s="188"/>
      <c r="C156" s="189"/>
      <c r="D156" s="199"/>
      <c r="E156" s="189"/>
      <c r="F156" s="189"/>
    </row>
    <row r="157" spans="1:6" ht="28.5" customHeight="1" x14ac:dyDescent="0.25">
      <c r="A157" s="187"/>
      <c r="B157" s="188"/>
      <c r="C157" s="189"/>
      <c r="D157" s="199"/>
      <c r="E157" s="189"/>
      <c r="F157" s="189"/>
    </row>
    <row r="158" spans="1:6" ht="28.5" customHeight="1" x14ac:dyDescent="0.25">
      <c r="A158" s="187"/>
      <c r="B158" s="188"/>
      <c r="C158" s="189"/>
      <c r="D158" s="199"/>
      <c r="E158" s="189"/>
      <c r="F158" s="189"/>
    </row>
    <row r="159" spans="1:6" ht="28.5" customHeight="1" x14ac:dyDescent="0.25">
      <c r="A159" s="187"/>
      <c r="B159" s="188"/>
      <c r="C159" s="189"/>
      <c r="D159" s="199"/>
      <c r="E159" s="189"/>
      <c r="F159" s="189"/>
    </row>
    <row r="160" spans="1:6" ht="28.5" customHeight="1" x14ac:dyDescent="0.25">
      <c r="A160" s="187"/>
      <c r="B160" s="188"/>
      <c r="C160" s="189"/>
      <c r="D160" s="199"/>
      <c r="E160" s="189"/>
      <c r="F160" s="189"/>
    </row>
    <row r="161" spans="1:6" ht="28.5" customHeight="1" x14ac:dyDescent="0.25">
      <c r="A161" s="187"/>
      <c r="B161" s="188"/>
      <c r="C161" s="189"/>
      <c r="D161" s="199"/>
      <c r="E161" s="189"/>
      <c r="F161" s="189"/>
    </row>
    <row r="162" spans="1:6" ht="28.5" customHeight="1" x14ac:dyDescent="0.25">
      <c r="A162" s="187"/>
      <c r="B162" s="188"/>
      <c r="C162" s="189"/>
      <c r="D162" s="199"/>
      <c r="E162" s="189"/>
      <c r="F162" s="189"/>
    </row>
    <row r="163" spans="1:6" ht="28.5" customHeight="1" x14ac:dyDescent="0.25">
      <c r="A163" s="187"/>
      <c r="B163" s="188"/>
      <c r="C163" s="189"/>
      <c r="D163" s="199"/>
      <c r="E163" s="189"/>
      <c r="F163" s="189"/>
    </row>
    <row r="164" spans="1:6" ht="28.5" customHeight="1" x14ac:dyDescent="0.25">
      <c r="A164" s="187"/>
      <c r="B164" s="188"/>
      <c r="C164" s="189"/>
      <c r="D164" s="199"/>
      <c r="E164" s="189"/>
      <c r="F164" s="189"/>
    </row>
    <row r="165" spans="1:6" ht="28.5" customHeight="1" x14ac:dyDescent="0.25">
      <c r="A165" s="187"/>
      <c r="B165" s="188"/>
      <c r="C165" s="189"/>
      <c r="D165" s="199"/>
      <c r="E165" s="189"/>
      <c r="F165" s="189"/>
    </row>
    <row r="166" spans="1:6" ht="28.5" customHeight="1" x14ac:dyDescent="0.25">
      <c r="A166" s="187"/>
      <c r="B166" s="188"/>
      <c r="C166" s="189"/>
      <c r="D166" s="199"/>
      <c r="E166" s="189"/>
      <c r="F166" s="189"/>
    </row>
    <row r="167" spans="1:6" ht="28.5" customHeight="1" x14ac:dyDescent="0.25">
      <c r="A167" s="187"/>
      <c r="B167" s="188"/>
      <c r="C167" s="189"/>
      <c r="D167" s="199"/>
      <c r="E167" s="189"/>
      <c r="F167" s="189"/>
    </row>
    <row r="168" spans="1:6" ht="28.5" customHeight="1" x14ac:dyDescent="0.25">
      <c r="A168" s="187"/>
      <c r="B168" s="188"/>
      <c r="C168" s="189"/>
      <c r="D168" s="199"/>
      <c r="E168" s="189"/>
      <c r="F168" s="189"/>
    </row>
    <row r="169" spans="1:6" ht="28.5" customHeight="1" x14ac:dyDescent="0.25">
      <c r="A169" s="187"/>
      <c r="B169" s="188"/>
      <c r="C169" s="189"/>
      <c r="D169" s="199"/>
      <c r="E169" s="189"/>
      <c r="F169" s="189"/>
    </row>
    <row r="170" spans="1:6" ht="28.5" customHeight="1" x14ac:dyDescent="0.25">
      <c r="A170" s="187"/>
      <c r="B170" s="188"/>
      <c r="C170" s="189"/>
      <c r="D170" s="199"/>
      <c r="E170" s="189"/>
      <c r="F170" s="189"/>
    </row>
    <row r="171" spans="1:6" ht="28.5" customHeight="1" x14ac:dyDescent="0.25">
      <c r="A171" s="187"/>
      <c r="B171" s="188"/>
      <c r="C171" s="189"/>
      <c r="D171" s="199"/>
      <c r="E171" s="189"/>
      <c r="F171" s="189"/>
    </row>
    <row r="172" spans="1:6" ht="28.5" customHeight="1" x14ac:dyDescent="0.25">
      <c r="A172" s="187"/>
      <c r="B172" s="188"/>
      <c r="C172" s="189"/>
      <c r="D172" s="199"/>
      <c r="E172" s="189"/>
      <c r="F172" s="189"/>
    </row>
    <row r="173" spans="1:6" ht="28.5" customHeight="1" x14ac:dyDescent="0.25">
      <c r="A173" s="187"/>
      <c r="B173" s="188"/>
      <c r="C173" s="189"/>
      <c r="D173" s="199"/>
      <c r="E173" s="189"/>
      <c r="F173" s="189"/>
    </row>
    <row r="174" spans="1:6" ht="28.5" customHeight="1" x14ac:dyDescent="0.25">
      <c r="A174" s="187"/>
      <c r="B174" s="188"/>
      <c r="C174" s="189"/>
      <c r="D174" s="199"/>
      <c r="E174" s="189"/>
      <c r="F174" s="189"/>
    </row>
    <row r="175" spans="1:6" ht="28.5" customHeight="1" x14ac:dyDescent="0.25">
      <c r="A175" s="187"/>
      <c r="B175" s="188"/>
      <c r="C175" s="189"/>
      <c r="D175" s="199"/>
      <c r="E175" s="189"/>
      <c r="F175" s="189"/>
    </row>
    <row r="176" spans="1:6" ht="28.5" customHeight="1" x14ac:dyDescent="0.25">
      <c r="A176" s="187"/>
      <c r="B176" s="188"/>
      <c r="C176" s="189"/>
      <c r="D176" s="199"/>
      <c r="E176" s="189"/>
      <c r="F176" s="189"/>
    </row>
    <row r="177" spans="1:6" ht="28.5" customHeight="1" x14ac:dyDescent="0.25">
      <c r="A177" s="187"/>
      <c r="B177" s="188"/>
      <c r="C177" s="189"/>
      <c r="D177" s="199"/>
      <c r="E177" s="189"/>
      <c r="F177" s="189"/>
    </row>
    <row r="178" spans="1:6" ht="28.5" customHeight="1" x14ac:dyDescent="0.25">
      <c r="A178" s="187"/>
      <c r="B178" s="188"/>
      <c r="C178" s="189"/>
      <c r="D178" s="199"/>
      <c r="E178" s="189"/>
      <c r="F178" s="189"/>
    </row>
    <row r="179" spans="1:6" ht="28.5" customHeight="1" x14ac:dyDescent="0.25">
      <c r="A179" s="187"/>
      <c r="B179" s="188"/>
      <c r="C179" s="189"/>
      <c r="D179" s="199"/>
      <c r="E179" s="189"/>
      <c r="F179" s="189"/>
    </row>
    <row r="180" spans="1:6" ht="28.5" customHeight="1" x14ac:dyDescent="0.25">
      <c r="A180" s="187"/>
      <c r="B180" s="188"/>
      <c r="C180" s="189"/>
      <c r="D180" s="199"/>
      <c r="E180" s="189"/>
      <c r="F180" s="189"/>
    </row>
    <row r="181" spans="1:6" ht="28.5" customHeight="1" x14ac:dyDescent="0.25">
      <c r="A181" s="187"/>
      <c r="B181" s="188"/>
      <c r="C181" s="189"/>
      <c r="D181" s="199"/>
      <c r="E181" s="189"/>
      <c r="F181" s="189"/>
    </row>
    <row r="182" spans="1:6" ht="28.5" customHeight="1" x14ac:dyDescent="0.25">
      <c r="A182" s="187"/>
      <c r="B182" s="188"/>
      <c r="C182" s="189"/>
      <c r="D182" s="199"/>
      <c r="E182" s="189"/>
      <c r="F182" s="189"/>
    </row>
    <row r="183" spans="1:6" ht="28.5" customHeight="1" x14ac:dyDescent="0.25">
      <c r="A183" s="187"/>
      <c r="B183" s="188"/>
      <c r="C183" s="189"/>
      <c r="D183" s="199"/>
      <c r="E183" s="189"/>
      <c r="F183" s="189"/>
    </row>
    <row r="184" spans="1:6" ht="28.5" customHeight="1" x14ac:dyDescent="0.25">
      <c r="A184" s="187"/>
      <c r="B184" s="188"/>
      <c r="C184" s="189"/>
      <c r="D184" s="199"/>
      <c r="E184" s="189"/>
      <c r="F184" s="189"/>
    </row>
    <row r="185" spans="1:6" ht="28.5" customHeight="1" x14ac:dyDescent="0.25">
      <c r="A185" s="187"/>
      <c r="B185" s="188"/>
      <c r="C185" s="189"/>
      <c r="D185" s="199"/>
      <c r="E185" s="189"/>
      <c r="F185" s="189"/>
    </row>
    <row r="186" spans="1:6" ht="28.5" customHeight="1" x14ac:dyDescent="0.25">
      <c r="A186" s="187"/>
      <c r="B186" s="188"/>
      <c r="C186" s="189"/>
      <c r="D186" s="199"/>
      <c r="E186" s="189"/>
      <c r="F186" s="189"/>
    </row>
    <row r="187" spans="1:6" ht="28.5" customHeight="1" x14ac:dyDescent="0.25">
      <c r="A187" s="187"/>
      <c r="B187" s="188"/>
      <c r="C187" s="189"/>
      <c r="D187" s="199"/>
      <c r="E187" s="189"/>
      <c r="F187" s="189"/>
    </row>
    <row r="188" spans="1:6" ht="28.5" customHeight="1" x14ac:dyDescent="0.25">
      <c r="A188" s="187"/>
      <c r="B188" s="188"/>
      <c r="C188" s="189"/>
      <c r="D188" s="199"/>
      <c r="E188" s="189"/>
      <c r="F188" s="189"/>
    </row>
    <row r="189" spans="1:6" ht="28.5" customHeight="1" x14ac:dyDescent="0.25">
      <c r="A189" s="187"/>
      <c r="B189" s="188"/>
      <c r="C189" s="189"/>
      <c r="D189" s="199"/>
      <c r="E189" s="189"/>
      <c r="F189" s="189"/>
    </row>
    <row r="190" spans="1:6" ht="28.5" customHeight="1" x14ac:dyDescent="0.25">
      <c r="A190" s="187"/>
      <c r="B190" s="188"/>
      <c r="C190" s="189"/>
      <c r="D190" s="199"/>
      <c r="E190" s="189"/>
      <c r="F190" s="189"/>
    </row>
    <row r="191" spans="1:6" ht="28.5" customHeight="1" x14ac:dyDescent="0.25">
      <c r="A191" s="187"/>
      <c r="B191" s="188"/>
      <c r="C191" s="189"/>
      <c r="D191" s="199"/>
      <c r="E191" s="189"/>
      <c r="F191" s="189"/>
    </row>
    <row r="192" spans="1:6" ht="28.5" customHeight="1" x14ac:dyDescent="0.25">
      <c r="A192" s="187"/>
      <c r="B192" s="188"/>
      <c r="C192" s="189"/>
      <c r="D192" s="199"/>
      <c r="E192" s="189"/>
      <c r="F192" s="189"/>
    </row>
    <row r="193" spans="1:6" ht="28.5" customHeight="1" x14ac:dyDescent="0.25">
      <c r="A193" s="187"/>
      <c r="B193" s="188"/>
      <c r="C193" s="189"/>
      <c r="D193" s="199"/>
      <c r="E193" s="189"/>
      <c r="F193" s="189"/>
    </row>
    <row r="194" spans="1:6" ht="28.5" customHeight="1" x14ac:dyDescent="0.25">
      <c r="A194" s="187"/>
      <c r="B194" s="188"/>
      <c r="C194" s="189"/>
      <c r="D194" s="199"/>
      <c r="E194" s="189"/>
      <c r="F194" s="189"/>
    </row>
    <row r="195" spans="1:6" ht="28.5" customHeight="1" x14ac:dyDescent="0.25">
      <c r="A195" s="187"/>
      <c r="B195" s="188"/>
      <c r="C195" s="189"/>
      <c r="D195" s="199"/>
      <c r="E195" s="189"/>
      <c r="F195" s="189"/>
    </row>
    <row r="196" spans="1:6" ht="28.5" customHeight="1" x14ac:dyDescent="0.25">
      <c r="A196" s="187"/>
      <c r="B196" s="188"/>
      <c r="C196" s="189"/>
      <c r="D196" s="199"/>
      <c r="E196" s="189"/>
      <c r="F196" s="189"/>
    </row>
    <row r="197" spans="1:6" ht="28.5" customHeight="1" x14ac:dyDescent="0.25">
      <c r="A197" s="187"/>
      <c r="B197" s="188"/>
      <c r="C197" s="189"/>
      <c r="D197" s="199"/>
      <c r="E197" s="189"/>
      <c r="F197" s="189"/>
    </row>
    <row r="198" spans="1:6" ht="28.5" customHeight="1" x14ac:dyDescent="0.25">
      <c r="A198" s="187"/>
      <c r="B198" s="188"/>
      <c r="C198" s="189"/>
      <c r="D198" s="199"/>
      <c r="E198" s="189"/>
      <c r="F198" s="189"/>
    </row>
    <row r="199" spans="1:6" ht="28.5" customHeight="1" x14ac:dyDescent="0.25">
      <c r="A199" s="187"/>
      <c r="B199" s="188"/>
      <c r="C199" s="189"/>
      <c r="D199" s="199"/>
      <c r="E199" s="189"/>
      <c r="F199" s="189"/>
    </row>
    <row r="200" spans="1:6" ht="28.5" customHeight="1" x14ac:dyDescent="0.25">
      <c r="A200" s="187"/>
      <c r="B200" s="188"/>
      <c r="C200" s="189"/>
      <c r="D200" s="199"/>
      <c r="E200" s="189"/>
      <c r="F200" s="189"/>
    </row>
    <row r="201" spans="1:6" ht="28.5" customHeight="1" x14ac:dyDescent="0.25">
      <c r="A201" s="187"/>
      <c r="B201" s="188"/>
      <c r="C201" s="189"/>
      <c r="D201" s="199"/>
      <c r="E201" s="189"/>
      <c r="F201" s="189"/>
    </row>
    <row r="202" spans="1:6" ht="28.5" customHeight="1" x14ac:dyDescent="0.25">
      <c r="A202" s="187"/>
      <c r="B202" s="188"/>
      <c r="C202" s="189"/>
      <c r="D202" s="199"/>
      <c r="E202" s="189"/>
      <c r="F202" s="189"/>
    </row>
    <row r="203" spans="1:6" ht="28.5" customHeight="1" x14ac:dyDescent="0.25">
      <c r="A203" s="187"/>
      <c r="B203" s="188"/>
      <c r="C203" s="189"/>
      <c r="D203" s="199"/>
      <c r="E203" s="189"/>
      <c r="F203" s="189"/>
    </row>
    <row r="204" spans="1:6" ht="28.5" customHeight="1" x14ac:dyDescent="0.25">
      <c r="A204" s="187"/>
      <c r="B204" s="188"/>
      <c r="C204" s="189"/>
      <c r="D204" s="199"/>
      <c r="E204" s="189"/>
      <c r="F204" s="189"/>
    </row>
    <row r="205" spans="1:6" ht="28.5" customHeight="1" x14ac:dyDescent="0.25">
      <c r="A205" s="187"/>
      <c r="B205" s="188"/>
      <c r="C205" s="189"/>
      <c r="D205" s="199"/>
      <c r="E205" s="189"/>
      <c r="F205" s="189"/>
    </row>
    <row r="206" spans="1:6" ht="28.5" customHeight="1" x14ac:dyDescent="0.25">
      <c r="A206" s="187"/>
      <c r="B206" s="188"/>
      <c r="C206" s="189"/>
      <c r="D206" s="199"/>
      <c r="E206" s="189"/>
      <c r="F206" s="189"/>
    </row>
    <row r="207" spans="1:6" ht="28.5" customHeight="1" x14ac:dyDescent="0.25">
      <c r="A207" s="187"/>
      <c r="B207" s="188"/>
      <c r="C207" s="189"/>
      <c r="D207" s="199"/>
      <c r="E207" s="189"/>
      <c r="F207" s="189"/>
    </row>
    <row r="208" spans="1:6" ht="28.5" customHeight="1" x14ac:dyDescent="0.25">
      <c r="A208" s="187"/>
      <c r="B208" s="188"/>
      <c r="C208" s="189"/>
      <c r="D208" s="199"/>
      <c r="E208" s="189"/>
      <c r="F208" s="189"/>
    </row>
    <row r="209" spans="1:6" ht="28.5" customHeight="1" x14ac:dyDescent="0.25">
      <c r="A209" s="187"/>
      <c r="B209" s="188"/>
      <c r="C209" s="189"/>
      <c r="D209" s="199"/>
      <c r="E209" s="189"/>
      <c r="F209" s="189"/>
    </row>
    <row r="210" spans="1:6" ht="28.5" customHeight="1" x14ac:dyDescent="0.25">
      <c r="A210" s="187"/>
      <c r="B210" s="188"/>
      <c r="C210" s="189"/>
      <c r="D210" s="199"/>
      <c r="E210" s="189"/>
      <c r="F210" s="189"/>
    </row>
    <row r="211" spans="1:6" ht="28.5" customHeight="1" x14ac:dyDescent="0.25">
      <c r="A211" s="187"/>
      <c r="B211" s="188"/>
      <c r="C211" s="189"/>
      <c r="D211" s="199"/>
      <c r="E211" s="189"/>
      <c r="F211" s="189"/>
    </row>
    <row r="212" spans="1:6" ht="28.5" customHeight="1" x14ac:dyDescent="0.25">
      <c r="A212" s="187"/>
      <c r="B212" s="188"/>
      <c r="C212" s="189"/>
      <c r="D212" s="199"/>
      <c r="E212" s="189"/>
      <c r="F212" s="189"/>
    </row>
    <row r="213" spans="1:6" ht="28.5" customHeight="1" x14ac:dyDescent="0.25">
      <c r="A213" s="187"/>
      <c r="B213" s="188"/>
      <c r="C213" s="189"/>
      <c r="D213" s="199"/>
      <c r="E213" s="189"/>
      <c r="F213" s="189"/>
    </row>
    <row r="214" spans="1:6" ht="28.5" customHeight="1" x14ac:dyDescent="0.25">
      <c r="A214" s="187"/>
      <c r="B214" s="188"/>
      <c r="C214" s="189"/>
      <c r="D214" s="199"/>
      <c r="E214" s="189"/>
      <c r="F214" s="189"/>
    </row>
    <row r="215" spans="1:6" ht="28.5" customHeight="1" x14ac:dyDescent="0.25">
      <c r="A215" s="187"/>
      <c r="B215" s="188"/>
      <c r="C215" s="189"/>
      <c r="D215" s="199"/>
      <c r="E215" s="189"/>
      <c r="F215" s="189"/>
    </row>
    <row r="216" spans="1:6" ht="28.5" customHeight="1" x14ac:dyDescent="0.25">
      <c r="A216" s="187"/>
      <c r="B216" s="188"/>
      <c r="C216" s="189"/>
      <c r="D216" s="199"/>
      <c r="E216" s="189"/>
      <c r="F216" s="189"/>
    </row>
    <row r="217" spans="1:6" ht="28.5" customHeight="1" x14ac:dyDescent="0.25">
      <c r="A217" s="187"/>
      <c r="B217" s="188"/>
      <c r="C217" s="189"/>
      <c r="D217" s="199"/>
      <c r="E217" s="189"/>
      <c r="F217" s="189"/>
    </row>
    <row r="218" spans="1:6" ht="28.5" customHeight="1" x14ac:dyDescent="0.25">
      <c r="A218" s="187"/>
      <c r="B218" s="188"/>
      <c r="C218" s="189"/>
      <c r="D218" s="199"/>
      <c r="E218" s="189"/>
      <c r="F218" s="189"/>
    </row>
    <row r="219" spans="1:6" ht="28.5" customHeight="1" x14ac:dyDescent="0.25">
      <c r="A219" s="187"/>
      <c r="B219" s="188"/>
      <c r="C219" s="189"/>
      <c r="D219" s="199"/>
      <c r="E219" s="189"/>
      <c r="F219" s="189"/>
    </row>
    <row r="220" spans="1:6" ht="28.5" customHeight="1" x14ac:dyDescent="0.25">
      <c r="A220" s="187"/>
      <c r="B220" s="188"/>
      <c r="C220" s="189"/>
      <c r="D220" s="199"/>
      <c r="E220" s="189"/>
      <c r="F220" s="189"/>
    </row>
    <row r="221" spans="1:6" ht="28.5" customHeight="1" x14ac:dyDescent="0.25">
      <c r="A221" s="187"/>
      <c r="B221" s="188"/>
      <c r="C221" s="189"/>
      <c r="D221" s="199"/>
      <c r="E221" s="189"/>
      <c r="F221" s="189"/>
    </row>
    <row r="222" spans="1:6" ht="28.5" customHeight="1" x14ac:dyDescent="0.25">
      <c r="A222" s="187"/>
      <c r="B222" s="188"/>
      <c r="C222" s="189"/>
      <c r="D222" s="199"/>
      <c r="E222" s="189"/>
      <c r="F222" s="189"/>
    </row>
    <row r="223" spans="1:6" ht="28.5" customHeight="1" x14ac:dyDescent="0.25">
      <c r="A223" s="187"/>
      <c r="B223" s="188"/>
      <c r="C223" s="189"/>
      <c r="D223" s="199"/>
      <c r="E223" s="189"/>
      <c r="F223" s="189"/>
    </row>
    <row r="224" spans="1:6" ht="28.5" customHeight="1" x14ac:dyDescent="0.25">
      <c r="A224" s="187"/>
      <c r="B224" s="188"/>
      <c r="C224" s="189"/>
      <c r="D224" s="199"/>
      <c r="E224" s="189"/>
      <c r="F224" s="189"/>
    </row>
    <row r="225" spans="1:6" ht="28.5" customHeight="1" x14ac:dyDescent="0.25">
      <c r="A225" s="187"/>
      <c r="B225" s="188"/>
      <c r="C225" s="189"/>
      <c r="D225" s="199"/>
      <c r="E225" s="189"/>
      <c r="F225" s="189"/>
    </row>
    <row r="226" spans="1:6" ht="28.5" customHeight="1" x14ac:dyDescent="0.25">
      <c r="A226" s="187"/>
      <c r="B226" s="188"/>
      <c r="C226" s="189"/>
      <c r="D226" s="199"/>
      <c r="E226" s="189"/>
      <c r="F226" s="189"/>
    </row>
    <row r="227" spans="1:6" ht="28.5" customHeight="1" x14ac:dyDescent="0.25">
      <c r="A227" s="187"/>
      <c r="B227" s="188"/>
      <c r="C227" s="189"/>
      <c r="D227" s="199"/>
      <c r="E227" s="189"/>
      <c r="F227" s="189"/>
    </row>
    <row r="228" spans="1:6" ht="28.5" customHeight="1" x14ac:dyDescent="0.25">
      <c r="A228" s="187"/>
      <c r="B228" s="188"/>
      <c r="C228" s="189"/>
      <c r="D228" s="199"/>
      <c r="E228" s="189"/>
      <c r="F228" s="189"/>
    </row>
    <row r="229" spans="1:6" ht="28.5" customHeight="1" x14ac:dyDescent="0.25">
      <c r="A229" s="187"/>
      <c r="B229" s="188"/>
      <c r="C229" s="189"/>
      <c r="D229" s="199"/>
      <c r="E229" s="189"/>
      <c r="F229" s="189"/>
    </row>
    <row r="230" spans="1:6" ht="28.5" customHeight="1" x14ac:dyDescent="0.25">
      <c r="A230" s="187"/>
      <c r="B230" s="188"/>
      <c r="C230" s="189"/>
      <c r="D230" s="199"/>
      <c r="E230" s="189"/>
      <c r="F230" s="189"/>
    </row>
    <row r="231" spans="1:6" ht="28.5" customHeight="1" x14ac:dyDescent="0.25">
      <c r="A231" s="187"/>
      <c r="B231" s="188"/>
      <c r="C231" s="189"/>
      <c r="D231" s="199"/>
      <c r="E231" s="189"/>
      <c r="F231" s="189"/>
    </row>
    <row r="232" spans="1:6" ht="28.5" customHeight="1" x14ac:dyDescent="0.25">
      <c r="A232" s="187"/>
      <c r="B232" s="188"/>
      <c r="C232" s="189"/>
      <c r="D232" s="199"/>
      <c r="E232" s="189"/>
      <c r="F232" s="189"/>
    </row>
    <row r="233" spans="1:6" ht="28.5" customHeight="1" x14ac:dyDescent="0.25">
      <c r="A233" s="187"/>
      <c r="B233" s="188"/>
      <c r="C233" s="189"/>
      <c r="D233" s="199"/>
      <c r="E233" s="189"/>
      <c r="F233" s="189"/>
    </row>
    <row r="234" spans="1:6" ht="28.5" customHeight="1" x14ac:dyDescent="0.25">
      <c r="A234" s="187"/>
      <c r="B234" s="188"/>
      <c r="C234" s="189"/>
      <c r="D234" s="199"/>
      <c r="E234" s="189"/>
      <c r="F234" s="189"/>
    </row>
    <row r="235" spans="1:6" ht="28.5" customHeight="1" x14ac:dyDescent="0.25">
      <c r="A235" s="187"/>
      <c r="B235" s="188"/>
      <c r="C235" s="189"/>
      <c r="D235" s="199"/>
      <c r="E235" s="189"/>
      <c r="F235" s="189"/>
    </row>
    <row r="236" spans="1:6" ht="28.5" customHeight="1" x14ac:dyDescent="0.25">
      <c r="A236" s="187"/>
      <c r="B236" s="188"/>
      <c r="C236" s="189"/>
      <c r="D236" s="199"/>
      <c r="E236" s="189"/>
      <c r="F236" s="189"/>
    </row>
    <row r="237" spans="1:6" ht="28.5" customHeight="1" x14ac:dyDescent="0.25">
      <c r="A237" s="187"/>
      <c r="B237" s="188"/>
      <c r="C237" s="189"/>
      <c r="D237" s="199"/>
      <c r="E237" s="189"/>
      <c r="F237" s="189"/>
    </row>
    <row r="238" spans="1:6" ht="28.5" customHeight="1" x14ac:dyDescent="0.25">
      <c r="A238" s="187"/>
      <c r="B238" s="188"/>
      <c r="C238" s="189"/>
      <c r="D238" s="199"/>
      <c r="E238" s="189"/>
      <c r="F238" s="189"/>
    </row>
    <row r="239" spans="1:6" ht="28.5" customHeight="1" x14ac:dyDescent="0.25">
      <c r="A239" s="187"/>
      <c r="B239" s="188"/>
      <c r="C239" s="189"/>
      <c r="D239" s="199"/>
      <c r="E239" s="189"/>
      <c r="F239" s="189"/>
    </row>
    <row r="240" spans="1:6" ht="28.5" customHeight="1" x14ac:dyDescent="0.25">
      <c r="A240" s="187"/>
      <c r="B240" s="188"/>
      <c r="C240" s="189"/>
      <c r="D240" s="199"/>
      <c r="E240" s="189"/>
      <c r="F240" s="189"/>
    </row>
    <row r="241" spans="1:6" ht="28.5" customHeight="1" x14ac:dyDescent="0.25">
      <c r="A241" s="187"/>
      <c r="B241" s="188"/>
      <c r="C241" s="189"/>
      <c r="D241" s="199"/>
      <c r="E241" s="189"/>
      <c r="F241" s="189"/>
    </row>
    <row r="242" spans="1:6" ht="28.5" customHeight="1" x14ac:dyDescent="0.25">
      <c r="A242" s="187"/>
      <c r="B242" s="188"/>
      <c r="C242" s="189"/>
      <c r="D242" s="199"/>
      <c r="E242" s="189"/>
      <c r="F242" s="189"/>
    </row>
    <row r="243" spans="1:6" ht="28.5" customHeight="1" x14ac:dyDescent="0.25">
      <c r="A243" s="187"/>
      <c r="B243" s="188"/>
      <c r="C243" s="189"/>
      <c r="D243" s="199"/>
      <c r="E243" s="189"/>
      <c r="F243" s="189"/>
    </row>
    <row r="244" spans="1:6" ht="28.5" customHeight="1" x14ac:dyDescent="0.25">
      <c r="A244" s="187"/>
      <c r="B244" s="188"/>
      <c r="C244" s="189"/>
      <c r="D244" s="199"/>
      <c r="E244" s="189"/>
      <c r="F244" s="189"/>
    </row>
    <row r="245" spans="1:6" ht="28.5" customHeight="1" x14ac:dyDescent="0.25">
      <c r="A245" s="187"/>
      <c r="B245" s="188"/>
      <c r="C245" s="189"/>
      <c r="D245" s="199"/>
      <c r="E245" s="189"/>
      <c r="F245" s="189"/>
    </row>
    <row r="246" spans="1:6" ht="28.5" customHeight="1" x14ac:dyDescent="0.25">
      <c r="A246" s="187"/>
      <c r="B246" s="188"/>
      <c r="C246" s="189"/>
      <c r="D246" s="199"/>
      <c r="E246" s="189"/>
      <c r="F246" s="189"/>
    </row>
    <row r="247" spans="1:6" ht="28.5" customHeight="1" x14ac:dyDescent="0.25">
      <c r="A247" s="187"/>
      <c r="B247" s="188"/>
      <c r="C247" s="189"/>
      <c r="D247" s="199"/>
      <c r="E247" s="189"/>
      <c r="F247" s="189"/>
    </row>
    <row r="248" spans="1:6" ht="28.5" customHeight="1" x14ac:dyDescent="0.25">
      <c r="A248" s="187"/>
      <c r="B248" s="188"/>
      <c r="C248" s="189"/>
      <c r="D248" s="199"/>
      <c r="E248" s="189"/>
      <c r="F248" s="189"/>
    </row>
    <row r="249" spans="1:6" ht="28.5" customHeight="1" x14ac:dyDescent="0.25">
      <c r="A249" s="187"/>
      <c r="B249" s="188"/>
      <c r="C249" s="189"/>
      <c r="D249" s="199"/>
      <c r="E249" s="189"/>
      <c r="F249" s="189"/>
    </row>
    <row r="250" spans="1:6" ht="28.5" customHeight="1" x14ac:dyDescent="0.25">
      <c r="A250" s="187"/>
      <c r="B250" s="188"/>
      <c r="C250" s="189"/>
      <c r="D250" s="199"/>
      <c r="E250" s="189"/>
      <c r="F250" s="189"/>
    </row>
    <row r="251" spans="1:6" ht="28.5" customHeight="1" x14ac:dyDescent="0.25">
      <c r="A251" s="187"/>
      <c r="B251" s="188"/>
      <c r="C251" s="189"/>
      <c r="D251" s="199"/>
      <c r="E251" s="189"/>
      <c r="F251" s="189"/>
    </row>
    <row r="252" spans="1:6" ht="28.5" customHeight="1" x14ac:dyDescent="0.25">
      <c r="A252" s="187"/>
      <c r="B252" s="188"/>
      <c r="C252" s="189"/>
      <c r="D252" s="199"/>
      <c r="E252" s="189"/>
      <c r="F252" s="189"/>
    </row>
    <row r="253" spans="1:6" ht="28.5" customHeight="1" x14ac:dyDescent="0.25">
      <c r="A253" s="187"/>
      <c r="B253" s="188"/>
      <c r="C253" s="189"/>
      <c r="D253" s="199"/>
      <c r="E253" s="189"/>
      <c r="F253" s="189"/>
    </row>
    <row r="254" spans="1:6" ht="28.5" customHeight="1" x14ac:dyDescent="0.25">
      <c r="A254" s="187"/>
      <c r="B254" s="188"/>
      <c r="C254" s="189"/>
      <c r="D254" s="199"/>
      <c r="E254" s="189"/>
      <c r="F254" s="189"/>
    </row>
    <row r="255" spans="1:6" ht="28.5" customHeight="1" x14ac:dyDescent="0.25">
      <c r="A255" s="187"/>
      <c r="B255" s="188"/>
      <c r="C255" s="189"/>
      <c r="D255" s="199"/>
      <c r="E255" s="189"/>
      <c r="F255" s="189"/>
    </row>
    <row r="256" spans="1:6" ht="28.5" customHeight="1" x14ac:dyDescent="0.25">
      <c r="A256" s="187"/>
      <c r="B256" s="188"/>
      <c r="C256" s="189"/>
      <c r="D256" s="199"/>
      <c r="E256" s="189"/>
      <c r="F256" s="189"/>
    </row>
    <row r="257" spans="1:6" ht="28.5" customHeight="1" x14ac:dyDescent="0.25">
      <c r="A257" s="187"/>
      <c r="B257" s="188"/>
      <c r="C257" s="189"/>
      <c r="D257" s="199"/>
      <c r="E257" s="189"/>
      <c r="F257" s="189"/>
    </row>
    <row r="258" spans="1:6" ht="28.5" customHeight="1" x14ac:dyDescent="0.25">
      <c r="A258" s="187"/>
      <c r="B258" s="188"/>
      <c r="C258" s="189"/>
      <c r="D258" s="199"/>
      <c r="E258" s="189"/>
      <c r="F258" s="189"/>
    </row>
    <row r="259" spans="1:6" ht="28.5" customHeight="1" x14ac:dyDescent="0.25">
      <c r="A259" s="187"/>
      <c r="B259" s="188"/>
      <c r="C259" s="189"/>
      <c r="D259" s="199"/>
      <c r="E259" s="189"/>
      <c r="F259" s="189"/>
    </row>
    <row r="260" spans="1:6" ht="28.5" customHeight="1" x14ac:dyDescent="0.25">
      <c r="A260" s="187"/>
      <c r="B260" s="188"/>
      <c r="C260" s="189"/>
      <c r="D260" s="199"/>
      <c r="E260" s="189"/>
      <c r="F260" s="189"/>
    </row>
    <row r="261" spans="1:6" ht="28.5" customHeight="1" x14ac:dyDescent="0.25">
      <c r="A261" s="187"/>
      <c r="B261" s="188"/>
      <c r="C261" s="189"/>
      <c r="D261" s="199"/>
      <c r="E261" s="189"/>
      <c r="F261" s="189"/>
    </row>
    <row r="262" spans="1:6" ht="28.5" customHeight="1" x14ac:dyDescent="0.25">
      <c r="A262" s="187"/>
      <c r="B262" s="188"/>
      <c r="C262" s="189"/>
      <c r="D262" s="199"/>
      <c r="E262" s="189"/>
      <c r="F262" s="189"/>
    </row>
    <row r="263" spans="1:6" ht="28.5" customHeight="1" x14ac:dyDescent="0.25">
      <c r="A263" s="187"/>
      <c r="B263" s="188"/>
      <c r="C263" s="189"/>
      <c r="D263" s="199"/>
      <c r="E263" s="189"/>
      <c r="F263" s="189"/>
    </row>
    <row r="264" spans="1:6" ht="28.5" customHeight="1" x14ac:dyDescent="0.25">
      <c r="A264" s="187"/>
      <c r="B264" s="188"/>
      <c r="C264" s="189"/>
      <c r="D264" s="199"/>
      <c r="E264" s="189"/>
      <c r="F264" s="189"/>
    </row>
    <row r="265" spans="1:6" ht="28.5" customHeight="1" x14ac:dyDescent="0.25">
      <c r="A265" s="187"/>
      <c r="B265" s="188"/>
      <c r="C265" s="189"/>
      <c r="D265" s="199"/>
      <c r="E265" s="189"/>
      <c r="F265" s="189"/>
    </row>
    <row r="266" spans="1:6" ht="28.5" customHeight="1" x14ac:dyDescent="0.25">
      <c r="A266" s="187"/>
      <c r="B266" s="188"/>
      <c r="C266" s="189"/>
      <c r="D266" s="199"/>
      <c r="E266" s="189"/>
      <c r="F266" s="189"/>
    </row>
    <row r="267" spans="1:6" ht="28.5" customHeight="1" x14ac:dyDescent="0.25">
      <c r="A267" s="187"/>
      <c r="B267" s="188"/>
      <c r="C267" s="189"/>
      <c r="D267" s="199"/>
      <c r="E267" s="189"/>
      <c r="F267" s="189"/>
    </row>
    <row r="268" spans="1:6" ht="28.5" customHeight="1" x14ac:dyDescent="0.25">
      <c r="A268" s="187"/>
      <c r="B268" s="188"/>
      <c r="C268" s="189"/>
      <c r="D268" s="199"/>
      <c r="E268" s="189"/>
      <c r="F268" s="189"/>
    </row>
    <row r="269" spans="1:6" ht="28.5" customHeight="1" x14ac:dyDescent="0.25">
      <c r="A269" s="187"/>
      <c r="B269" s="188"/>
      <c r="C269" s="189"/>
      <c r="D269" s="199"/>
      <c r="E269" s="189"/>
      <c r="F269" s="189"/>
    </row>
    <row r="270" spans="1:6" ht="28.5" customHeight="1" x14ac:dyDescent="0.25">
      <c r="A270" s="187"/>
      <c r="B270" s="188"/>
      <c r="C270" s="189"/>
      <c r="D270" s="199"/>
      <c r="E270" s="189"/>
      <c r="F270" s="189"/>
    </row>
    <row r="271" spans="1:6" ht="28.5" customHeight="1" x14ac:dyDescent="0.25">
      <c r="A271" s="187"/>
      <c r="B271" s="188"/>
      <c r="C271" s="189"/>
      <c r="D271" s="199"/>
      <c r="E271" s="189"/>
      <c r="F271" s="189"/>
    </row>
    <row r="272" spans="1:6" ht="28.5" customHeight="1" x14ac:dyDescent="0.25">
      <c r="A272" s="187"/>
      <c r="B272" s="188"/>
      <c r="C272" s="189"/>
      <c r="D272" s="199"/>
      <c r="E272" s="189"/>
      <c r="F272" s="189"/>
    </row>
    <row r="273" spans="1:6" ht="28.5" customHeight="1" x14ac:dyDescent="0.25">
      <c r="A273" s="187"/>
      <c r="B273" s="188"/>
      <c r="C273" s="189"/>
      <c r="D273" s="199"/>
      <c r="E273" s="189"/>
      <c r="F273" s="189"/>
    </row>
    <row r="274" spans="1:6" ht="28.5" customHeight="1" x14ac:dyDescent="0.25">
      <c r="A274" s="187"/>
      <c r="B274" s="188"/>
      <c r="C274" s="189"/>
      <c r="D274" s="199"/>
      <c r="E274" s="189"/>
      <c r="F274" s="189"/>
    </row>
    <row r="275" spans="1:6" ht="28.5" customHeight="1" x14ac:dyDescent="0.25">
      <c r="A275" s="187"/>
      <c r="B275" s="188"/>
      <c r="C275" s="189"/>
      <c r="D275" s="199"/>
      <c r="E275" s="189"/>
      <c r="F275" s="189"/>
    </row>
    <row r="276" spans="1:6" ht="28.5" customHeight="1" x14ac:dyDescent="0.25">
      <c r="A276" s="187"/>
      <c r="B276" s="188"/>
      <c r="C276" s="189"/>
      <c r="D276" s="199"/>
      <c r="E276" s="189"/>
      <c r="F276" s="189"/>
    </row>
    <row r="277" spans="1:6" ht="28.5" customHeight="1" x14ac:dyDescent="0.25">
      <c r="A277" s="187"/>
      <c r="B277" s="188"/>
      <c r="C277" s="189"/>
      <c r="D277" s="199"/>
      <c r="E277" s="189"/>
      <c r="F277" s="189"/>
    </row>
    <row r="278" spans="1:6" ht="28.5" customHeight="1" x14ac:dyDescent="0.25">
      <c r="A278" s="187"/>
      <c r="B278" s="188"/>
      <c r="C278" s="189"/>
      <c r="D278" s="199"/>
      <c r="E278" s="189"/>
      <c r="F278" s="189"/>
    </row>
    <row r="279" spans="1:6" ht="28.5" customHeight="1" x14ac:dyDescent="0.25">
      <c r="A279" s="187"/>
      <c r="B279" s="188"/>
      <c r="C279" s="189"/>
      <c r="D279" s="199"/>
      <c r="E279" s="189"/>
      <c r="F279" s="189"/>
    </row>
    <row r="280" spans="1:6" ht="28.5" customHeight="1" x14ac:dyDescent="0.25">
      <c r="A280" s="187"/>
      <c r="B280" s="188"/>
      <c r="C280" s="189"/>
      <c r="D280" s="199"/>
      <c r="E280" s="189"/>
      <c r="F280" s="189"/>
    </row>
    <row r="281" spans="1:6" ht="28.5" customHeight="1" x14ac:dyDescent="0.25">
      <c r="A281" s="187"/>
      <c r="B281" s="188"/>
      <c r="C281" s="189"/>
      <c r="D281" s="199"/>
      <c r="E281" s="189"/>
      <c r="F281" s="189"/>
    </row>
    <row r="282" spans="1:6" ht="28.5" customHeight="1" x14ac:dyDescent="0.25">
      <c r="A282" s="187"/>
      <c r="B282" s="188"/>
      <c r="C282" s="189"/>
      <c r="D282" s="199"/>
      <c r="E282" s="189"/>
      <c r="F282" s="189"/>
    </row>
    <row r="283" spans="1:6" ht="28.5" customHeight="1" x14ac:dyDescent="0.25">
      <c r="A283" s="187"/>
      <c r="B283" s="188"/>
      <c r="C283" s="189"/>
      <c r="D283" s="199"/>
      <c r="E283" s="189"/>
      <c r="F283" s="189"/>
    </row>
    <row r="284" spans="1:6" ht="28.5" customHeight="1" x14ac:dyDescent="0.25">
      <c r="A284" s="187"/>
      <c r="B284" s="188"/>
      <c r="C284" s="189"/>
      <c r="D284" s="199"/>
      <c r="E284" s="189"/>
      <c r="F284" s="189"/>
    </row>
    <row r="285" spans="1:6" ht="28.5" customHeight="1" x14ac:dyDescent="0.25">
      <c r="A285" s="187"/>
      <c r="B285" s="188"/>
      <c r="C285" s="189"/>
      <c r="D285" s="199"/>
      <c r="E285" s="189"/>
      <c r="F285" s="189"/>
    </row>
    <row r="286" spans="1:6" ht="28.5" customHeight="1" x14ac:dyDescent="0.25">
      <c r="A286" s="187"/>
      <c r="B286" s="188"/>
      <c r="C286" s="189"/>
      <c r="D286" s="199"/>
      <c r="E286" s="189"/>
      <c r="F286" s="189"/>
    </row>
    <row r="287" spans="1:6" ht="28.5" customHeight="1" x14ac:dyDescent="0.25">
      <c r="A287" s="187"/>
      <c r="B287" s="188"/>
      <c r="C287" s="189"/>
      <c r="D287" s="199"/>
      <c r="E287" s="189"/>
      <c r="F287" s="189"/>
    </row>
    <row r="288" spans="1:6" ht="28.5" customHeight="1" x14ac:dyDescent="0.25">
      <c r="A288" s="187"/>
      <c r="B288" s="188"/>
      <c r="C288" s="189"/>
      <c r="D288" s="199"/>
      <c r="E288" s="189"/>
      <c r="F288" s="189"/>
    </row>
    <row r="289" spans="1:6" ht="28.5" customHeight="1" x14ac:dyDescent="0.25">
      <c r="A289" s="187"/>
      <c r="B289" s="188"/>
      <c r="C289" s="189"/>
      <c r="D289" s="199"/>
      <c r="E289" s="189"/>
      <c r="F289" s="189"/>
    </row>
    <row r="290" spans="1:6" ht="28.5" customHeight="1" x14ac:dyDescent="0.25">
      <c r="A290" s="187"/>
      <c r="B290" s="188"/>
      <c r="C290" s="189"/>
      <c r="D290" s="199"/>
      <c r="E290" s="189"/>
      <c r="F290" s="189"/>
    </row>
    <row r="291" spans="1:6" ht="28.5" customHeight="1" x14ac:dyDescent="0.25">
      <c r="A291" s="187"/>
      <c r="B291" s="188"/>
      <c r="C291" s="189"/>
      <c r="D291" s="199"/>
      <c r="E291" s="189"/>
      <c r="F291" s="189"/>
    </row>
    <row r="292" spans="1:6" ht="28.5" customHeight="1" x14ac:dyDescent="0.25">
      <c r="A292" s="187"/>
      <c r="B292" s="188"/>
      <c r="C292" s="189"/>
      <c r="D292" s="199"/>
      <c r="E292" s="189"/>
      <c r="F292" s="189"/>
    </row>
    <row r="293" spans="1:6" ht="28.5" customHeight="1" x14ac:dyDescent="0.25">
      <c r="A293" s="187"/>
      <c r="B293" s="188"/>
      <c r="C293" s="189"/>
      <c r="D293" s="199"/>
      <c r="E293" s="189"/>
      <c r="F293" s="189"/>
    </row>
    <row r="294" spans="1:6" ht="28.5" customHeight="1" x14ac:dyDescent="0.25">
      <c r="A294" s="187"/>
      <c r="B294" s="188"/>
      <c r="C294" s="189"/>
      <c r="D294" s="199"/>
      <c r="E294" s="189"/>
      <c r="F294" s="189"/>
    </row>
    <row r="295" spans="1:6" ht="28.5" customHeight="1" x14ac:dyDescent="0.25">
      <c r="A295" s="187"/>
      <c r="B295" s="188"/>
      <c r="C295" s="189"/>
      <c r="D295" s="199"/>
      <c r="E295" s="189"/>
      <c r="F295" s="189"/>
    </row>
    <row r="296" spans="1:6" ht="28.5" customHeight="1" x14ac:dyDescent="0.25">
      <c r="A296" s="187"/>
      <c r="B296" s="188"/>
      <c r="C296" s="189"/>
      <c r="D296" s="199"/>
      <c r="E296" s="189"/>
      <c r="F296" s="189"/>
    </row>
    <row r="297" spans="1:6" ht="28.5" customHeight="1" x14ac:dyDescent="0.25">
      <c r="A297" s="187"/>
      <c r="B297" s="188"/>
      <c r="C297" s="189"/>
      <c r="D297" s="199"/>
      <c r="E297" s="189"/>
      <c r="F297" s="189"/>
    </row>
    <row r="298" spans="1:6" ht="28.5" customHeight="1" x14ac:dyDescent="0.25">
      <c r="A298" s="187"/>
      <c r="B298" s="188"/>
      <c r="C298" s="189"/>
      <c r="D298" s="199"/>
      <c r="E298" s="189"/>
      <c r="F298" s="189"/>
    </row>
    <row r="299" spans="1:6" ht="28.5" customHeight="1" x14ac:dyDescent="0.25">
      <c r="A299" s="187"/>
      <c r="B299" s="188"/>
      <c r="C299" s="189"/>
      <c r="D299" s="199"/>
      <c r="E299" s="189"/>
      <c r="F299" s="189"/>
    </row>
    <row r="300" spans="1:6" ht="28.5" customHeight="1" x14ac:dyDescent="0.25">
      <c r="A300" s="187"/>
      <c r="B300" s="188"/>
      <c r="C300" s="189"/>
      <c r="D300" s="199"/>
      <c r="E300" s="189"/>
      <c r="F300" s="189"/>
    </row>
    <row r="301" spans="1:6" ht="28.5" customHeight="1" x14ac:dyDescent="0.25">
      <c r="A301" s="187"/>
      <c r="B301" s="188"/>
      <c r="C301" s="189"/>
      <c r="D301" s="199"/>
      <c r="E301" s="189"/>
      <c r="F301" s="189"/>
    </row>
    <row r="302" spans="1:6" ht="28.5" customHeight="1" x14ac:dyDescent="0.25">
      <c r="A302" s="187"/>
      <c r="B302" s="188"/>
      <c r="C302" s="189"/>
      <c r="D302" s="199"/>
      <c r="E302" s="189"/>
      <c r="F302" s="189"/>
    </row>
    <row r="303" spans="1:6" ht="28.5" customHeight="1" x14ac:dyDescent="0.25">
      <c r="A303" s="187"/>
      <c r="B303" s="188"/>
      <c r="C303" s="189"/>
      <c r="D303" s="199"/>
      <c r="E303" s="189"/>
      <c r="F303" s="189"/>
    </row>
    <row r="304" spans="1:6" ht="28.5" customHeight="1" x14ac:dyDescent="0.25">
      <c r="A304" s="187"/>
      <c r="B304" s="188"/>
      <c r="C304" s="189"/>
      <c r="D304" s="199"/>
      <c r="E304" s="189"/>
      <c r="F304" s="189"/>
    </row>
    <row r="305" spans="1:6" ht="28.5" customHeight="1" x14ac:dyDescent="0.25">
      <c r="A305" s="187"/>
      <c r="B305" s="188"/>
      <c r="C305" s="189"/>
      <c r="D305" s="199"/>
      <c r="E305" s="189"/>
      <c r="F305" s="189"/>
    </row>
    <row r="306" spans="1:6" ht="28.5" customHeight="1" x14ac:dyDescent="0.25">
      <c r="A306" s="187"/>
      <c r="B306" s="188"/>
      <c r="C306" s="189"/>
      <c r="D306" s="199"/>
      <c r="E306" s="189"/>
      <c r="F306" s="189"/>
    </row>
    <row r="307" spans="1:6" ht="28.5" customHeight="1" x14ac:dyDescent="0.25">
      <c r="A307" s="187"/>
      <c r="B307" s="188"/>
      <c r="C307" s="189"/>
      <c r="D307" s="199"/>
      <c r="E307" s="189"/>
      <c r="F307" s="189"/>
    </row>
    <row r="308" spans="1:6" ht="28.5" customHeight="1" x14ac:dyDescent="0.25">
      <c r="A308" s="187"/>
      <c r="B308" s="188"/>
      <c r="C308" s="189"/>
      <c r="D308" s="199"/>
      <c r="E308" s="189"/>
      <c r="F308" s="189"/>
    </row>
    <row r="309" spans="1:6" ht="28.5" customHeight="1" x14ac:dyDescent="0.25">
      <c r="A309" s="187"/>
      <c r="B309" s="188"/>
      <c r="C309" s="189"/>
      <c r="D309" s="199"/>
      <c r="E309" s="189"/>
      <c r="F309" s="189"/>
    </row>
    <row r="310" spans="1:6" ht="28.5" customHeight="1" x14ac:dyDescent="0.25">
      <c r="A310" s="187"/>
      <c r="B310" s="188"/>
      <c r="C310" s="189"/>
      <c r="D310" s="199"/>
      <c r="E310" s="189"/>
      <c r="F310" s="189"/>
    </row>
    <row r="311" spans="1:6" ht="28.5" customHeight="1" x14ac:dyDescent="0.25">
      <c r="A311" s="187"/>
      <c r="B311" s="188"/>
      <c r="C311" s="189"/>
      <c r="D311" s="199"/>
      <c r="E311" s="189"/>
      <c r="F311" s="189"/>
    </row>
    <row r="312" spans="1:6" ht="28.5" customHeight="1" x14ac:dyDescent="0.25">
      <c r="A312" s="187"/>
      <c r="B312" s="188"/>
      <c r="C312" s="189"/>
      <c r="D312" s="199"/>
      <c r="E312" s="189"/>
      <c r="F312" s="189"/>
    </row>
    <row r="313" spans="1:6" ht="28.5" customHeight="1" x14ac:dyDescent="0.25">
      <c r="A313" s="187"/>
      <c r="B313" s="188"/>
      <c r="C313" s="189"/>
      <c r="D313" s="199"/>
      <c r="E313" s="189"/>
      <c r="F313" s="189"/>
    </row>
    <row r="314" spans="1:6" ht="28.5" customHeight="1" x14ac:dyDescent="0.25">
      <c r="A314" s="187"/>
      <c r="B314" s="188"/>
      <c r="C314" s="189"/>
      <c r="D314" s="199"/>
      <c r="E314" s="189"/>
      <c r="F314" s="189"/>
    </row>
    <row r="315" spans="1:6" ht="28.5" customHeight="1" x14ac:dyDescent="0.25">
      <c r="A315" s="187"/>
      <c r="B315" s="188"/>
      <c r="C315" s="189"/>
      <c r="D315" s="199"/>
      <c r="E315" s="189"/>
      <c r="F315" s="189"/>
    </row>
    <row r="316" spans="1:6" ht="28.5" customHeight="1" x14ac:dyDescent="0.25">
      <c r="A316" s="187"/>
      <c r="B316" s="188"/>
      <c r="C316" s="189"/>
      <c r="D316" s="199"/>
      <c r="E316" s="189"/>
      <c r="F316" s="189"/>
    </row>
    <row r="317" spans="1:6" ht="28.5" customHeight="1" x14ac:dyDescent="0.25">
      <c r="A317" s="187"/>
      <c r="B317" s="188"/>
      <c r="C317" s="189"/>
      <c r="D317" s="199"/>
      <c r="E317" s="189"/>
      <c r="F317" s="189"/>
    </row>
    <row r="318" spans="1:6" ht="28.5" customHeight="1" x14ac:dyDescent="0.25">
      <c r="A318" s="187"/>
      <c r="B318" s="188"/>
      <c r="C318" s="189"/>
      <c r="D318" s="199"/>
      <c r="E318" s="189"/>
      <c r="F318" s="189"/>
    </row>
    <row r="319" spans="1:6" ht="28.5" customHeight="1" x14ac:dyDescent="0.25">
      <c r="A319" s="187"/>
      <c r="B319" s="188"/>
      <c r="C319" s="189"/>
      <c r="D319" s="199"/>
      <c r="E319" s="189"/>
      <c r="F319" s="189"/>
    </row>
    <row r="320" spans="1:6" ht="28.5" customHeight="1" x14ac:dyDescent="0.25">
      <c r="A320" s="187"/>
      <c r="B320" s="188"/>
      <c r="C320" s="189"/>
      <c r="D320" s="199"/>
      <c r="E320" s="189"/>
      <c r="F320" s="189"/>
    </row>
    <row r="321" spans="1:6" ht="28.5" customHeight="1" x14ac:dyDescent="0.25">
      <c r="A321" s="187"/>
      <c r="B321" s="188"/>
      <c r="C321" s="189"/>
      <c r="D321" s="199"/>
      <c r="E321" s="189"/>
      <c r="F321" s="189"/>
    </row>
    <row r="322" spans="1:6" ht="28.5" customHeight="1" x14ac:dyDescent="0.25">
      <c r="A322" s="187"/>
      <c r="B322" s="188"/>
      <c r="C322" s="189"/>
      <c r="D322" s="199"/>
      <c r="E322" s="189"/>
      <c r="F322" s="189"/>
    </row>
    <row r="323" spans="1:6" ht="28.5" customHeight="1" x14ac:dyDescent="0.25">
      <c r="A323" s="187"/>
      <c r="B323" s="188"/>
      <c r="C323" s="189"/>
      <c r="D323" s="199"/>
      <c r="E323" s="189"/>
      <c r="F323" s="189"/>
    </row>
    <row r="324" spans="1:6" ht="28.5" customHeight="1" x14ac:dyDescent="0.25">
      <c r="A324" s="187"/>
      <c r="B324" s="188"/>
      <c r="C324" s="189"/>
      <c r="D324" s="199"/>
      <c r="E324" s="189"/>
      <c r="F324" s="189"/>
    </row>
    <row r="325" spans="1:6" ht="28.5" customHeight="1" x14ac:dyDescent="0.25">
      <c r="A325" s="187"/>
      <c r="B325" s="188"/>
      <c r="C325" s="189"/>
      <c r="D325" s="199"/>
      <c r="E325" s="189"/>
      <c r="F325" s="189"/>
    </row>
    <row r="326" spans="1:6" ht="28.5" customHeight="1" x14ac:dyDescent="0.25">
      <c r="A326" s="187"/>
      <c r="B326" s="188"/>
      <c r="C326" s="189"/>
      <c r="D326" s="199"/>
      <c r="E326" s="189"/>
      <c r="F326" s="189"/>
    </row>
    <row r="327" spans="1:6" ht="28.5" customHeight="1" x14ac:dyDescent="0.25">
      <c r="A327" s="187"/>
      <c r="B327" s="188"/>
      <c r="C327" s="189"/>
      <c r="D327" s="199"/>
      <c r="E327" s="189"/>
      <c r="F327" s="189"/>
    </row>
    <row r="328" spans="1:6" ht="28.5" customHeight="1" x14ac:dyDescent="0.25">
      <c r="A328" s="187"/>
      <c r="B328" s="188"/>
      <c r="C328" s="189"/>
      <c r="D328" s="199"/>
      <c r="E328" s="189"/>
      <c r="F328" s="189"/>
    </row>
    <row r="329" spans="1:6" ht="28.5" customHeight="1" x14ac:dyDescent="0.25">
      <c r="A329" s="187"/>
      <c r="B329" s="188"/>
      <c r="C329" s="189"/>
      <c r="D329" s="199"/>
      <c r="E329" s="189"/>
      <c r="F329" s="189"/>
    </row>
    <row r="330" spans="1:6" ht="28.5" customHeight="1" x14ac:dyDescent="0.25">
      <c r="A330" s="187"/>
      <c r="B330" s="188"/>
      <c r="C330" s="189"/>
      <c r="D330" s="199"/>
      <c r="E330" s="189"/>
      <c r="F330" s="189"/>
    </row>
    <row r="331" spans="1:6" ht="28.5" customHeight="1" x14ac:dyDescent="0.25">
      <c r="A331" s="187"/>
      <c r="B331" s="188"/>
      <c r="C331" s="189"/>
      <c r="D331" s="199"/>
      <c r="E331" s="189"/>
      <c r="F331" s="189"/>
    </row>
    <row r="332" spans="1:6" ht="28.5" customHeight="1" x14ac:dyDescent="0.25">
      <c r="A332" s="187"/>
      <c r="B332" s="188"/>
      <c r="C332" s="189"/>
      <c r="D332" s="199"/>
      <c r="E332" s="189"/>
      <c r="F332" s="189"/>
    </row>
    <row r="333" spans="1:6" ht="28.5" customHeight="1" x14ac:dyDescent="0.25">
      <c r="A333" s="187"/>
      <c r="B333" s="188"/>
      <c r="C333" s="189"/>
      <c r="D333" s="199"/>
      <c r="E333" s="189"/>
      <c r="F333" s="189"/>
    </row>
    <row r="334" spans="1:6" ht="28.5" customHeight="1" x14ac:dyDescent="0.25">
      <c r="A334" s="187"/>
      <c r="B334" s="188"/>
      <c r="C334" s="189"/>
      <c r="D334" s="199"/>
      <c r="E334" s="189"/>
      <c r="F334" s="189"/>
    </row>
    <row r="335" spans="1:6" ht="28.5" customHeight="1" x14ac:dyDescent="0.25">
      <c r="A335" s="187"/>
      <c r="B335" s="188"/>
      <c r="C335" s="189"/>
      <c r="D335" s="199"/>
      <c r="E335" s="189"/>
      <c r="F335" s="189"/>
    </row>
    <row r="336" spans="1:6" ht="28.5" customHeight="1" x14ac:dyDescent="0.25">
      <c r="A336" s="187"/>
      <c r="B336" s="188"/>
      <c r="C336" s="189"/>
      <c r="D336" s="199"/>
      <c r="E336" s="189"/>
      <c r="F336" s="189"/>
    </row>
    <row r="337" spans="1:6" ht="28.5" customHeight="1" x14ac:dyDescent="0.25">
      <c r="A337" s="187"/>
      <c r="B337" s="188"/>
      <c r="C337" s="189"/>
      <c r="D337" s="199"/>
      <c r="E337" s="189"/>
      <c r="F337" s="189"/>
    </row>
    <row r="338" spans="1:6" ht="28.5" customHeight="1" x14ac:dyDescent="0.25">
      <c r="A338" s="187"/>
      <c r="B338" s="188"/>
      <c r="C338" s="189"/>
      <c r="D338" s="199"/>
      <c r="E338" s="189"/>
      <c r="F338" s="189"/>
    </row>
    <row r="339" spans="1:6" ht="28.5" customHeight="1" x14ac:dyDescent="0.25">
      <c r="A339" s="187"/>
      <c r="B339" s="188"/>
      <c r="C339" s="189"/>
      <c r="D339" s="199"/>
      <c r="E339" s="189"/>
      <c r="F339" s="189"/>
    </row>
    <row r="340" spans="1:6" ht="28.5" customHeight="1" x14ac:dyDescent="0.25">
      <c r="A340" s="187"/>
      <c r="B340" s="188"/>
      <c r="C340" s="189"/>
      <c r="D340" s="199"/>
      <c r="E340" s="189"/>
      <c r="F340" s="189"/>
    </row>
    <row r="341" spans="1:6" ht="28.5" customHeight="1" x14ac:dyDescent="0.25">
      <c r="A341" s="187"/>
      <c r="B341" s="188"/>
      <c r="C341" s="189"/>
      <c r="D341" s="199"/>
      <c r="E341" s="189"/>
      <c r="F341" s="189"/>
    </row>
    <row r="342" spans="1:6" ht="28.5" customHeight="1" x14ac:dyDescent="0.25">
      <c r="A342" s="187"/>
      <c r="B342" s="188"/>
      <c r="C342" s="189"/>
      <c r="D342" s="199"/>
      <c r="E342" s="189"/>
      <c r="F342" s="189"/>
    </row>
    <row r="343" spans="1:6" ht="28.5" customHeight="1" x14ac:dyDescent="0.25">
      <c r="A343" s="187"/>
      <c r="B343" s="188"/>
      <c r="C343" s="189"/>
      <c r="D343" s="199"/>
      <c r="E343" s="189"/>
      <c r="F343" s="189"/>
    </row>
    <row r="344" spans="1:6" ht="28.5" customHeight="1" x14ac:dyDescent="0.25">
      <c r="A344" s="187"/>
      <c r="B344" s="188"/>
      <c r="C344" s="189"/>
      <c r="D344" s="199"/>
      <c r="E344" s="189"/>
      <c r="F344" s="189"/>
    </row>
    <row r="345" spans="1:6" ht="28.5" customHeight="1" x14ac:dyDescent="0.25">
      <c r="A345" s="187"/>
      <c r="B345" s="188"/>
      <c r="C345" s="189"/>
      <c r="D345" s="199"/>
      <c r="E345" s="189"/>
      <c r="F345" s="189"/>
    </row>
    <row r="346" spans="1:6" ht="28.5" customHeight="1" x14ac:dyDescent="0.25">
      <c r="A346" s="187"/>
      <c r="B346" s="188"/>
      <c r="C346" s="189"/>
      <c r="D346" s="199"/>
      <c r="E346" s="189"/>
      <c r="F346" s="189"/>
    </row>
    <row r="347" spans="1:6" ht="28.5" customHeight="1" x14ac:dyDescent="0.25">
      <c r="A347" s="187"/>
      <c r="B347" s="188"/>
      <c r="C347" s="189"/>
      <c r="D347" s="199"/>
      <c r="E347" s="189"/>
      <c r="F347" s="189"/>
    </row>
    <row r="348" spans="1:6" ht="28.5" customHeight="1" x14ac:dyDescent="0.25">
      <c r="A348" s="187"/>
      <c r="B348" s="188"/>
      <c r="C348" s="189"/>
      <c r="D348" s="199"/>
      <c r="E348" s="189"/>
      <c r="F348" s="189"/>
    </row>
    <row r="349" spans="1:6" ht="28.5" customHeight="1" x14ac:dyDescent="0.25">
      <c r="A349" s="187"/>
      <c r="B349" s="188"/>
      <c r="C349" s="189"/>
      <c r="D349" s="199"/>
      <c r="E349" s="189"/>
      <c r="F349" s="189"/>
    </row>
    <row r="350" spans="1:6" ht="28.5" customHeight="1" x14ac:dyDescent="0.25">
      <c r="A350" s="187"/>
      <c r="B350" s="188"/>
      <c r="C350" s="189"/>
      <c r="D350" s="199"/>
      <c r="E350" s="189"/>
      <c r="F350" s="189"/>
    </row>
    <row r="351" spans="1:6" ht="28.5" customHeight="1" x14ac:dyDescent="0.25">
      <c r="A351" s="187"/>
      <c r="B351" s="188"/>
      <c r="C351" s="189"/>
      <c r="D351" s="199"/>
      <c r="E351" s="189"/>
      <c r="F351" s="189"/>
    </row>
    <row r="352" spans="1:6" ht="28.5" customHeight="1" x14ac:dyDescent="0.25">
      <c r="A352" s="187"/>
      <c r="B352" s="188"/>
      <c r="C352" s="189"/>
      <c r="D352" s="199"/>
      <c r="E352" s="189"/>
      <c r="F352" s="189"/>
    </row>
    <row r="353" spans="1:6" ht="28.5" customHeight="1" x14ac:dyDescent="0.25">
      <c r="A353" s="187"/>
      <c r="B353" s="188"/>
      <c r="C353" s="189"/>
      <c r="D353" s="199"/>
      <c r="E353" s="189"/>
      <c r="F353" s="189"/>
    </row>
    <row r="354" spans="1:6" ht="28.5" customHeight="1" x14ac:dyDescent="0.25">
      <c r="A354" s="187"/>
      <c r="B354" s="188"/>
      <c r="C354" s="189"/>
      <c r="D354" s="199"/>
      <c r="E354" s="189"/>
      <c r="F354" s="189"/>
    </row>
    <row r="355" spans="1:6" ht="28.5" customHeight="1" x14ac:dyDescent="0.25">
      <c r="A355" s="187"/>
      <c r="B355" s="188"/>
      <c r="C355" s="189"/>
      <c r="D355" s="199"/>
      <c r="E355" s="189"/>
      <c r="F355" s="189"/>
    </row>
    <row r="356" spans="1:6" ht="28.5" customHeight="1" x14ac:dyDescent="0.25">
      <c r="A356" s="187"/>
      <c r="B356" s="188"/>
      <c r="C356" s="189"/>
      <c r="D356" s="199"/>
      <c r="E356" s="189"/>
      <c r="F356" s="189"/>
    </row>
    <row r="357" spans="1:6" ht="28.5" customHeight="1" x14ac:dyDescent="0.25">
      <c r="A357" s="187"/>
      <c r="B357" s="188"/>
      <c r="C357" s="189"/>
      <c r="D357" s="199"/>
      <c r="E357" s="189"/>
      <c r="F357" s="189"/>
    </row>
    <row r="358" spans="1:6" ht="28.5" customHeight="1" x14ac:dyDescent="0.25">
      <c r="A358" s="187"/>
      <c r="B358" s="188"/>
      <c r="C358" s="189"/>
      <c r="D358" s="199"/>
      <c r="E358" s="189"/>
      <c r="F358" s="189"/>
    </row>
    <row r="359" spans="1:6" ht="28.5" customHeight="1" x14ac:dyDescent="0.25">
      <c r="A359" s="187"/>
      <c r="B359" s="188"/>
      <c r="C359" s="189"/>
      <c r="D359" s="199"/>
      <c r="E359" s="189"/>
      <c r="F359" s="189"/>
    </row>
    <row r="360" spans="1:6" ht="28.5" customHeight="1" x14ac:dyDescent="0.25">
      <c r="A360" s="187"/>
      <c r="B360" s="188"/>
      <c r="C360" s="189"/>
      <c r="D360" s="199"/>
      <c r="E360" s="189"/>
      <c r="F360" s="189"/>
    </row>
    <row r="361" spans="1:6" ht="28.5" customHeight="1" x14ac:dyDescent="0.25">
      <c r="A361" s="187"/>
      <c r="B361" s="188"/>
      <c r="C361" s="189"/>
      <c r="D361" s="199"/>
      <c r="E361" s="189"/>
      <c r="F361" s="189"/>
    </row>
    <row r="362" spans="1:6" ht="28.5" customHeight="1" x14ac:dyDescent="0.25">
      <c r="A362" s="187"/>
      <c r="B362" s="188"/>
      <c r="C362" s="189"/>
      <c r="D362" s="199"/>
      <c r="E362" s="189"/>
      <c r="F362" s="189"/>
    </row>
    <row r="363" spans="1:6" ht="28.5" customHeight="1" x14ac:dyDescent="0.25">
      <c r="A363" s="187"/>
      <c r="B363" s="188"/>
      <c r="C363" s="189"/>
      <c r="D363" s="199"/>
      <c r="E363" s="189"/>
      <c r="F363" s="189"/>
    </row>
    <row r="364" spans="1:6" ht="28.5" customHeight="1" x14ac:dyDescent="0.25">
      <c r="A364" s="187"/>
      <c r="B364" s="188"/>
      <c r="C364" s="189"/>
      <c r="D364" s="199"/>
      <c r="E364" s="189"/>
      <c r="F364" s="189"/>
    </row>
    <row r="365" spans="1:6" ht="28.5" customHeight="1" x14ac:dyDescent="0.25">
      <c r="A365" s="187"/>
      <c r="B365" s="188"/>
      <c r="C365" s="189"/>
      <c r="D365" s="199"/>
      <c r="E365" s="189"/>
      <c r="F365" s="189"/>
    </row>
    <row r="366" spans="1:6" ht="28.5" customHeight="1" x14ac:dyDescent="0.25">
      <c r="A366" s="187"/>
      <c r="B366" s="188"/>
      <c r="C366" s="189"/>
      <c r="D366" s="199"/>
      <c r="E366" s="189"/>
      <c r="F366" s="189"/>
    </row>
    <row r="367" spans="1:6" ht="28.5" customHeight="1" x14ac:dyDescent="0.25">
      <c r="A367" s="187"/>
      <c r="B367" s="188"/>
      <c r="C367" s="189"/>
      <c r="D367" s="199"/>
      <c r="E367" s="189"/>
      <c r="F367" s="189"/>
    </row>
    <row r="368" spans="1:6" ht="28.5" customHeight="1" x14ac:dyDescent="0.25">
      <c r="A368" s="187"/>
      <c r="B368" s="188"/>
      <c r="C368" s="189"/>
      <c r="D368" s="199"/>
      <c r="E368" s="189"/>
      <c r="F368" s="189"/>
    </row>
    <row r="369" spans="1:6" ht="28.5" customHeight="1" x14ac:dyDescent="0.25">
      <c r="A369" s="187"/>
      <c r="B369" s="188"/>
      <c r="C369" s="189"/>
      <c r="D369" s="199"/>
      <c r="E369" s="189"/>
      <c r="F369" s="189"/>
    </row>
    <row r="370" spans="1:6" ht="28.5" customHeight="1" x14ac:dyDescent="0.25">
      <c r="A370" s="187"/>
      <c r="B370" s="188"/>
      <c r="C370" s="189"/>
      <c r="D370" s="199"/>
      <c r="E370" s="189"/>
      <c r="F370" s="189"/>
    </row>
    <row r="371" spans="1:6" ht="28.5" customHeight="1" x14ac:dyDescent="0.25">
      <c r="A371" s="187"/>
      <c r="B371" s="188"/>
      <c r="C371" s="189"/>
      <c r="D371" s="199"/>
      <c r="E371" s="189"/>
      <c r="F371" s="189"/>
    </row>
    <row r="372" spans="1:6" ht="28.5" customHeight="1" x14ac:dyDescent="0.25">
      <c r="A372" s="187"/>
      <c r="B372" s="188"/>
      <c r="C372" s="189"/>
      <c r="D372" s="199"/>
      <c r="E372" s="189"/>
      <c r="F372" s="189"/>
    </row>
    <row r="373" spans="1:6" ht="28.5" customHeight="1" x14ac:dyDescent="0.25">
      <c r="A373" s="187"/>
      <c r="B373" s="188"/>
      <c r="C373" s="189"/>
      <c r="D373" s="199"/>
      <c r="E373" s="189"/>
      <c r="F373" s="189"/>
    </row>
    <row r="374" spans="1:6" ht="28.5" customHeight="1" x14ac:dyDescent="0.25">
      <c r="A374" s="187"/>
      <c r="B374" s="188"/>
      <c r="C374" s="189"/>
      <c r="D374" s="199"/>
      <c r="E374" s="189"/>
      <c r="F374" s="189"/>
    </row>
    <row r="375" spans="1:6" ht="28.5" customHeight="1" x14ac:dyDescent="0.25">
      <c r="A375" s="187"/>
      <c r="B375" s="188"/>
      <c r="C375" s="189"/>
      <c r="D375" s="199"/>
      <c r="E375" s="189"/>
      <c r="F375" s="189"/>
    </row>
    <row r="376" spans="1:6" ht="28.5" customHeight="1" x14ac:dyDescent="0.25">
      <c r="A376" s="187"/>
      <c r="B376" s="188"/>
      <c r="C376" s="189"/>
      <c r="D376" s="199"/>
      <c r="E376" s="189"/>
      <c r="F376" s="189"/>
    </row>
    <row r="377" spans="1:6" ht="28.5" customHeight="1" x14ac:dyDescent="0.25">
      <c r="A377" s="187"/>
      <c r="B377" s="188"/>
      <c r="C377" s="189"/>
      <c r="D377" s="199"/>
      <c r="E377" s="189"/>
      <c r="F377" s="189"/>
    </row>
    <row r="378" spans="1:6" ht="28.5" customHeight="1" x14ac:dyDescent="0.25">
      <c r="A378" s="187"/>
      <c r="B378" s="188"/>
      <c r="C378" s="189"/>
      <c r="D378" s="199"/>
      <c r="E378" s="189"/>
      <c r="F378" s="189"/>
    </row>
    <row r="379" spans="1:6" ht="28.5" customHeight="1" x14ac:dyDescent="0.25">
      <c r="A379" s="187"/>
      <c r="B379" s="188"/>
      <c r="C379" s="189"/>
      <c r="D379" s="199"/>
      <c r="E379" s="189"/>
      <c r="F379" s="189"/>
    </row>
    <row r="380" spans="1:6" ht="28.5" customHeight="1" x14ac:dyDescent="0.25">
      <c r="A380" s="187"/>
      <c r="B380" s="188"/>
      <c r="C380" s="189"/>
      <c r="D380" s="199"/>
      <c r="E380" s="189"/>
      <c r="F380" s="189"/>
    </row>
    <row r="381" spans="1:6" ht="28.5" customHeight="1" x14ac:dyDescent="0.25">
      <c r="A381" s="187"/>
      <c r="B381" s="188"/>
      <c r="C381" s="189"/>
      <c r="D381" s="199"/>
      <c r="E381" s="189"/>
      <c r="F381" s="189"/>
    </row>
    <row r="382" spans="1:6" ht="28.5" customHeight="1" x14ac:dyDescent="0.25">
      <c r="A382" s="187"/>
      <c r="B382" s="188"/>
      <c r="C382" s="189"/>
      <c r="D382" s="199"/>
      <c r="E382" s="189"/>
      <c r="F382" s="189"/>
    </row>
    <row r="383" spans="1:6" ht="28.5" customHeight="1" x14ac:dyDescent="0.25">
      <c r="A383" s="187"/>
      <c r="B383" s="188"/>
      <c r="C383" s="189"/>
      <c r="D383" s="199"/>
      <c r="E383" s="189"/>
      <c r="F383" s="189"/>
    </row>
    <row r="384" spans="1:6" ht="28.5" customHeight="1" x14ac:dyDescent="0.25">
      <c r="A384" s="187"/>
      <c r="B384" s="188"/>
      <c r="C384" s="189"/>
      <c r="D384" s="199"/>
      <c r="E384" s="189"/>
      <c r="F384" s="189"/>
    </row>
    <row r="385" spans="1:6" ht="28.5" customHeight="1" x14ac:dyDescent="0.25">
      <c r="A385" s="187"/>
      <c r="B385" s="188"/>
      <c r="C385" s="189"/>
      <c r="D385" s="199"/>
      <c r="E385" s="189"/>
      <c r="F385" s="189"/>
    </row>
    <row r="386" spans="1:6" ht="28.5" customHeight="1" x14ac:dyDescent="0.25">
      <c r="A386" s="187"/>
      <c r="B386" s="188"/>
      <c r="C386" s="189"/>
      <c r="D386" s="199"/>
      <c r="E386" s="189"/>
      <c r="F386" s="189"/>
    </row>
    <row r="387" spans="1:6" ht="28.5" customHeight="1" x14ac:dyDescent="0.25">
      <c r="A387" s="187"/>
      <c r="B387" s="188"/>
      <c r="C387" s="189"/>
      <c r="D387" s="199"/>
      <c r="E387" s="189"/>
      <c r="F387" s="189"/>
    </row>
    <row r="388" spans="1:6" ht="28.5" customHeight="1" x14ac:dyDescent="0.25">
      <c r="A388" s="187"/>
      <c r="B388" s="188"/>
      <c r="C388" s="189"/>
      <c r="D388" s="199"/>
      <c r="E388" s="189"/>
      <c r="F388" s="189"/>
    </row>
    <row r="389" spans="1:6" ht="28.5" customHeight="1" x14ac:dyDescent="0.25">
      <c r="A389" s="187"/>
      <c r="B389" s="188"/>
      <c r="C389" s="189"/>
      <c r="D389" s="199"/>
      <c r="E389" s="189"/>
      <c r="F389" s="189"/>
    </row>
    <row r="390" spans="1:6" ht="28.5" customHeight="1" x14ac:dyDescent="0.25">
      <c r="A390" s="187"/>
      <c r="B390" s="188"/>
      <c r="C390" s="189"/>
      <c r="D390" s="199"/>
      <c r="E390" s="189"/>
      <c r="F390" s="189"/>
    </row>
    <row r="391" spans="1:6" ht="28.5" customHeight="1" x14ac:dyDescent="0.25">
      <c r="A391" s="187"/>
      <c r="B391" s="188"/>
      <c r="C391" s="189"/>
      <c r="D391" s="199"/>
      <c r="E391" s="189"/>
      <c r="F391" s="189"/>
    </row>
    <row r="392" spans="1:6" ht="28.5" customHeight="1" x14ac:dyDescent="0.25">
      <c r="A392" s="187"/>
      <c r="B392" s="188"/>
      <c r="C392" s="189"/>
      <c r="D392" s="199"/>
      <c r="E392" s="189"/>
      <c r="F392" s="189"/>
    </row>
    <row r="393" spans="1:6" ht="28.5" customHeight="1" x14ac:dyDescent="0.25">
      <c r="A393" s="187"/>
      <c r="B393" s="188"/>
      <c r="C393" s="189"/>
      <c r="D393" s="199"/>
      <c r="E393" s="189"/>
      <c r="F393" s="189"/>
    </row>
    <row r="394" spans="1:6" ht="28.5" customHeight="1" x14ac:dyDescent="0.25">
      <c r="A394" s="187"/>
      <c r="B394" s="188"/>
      <c r="C394" s="189"/>
      <c r="D394" s="199"/>
      <c r="E394" s="189"/>
      <c r="F394" s="189"/>
    </row>
    <row r="395" spans="1:6" ht="28.5" customHeight="1" x14ac:dyDescent="0.25">
      <c r="A395" s="187"/>
      <c r="B395" s="188"/>
      <c r="C395" s="189"/>
      <c r="D395" s="199"/>
      <c r="E395" s="189"/>
      <c r="F395" s="189"/>
    </row>
    <row r="396" spans="1:6" ht="28.5" customHeight="1" x14ac:dyDescent="0.25">
      <c r="A396" s="187"/>
      <c r="B396" s="188"/>
      <c r="C396" s="189"/>
      <c r="D396" s="199"/>
      <c r="E396" s="189"/>
      <c r="F396" s="189"/>
    </row>
    <row r="397" spans="1:6" ht="28.5" customHeight="1" x14ac:dyDescent="0.25">
      <c r="A397" s="187"/>
      <c r="B397" s="188"/>
      <c r="C397" s="189"/>
      <c r="D397" s="199"/>
      <c r="E397" s="189"/>
      <c r="F397" s="189"/>
    </row>
    <row r="398" spans="1:6" ht="28.5" customHeight="1" x14ac:dyDescent="0.25">
      <c r="A398" s="187"/>
      <c r="B398" s="188"/>
      <c r="C398" s="189"/>
      <c r="D398" s="199"/>
      <c r="E398" s="189"/>
      <c r="F398" s="189"/>
    </row>
    <row r="399" spans="1:6" ht="28.5" customHeight="1" x14ac:dyDescent="0.25">
      <c r="A399" s="187"/>
      <c r="B399" s="188"/>
      <c r="C399" s="189"/>
      <c r="D399" s="199"/>
      <c r="E399" s="189"/>
      <c r="F399" s="189"/>
    </row>
    <row r="400" spans="1:6" ht="28.5" customHeight="1" x14ac:dyDescent="0.25">
      <c r="A400" s="187"/>
      <c r="B400" s="188"/>
      <c r="C400" s="189"/>
      <c r="D400" s="199"/>
      <c r="E400" s="189"/>
      <c r="F400" s="189"/>
    </row>
    <row r="401" spans="1:6" ht="28.5" customHeight="1" x14ac:dyDescent="0.25">
      <c r="A401" s="187"/>
      <c r="B401" s="188"/>
      <c r="C401" s="189"/>
      <c r="D401" s="199"/>
      <c r="E401" s="189"/>
      <c r="F401" s="189"/>
    </row>
    <row r="402" spans="1:6" ht="28.5" customHeight="1" x14ac:dyDescent="0.25">
      <c r="A402" s="187"/>
      <c r="B402" s="188"/>
      <c r="C402" s="189"/>
      <c r="D402" s="199"/>
      <c r="E402" s="189"/>
      <c r="F402" s="189"/>
    </row>
    <row r="403" spans="1:6" ht="28.5" customHeight="1" x14ac:dyDescent="0.25">
      <c r="A403" s="187"/>
      <c r="B403" s="188"/>
      <c r="C403" s="189"/>
      <c r="D403" s="199"/>
      <c r="E403" s="189"/>
      <c r="F403" s="189"/>
    </row>
    <row r="404" spans="1:6" ht="28.5" customHeight="1" x14ac:dyDescent="0.25">
      <c r="A404" s="187"/>
      <c r="B404" s="188"/>
      <c r="C404" s="189"/>
      <c r="D404" s="199"/>
      <c r="E404" s="189"/>
      <c r="F404" s="189"/>
    </row>
    <row r="405" spans="1:6" ht="28.5" customHeight="1" x14ac:dyDescent="0.25">
      <c r="A405" s="187"/>
      <c r="B405" s="188"/>
      <c r="C405" s="189"/>
      <c r="D405" s="199"/>
      <c r="E405" s="189"/>
      <c r="F405" s="189"/>
    </row>
    <row r="406" spans="1:6" ht="28.5" customHeight="1" x14ac:dyDescent="0.25">
      <c r="A406" s="187"/>
      <c r="B406" s="188"/>
      <c r="C406" s="189"/>
      <c r="D406" s="199"/>
      <c r="E406" s="189"/>
      <c r="F406" s="189"/>
    </row>
    <row r="407" spans="1:6" ht="28.5" customHeight="1" x14ac:dyDescent="0.25">
      <c r="A407" s="187"/>
      <c r="B407" s="188"/>
      <c r="C407" s="189"/>
      <c r="D407" s="199"/>
      <c r="E407" s="189"/>
      <c r="F407" s="189"/>
    </row>
    <row r="408" spans="1:6" ht="28.5" customHeight="1" x14ac:dyDescent="0.25">
      <c r="A408" s="187"/>
      <c r="B408" s="188"/>
      <c r="C408" s="189"/>
      <c r="D408" s="199"/>
      <c r="E408" s="189"/>
      <c r="F408" s="189"/>
    </row>
    <row r="409" spans="1:6" ht="28.5" customHeight="1" x14ac:dyDescent="0.25">
      <c r="A409" s="187"/>
      <c r="B409" s="188"/>
      <c r="C409" s="189"/>
      <c r="D409" s="199"/>
      <c r="E409" s="189"/>
      <c r="F409" s="189"/>
    </row>
    <row r="410" spans="1:6" ht="28.5" customHeight="1" x14ac:dyDescent="0.25">
      <c r="A410" s="187"/>
      <c r="B410" s="188"/>
      <c r="C410" s="189"/>
      <c r="D410" s="199"/>
      <c r="E410" s="189"/>
      <c r="F410" s="189"/>
    </row>
    <row r="411" spans="1:6" ht="28.5" customHeight="1" x14ac:dyDescent="0.25">
      <c r="A411" s="187"/>
      <c r="B411" s="188"/>
      <c r="C411" s="189"/>
      <c r="D411" s="199"/>
      <c r="E411" s="189"/>
      <c r="F411" s="189"/>
    </row>
    <row r="412" spans="1:6" ht="28.5" customHeight="1" x14ac:dyDescent="0.25">
      <c r="A412" s="187"/>
      <c r="B412" s="188"/>
      <c r="C412" s="189"/>
      <c r="D412" s="199"/>
      <c r="E412" s="189"/>
      <c r="F412" s="189"/>
    </row>
    <row r="413" spans="1:6" ht="28.5" customHeight="1" x14ac:dyDescent="0.25">
      <c r="A413" s="187"/>
      <c r="B413" s="188"/>
      <c r="C413" s="189"/>
      <c r="D413" s="199"/>
      <c r="E413" s="189"/>
      <c r="F413" s="189"/>
    </row>
    <row r="414" spans="1:6" ht="28.5" customHeight="1" x14ac:dyDescent="0.25">
      <c r="A414" s="187"/>
      <c r="B414" s="188"/>
      <c r="C414" s="189"/>
      <c r="D414" s="199"/>
      <c r="E414" s="189"/>
      <c r="F414" s="189"/>
    </row>
    <row r="415" spans="1:6" ht="28.5" customHeight="1" x14ac:dyDescent="0.25">
      <c r="A415" s="187"/>
      <c r="B415" s="188"/>
      <c r="C415" s="189"/>
      <c r="D415" s="199"/>
      <c r="E415" s="189"/>
      <c r="F415" s="189"/>
    </row>
    <row r="416" spans="1:6" ht="28.5" customHeight="1" x14ac:dyDescent="0.25">
      <c r="A416" s="187"/>
      <c r="B416" s="188"/>
      <c r="C416" s="189"/>
      <c r="D416" s="199"/>
      <c r="E416" s="189"/>
      <c r="F416" s="189"/>
    </row>
    <row r="417" spans="1:6" ht="28.5" customHeight="1" x14ac:dyDescent="0.25">
      <c r="A417" s="187"/>
      <c r="B417" s="188"/>
      <c r="C417" s="189"/>
      <c r="D417" s="199"/>
      <c r="E417" s="189"/>
      <c r="F417" s="189"/>
    </row>
    <row r="418" spans="1:6" ht="28.5" customHeight="1" x14ac:dyDescent="0.25">
      <c r="A418" s="187"/>
      <c r="B418" s="188"/>
      <c r="C418" s="189"/>
      <c r="D418" s="199"/>
      <c r="E418" s="189"/>
      <c r="F418" s="189"/>
    </row>
    <row r="419" spans="1:6" ht="28.5" customHeight="1" x14ac:dyDescent="0.25">
      <c r="A419" s="187"/>
      <c r="B419" s="188"/>
      <c r="C419" s="189"/>
      <c r="D419" s="199"/>
      <c r="E419" s="189"/>
      <c r="F419" s="189"/>
    </row>
    <row r="420" spans="1:6" ht="28.5" customHeight="1" x14ac:dyDescent="0.25">
      <c r="A420" s="187"/>
      <c r="B420" s="188"/>
      <c r="C420" s="189"/>
      <c r="D420" s="199"/>
      <c r="E420" s="189"/>
      <c r="F420" s="189"/>
    </row>
    <row r="421" spans="1:6" ht="28.5" customHeight="1" x14ac:dyDescent="0.25">
      <c r="A421" s="187"/>
      <c r="B421" s="188"/>
      <c r="C421" s="189"/>
      <c r="D421" s="199"/>
      <c r="E421" s="189"/>
      <c r="F421" s="189"/>
    </row>
    <row r="422" spans="1:6" ht="28.5" customHeight="1" x14ac:dyDescent="0.25">
      <c r="A422" s="187"/>
      <c r="B422" s="188"/>
      <c r="C422" s="189"/>
      <c r="D422" s="199"/>
      <c r="E422" s="189"/>
      <c r="F422" s="189"/>
    </row>
    <row r="423" spans="1:6" ht="28.5" customHeight="1" x14ac:dyDescent="0.25">
      <c r="A423" s="187"/>
      <c r="B423" s="188"/>
      <c r="C423" s="189"/>
      <c r="D423" s="199"/>
      <c r="E423" s="189"/>
      <c r="F423" s="189"/>
    </row>
    <row r="424" spans="1:6" ht="28.5" customHeight="1" x14ac:dyDescent="0.25">
      <c r="A424" s="187"/>
      <c r="B424" s="188"/>
      <c r="C424" s="189"/>
      <c r="D424" s="199"/>
      <c r="E424" s="189"/>
      <c r="F424" s="189"/>
    </row>
    <row r="425" spans="1:6" ht="28.5" customHeight="1" x14ac:dyDescent="0.25">
      <c r="A425" s="187"/>
      <c r="B425" s="188"/>
      <c r="C425" s="189"/>
      <c r="D425" s="199"/>
      <c r="E425" s="189"/>
      <c r="F425" s="189"/>
    </row>
    <row r="426" spans="1:6" ht="28.5" customHeight="1" x14ac:dyDescent="0.25">
      <c r="A426" s="187"/>
      <c r="B426" s="188"/>
      <c r="C426" s="189"/>
      <c r="D426" s="199"/>
      <c r="E426" s="189"/>
      <c r="F426" s="189"/>
    </row>
    <row r="427" spans="1:6" ht="28.5" customHeight="1" x14ac:dyDescent="0.25">
      <c r="A427" s="187"/>
      <c r="B427" s="188"/>
      <c r="C427" s="189"/>
      <c r="D427" s="199"/>
      <c r="E427" s="189"/>
      <c r="F427" s="189"/>
    </row>
    <row r="428" spans="1:6" ht="28.5" customHeight="1" x14ac:dyDescent="0.25">
      <c r="A428" s="187"/>
      <c r="B428" s="188"/>
      <c r="C428" s="189"/>
      <c r="D428" s="199"/>
      <c r="E428" s="189"/>
      <c r="F428" s="189"/>
    </row>
    <row r="429" spans="1:6" ht="28.5" customHeight="1" x14ac:dyDescent="0.25">
      <c r="A429" s="187"/>
      <c r="B429" s="188"/>
      <c r="C429" s="189"/>
      <c r="D429" s="199"/>
      <c r="E429" s="189"/>
      <c r="F429" s="189"/>
    </row>
    <row r="430" spans="1:6" ht="28.5" customHeight="1" x14ac:dyDescent="0.25">
      <c r="A430" s="187"/>
      <c r="B430" s="188"/>
      <c r="C430" s="189"/>
      <c r="D430" s="199"/>
      <c r="E430" s="189"/>
      <c r="F430" s="189"/>
    </row>
    <row r="431" spans="1:6" ht="28.5" customHeight="1" x14ac:dyDescent="0.25">
      <c r="A431" s="187"/>
      <c r="B431" s="188"/>
      <c r="C431" s="189"/>
      <c r="D431" s="199"/>
      <c r="E431" s="189"/>
      <c r="F431" s="189"/>
    </row>
    <row r="432" spans="1:6" ht="28.5" customHeight="1" x14ac:dyDescent="0.25">
      <c r="A432" s="187"/>
      <c r="B432" s="188"/>
      <c r="C432" s="189"/>
      <c r="D432" s="199"/>
      <c r="E432" s="189"/>
      <c r="F432" s="189"/>
    </row>
    <row r="433" spans="1:6" ht="28.5" customHeight="1" x14ac:dyDescent="0.25">
      <c r="A433" s="187"/>
      <c r="B433" s="188"/>
      <c r="C433" s="189"/>
      <c r="D433" s="199"/>
      <c r="E433" s="189"/>
      <c r="F433" s="189"/>
    </row>
    <row r="434" spans="1:6" ht="28.5" customHeight="1" x14ac:dyDescent="0.25">
      <c r="A434" s="187"/>
      <c r="B434" s="188"/>
      <c r="C434" s="189"/>
      <c r="D434" s="199"/>
      <c r="E434" s="189"/>
      <c r="F434" s="189"/>
    </row>
    <row r="435" spans="1:6" ht="28.5" customHeight="1" x14ac:dyDescent="0.25">
      <c r="A435" s="187"/>
      <c r="B435" s="188"/>
      <c r="C435" s="189"/>
      <c r="D435" s="199"/>
      <c r="E435" s="189"/>
      <c r="F435" s="189"/>
    </row>
    <row r="436" spans="1:6" ht="28.5" customHeight="1" x14ac:dyDescent="0.25">
      <c r="A436" s="187"/>
      <c r="B436" s="188"/>
      <c r="C436" s="189"/>
      <c r="D436" s="199"/>
      <c r="E436" s="189"/>
      <c r="F436" s="189"/>
    </row>
    <row r="437" spans="1:6" ht="28.5" customHeight="1" x14ac:dyDescent="0.25">
      <c r="A437" s="187"/>
      <c r="B437" s="188"/>
      <c r="C437" s="189"/>
      <c r="D437" s="199"/>
      <c r="E437" s="189"/>
      <c r="F437" s="189"/>
    </row>
    <row r="438" spans="1:6" ht="28.5" customHeight="1" x14ac:dyDescent="0.25">
      <c r="A438" s="187"/>
      <c r="B438" s="188"/>
      <c r="C438" s="189"/>
      <c r="D438" s="199"/>
      <c r="E438" s="189"/>
      <c r="F438" s="189"/>
    </row>
    <row r="439" spans="1:6" ht="28.5" customHeight="1" x14ac:dyDescent="0.25">
      <c r="A439" s="187"/>
      <c r="B439" s="188"/>
      <c r="C439" s="189"/>
      <c r="D439" s="199"/>
      <c r="E439" s="189"/>
      <c r="F439" s="189"/>
    </row>
    <row r="440" spans="1:6" ht="28.5" customHeight="1" x14ac:dyDescent="0.25">
      <c r="A440" s="187"/>
      <c r="B440" s="188"/>
      <c r="C440" s="189"/>
      <c r="D440" s="199"/>
      <c r="E440" s="189"/>
      <c r="F440" s="189"/>
    </row>
    <row r="441" spans="1:6" ht="28.5" customHeight="1" x14ac:dyDescent="0.25">
      <c r="A441" s="187"/>
      <c r="B441" s="188"/>
      <c r="C441" s="189"/>
      <c r="D441" s="199"/>
      <c r="E441" s="189"/>
      <c r="F441" s="189"/>
    </row>
    <row r="442" spans="1:6" ht="28.5" customHeight="1" x14ac:dyDescent="0.25">
      <c r="A442" s="187"/>
      <c r="B442" s="188"/>
      <c r="C442" s="189"/>
      <c r="D442" s="199"/>
      <c r="E442" s="189"/>
      <c r="F442" s="189"/>
    </row>
    <row r="443" spans="1:6" ht="28.5" customHeight="1" x14ac:dyDescent="0.25">
      <c r="A443" s="187"/>
      <c r="B443" s="188"/>
      <c r="C443" s="189"/>
      <c r="D443" s="199"/>
      <c r="E443" s="189"/>
      <c r="F443" s="189"/>
    </row>
    <row r="444" spans="1:6" ht="28.5" customHeight="1" x14ac:dyDescent="0.25">
      <c r="A444" s="187"/>
      <c r="B444" s="188"/>
      <c r="C444" s="189"/>
      <c r="D444" s="199"/>
      <c r="E444" s="189"/>
      <c r="F444" s="189"/>
    </row>
    <row r="445" spans="1:6" ht="28.5" customHeight="1" x14ac:dyDescent="0.25">
      <c r="A445" s="187"/>
      <c r="B445" s="188"/>
      <c r="C445" s="189"/>
      <c r="D445" s="199"/>
      <c r="E445" s="189"/>
      <c r="F445" s="189"/>
    </row>
    <row r="446" spans="1:6" ht="28.5" customHeight="1" x14ac:dyDescent="0.25">
      <c r="A446" s="187"/>
      <c r="B446" s="188"/>
      <c r="C446" s="189"/>
      <c r="D446" s="199"/>
      <c r="E446" s="189"/>
      <c r="F446" s="189"/>
    </row>
    <row r="447" spans="1:6" ht="28.5" customHeight="1" x14ac:dyDescent="0.25">
      <c r="A447" s="187"/>
      <c r="B447" s="188"/>
      <c r="C447" s="189"/>
      <c r="D447" s="199"/>
      <c r="E447" s="189"/>
      <c r="F447" s="189"/>
    </row>
    <row r="448" spans="1:6" ht="28.5" customHeight="1" x14ac:dyDescent="0.25">
      <c r="A448" s="187"/>
      <c r="B448" s="188"/>
      <c r="C448" s="189"/>
      <c r="D448" s="199"/>
      <c r="E448" s="189"/>
      <c r="F448" s="189"/>
    </row>
    <row r="449" spans="1:6" ht="28.5" customHeight="1" x14ac:dyDescent="0.25">
      <c r="A449" s="187"/>
      <c r="B449" s="188"/>
      <c r="C449" s="189"/>
      <c r="D449" s="199"/>
      <c r="E449" s="189"/>
      <c r="F449" s="189"/>
    </row>
    <row r="450" spans="1:6" ht="28.5" customHeight="1" x14ac:dyDescent="0.25">
      <c r="A450" s="187"/>
      <c r="B450" s="188"/>
      <c r="C450" s="189"/>
      <c r="D450" s="199"/>
      <c r="E450" s="189"/>
      <c r="F450" s="189"/>
    </row>
    <row r="451" spans="1:6" ht="28.5" customHeight="1" x14ac:dyDescent="0.25">
      <c r="A451" s="187"/>
      <c r="B451" s="188"/>
      <c r="C451" s="189"/>
      <c r="D451" s="199"/>
      <c r="E451" s="189"/>
      <c r="F451" s="189"/>
    </row>
    <row r="452" spans="1:6" ht="28.5" customHeight="1" x14ac:dyDescent="0.25">
      <c r="A452" s="187"/>
      <c r="B452" s="188"/>
      <c r="C452" s="189"/>
      <c r="D452" s="199"/>
      <c r="E452" s="189"/>
      <c r="F452" s="189"/>
    </row>
    <row r="453" spans="1:6" ht="28.5" customHeight="1" x14ac:dyDescent="0.25">
      <c r="A453" s="187"/>
      <c r="B453" s="188"/>
      <c r="C453" s="189"/>
      <c r="D453" s="199"/>
      <c r="E453" s="189"/>
      <c r="F453" s="189"/>
    </row>
    <row r="454" spans="1:6" ht="28.5" customHeight="1" x14ac:dyDescent="0.25">
      <c r="A454" s="187"/>
      <c r="B454" s="188"/>
      <c r="C454" s="189"/>
      <c r="D454" s="199"/>
      <c r="E454" s="189"/>
      <c r="F454" s="189"/>
    </row>
    <row r="455" spans="1:6" ht="28.5" customHeight="1" x14ac:dyDescent="0.25">
      <c r="A455" s="187"/>
      <c r="B455" s="188"/>
      <c r="C455" s="189"/>
      <c r="D455" s="199"/>
      <c r="E455" s="189"/>
      <c r="F455" s="189"/>
    </row>
    <row r="456" spans="1:6" ht="28.5" customHeight="1" x14ac:dyDescent="0.25">
      <c r="A456" s="187"/>
      <c r="B456" s="188"/>
      <c r="C456" s="189"/>
      <c r="D456" s="199"/>
      <c r="E456" s="189"/>
      <c r="F456" s="189"/>
    </row>
    <row r="457" spans="1:6" ht="28.5" customHeight="1" x14ac:dyDescent="0.25">
      <c r="A457" s="187"/>
      <c r="B457" s="188"/>
      <c r="C457" s="189"/>
      <c r="D457" s="199"/>
      <c r="E457" s="189"/>
      <c r="F457" s="189"/>
    </row>
    <row r="458" spans="1:6" ht="28.5" customHeight="1" x14ac:dyDescent="0.25">
      <c r="A458" s="187"/>
      <c r="B458" s="188"/>
      <c r="C458" s="189"/>
      <c r="D458" s="199"/>
      <c r="E458" s="189"/>
      <c r="F458" s="189"/>
    </row>
    <row r="459" spans="1:6" ht="28.5" customHeight="1" x14ac:dyDescent="0.25">
      <c r="A459" s="187"/>
      <c r="B459" s="188"/>
      <c r="C459" s="189"/>
      <c r="D459" s="199"/>
      <c r="E459" s="189"/>
      <c r="F459" s="189"/>
    </row>
    <row r="460" spans="1:6" ht="28.5" customHeight="1" x14ac:dyDescent="0.25">
      <c r="A460" s="187"/>
      <c r="B460" s="188"/>
      <c r="C460" s="189"/>
      <c r="D460" s="199"/>
      <c r="E460" s="189"/>
      <c r="F460" s="189"/>
    </row>
    <row r="461" spans="1:6" ht="28.5" customHeight="1" x14ac:dyDescent="0.25">
      <c r="A461" s="187"/>
      <c r="B461" s="188"/>
      <c r="C461" s="189"/>
      <c r="D461" s="199"/>
      <c r="E461" s="189"/>
      <c r="F461" s="189"/>
    </row>
    <row r="462" spans="1:6" ht="28.5" customHeight="1" x14ac:dyDescent="0.25">
      <c r="A462" s="187"/>
      <c r="B462" s="188"/>
      <c r="C462" s="189"/>
      <c r="D462" s="199"/>
      <c r="E462" s="189"/>
      <c r="F462" s="189"/>
    </row>
    <row r="463" spans="1:6" ht="28.5" customHeight="1" x14ac:dyDescent="0.25">
      <c r="A463" s="187"/>
      <c r="B463" s="188"/>
      <c r="C463" s="189"/>
      <c r="D463" s="199"/>
      <c r="E463" s="189"/>
      <c r="F463" s="189"/>
    </row>
    <row r="464" spans="1:6" ht="28.5" customHeight="1" x14ac:dyDescent="0.25">
      <c r="A464" s="187"/>
      <c r="B464" s="188"/>
      <c r="C464" s="189"/>
      <c r="D464" s="199"/>
      <c r="E464" s="189"/>
      <c r="F464" s="189"/>
    </row>
    <row r="465" spans="1:6" ht="28.5" customHeight="1" x14ac:dyDescent="0.25">
      <c r="A465" s="187"/>
      <c r="B465" s="188"/>
      <c r="C465" s="189"/>
      <c r="D465" s="199"/>
      <c r="E465" s="189"/>
      <c r="F465" s="189"/>
    </row>
    <row r="466" spans="1:6" ht="28.5" customHeight="1" x14ac:dyDescent="0.25">
      <c r="A466" s="187"/>
      <c r="B466" s="188"/>
      <c r="C466" s="189"/>
      <c r="D466" s="199"/>
      <c r="E466" s="189"/>
      <c r="F466" s="189"/>
    </row>
    <row r="467" spans="1:6" ht="28.5" customHeight="1" x14ac:dyDescent="0.25">
      <c r="A467" s="187"/>
      <c r="B467" s="188"/>
      <c r="C467" s="189"/>
      <c r="D467" s="199"/>
      <c r="E467" s="189"/>
      <c r="F467" s="189"/>
    </row>
    <row r="468" spans="1:6" ht="28.5" customHeight="1" x14ac:dyDescent="0.25">
      <c r="A468" s="187"/>
      <c r="B468" s="188"/>
      <c r="C468" s="189"/>
      <c r="D468" s="199"/>
      <c r="E468" s="189"/>
      <c r="F468" s="189"/>
    </row>
    <row r="469" spans="1:6" ht="28.5" customHeight="1" x14ac:dyDescent="0.25">
      <c r="A469" s="187"/>
      <c r="B469" s="188"/>
      <c r="C469" s="189"/>
      <c r="D469" s="199"/>
      <c r="E469" s="189"/>
      <c r="F469" s="189"/>
    </row>
    <row r="470" spans="1:6" ht="28.5" customHeight="1" x14ac:dyDescent="0.25">
      <c r="A470" s="187"/>
      <c r="B470" s="188"/>
      <c r="C470" s="189"/>
      <c r="D470" s="199"/>
      <c r="E470" s="189"/>
      <c r="F470" s="189"/>
    </row>
    <row r="471" spans="1:6" ht="28.5" customHeight="1" x14ac:dyDescent="0.25">
      <c r="A471" s="187"/>
      <c r="B471" s="188"/>
      <c r="C471" s="189"/>
      <c r="D471" s="199"/>
      <c r="E471" s="189"/>
      <c r="F471" s="189"/>
    </row>
    <row r="472" spans="1:6" ht="28.5" customHeight="1" x14ac:dyDescent="0.25">
      <c r="A472" s="187"/>
      <c r="B472" s="188"/>
      <c r="C472" s="189"/>
      <c r="D472" s="199"/>
      <c r="E472" s="189"/>
      <c r="F472" s="189"/>
    </row>
    <row r="473" spans="1:6" ht="28.5" customHeight="1" x14ac:dyDescent="0.25">
      <c r="A473" s="187"/>
      <c r="B473" s="188"/>
      <c r="C473" s="189"/>
      <c r="D473" s="199"/>
      <c r="E473" s="189"/>
      <c r="F473" s="189"/>
    </row>
    <row r="474" spans="1:6" ht="28.5" customHeight="1" x14ac:dyDescent="0.25">
      <c r="A474" s="187"/>
      <c r="B474" s="188"/>
      <c r="C474" s="189"/>
      <c r="D474" s="199"/>
      <c r="E474" s="189"/>
      <c r="F474" s="189"/>
    </row>
    <row r="475" spans="1:6" ht="28.5" customHeight="1" x14ac:dyDescent="0.25">
      <c r="A475" s="187"/>
      <c r="B475" s="188"/>
      <c r="C475" s="189"/>
      <c r="D475" s="199"/>
      <c r="E475" s="189"/>
      <c r="F475" s="189"/>
    </row>
    <row r="476" spans="1:6" ht="28.5" customHeight="1" x14ac:dyDescent="0.25">
      <c r="A476" s="187"/>
      <c r="B476" s="188"/>
      <c r="C476" s="189"/>
      <c r="D476" s="199"/>
      <c r="E476" s="189"/>
      <c r="F476" s="189"/>
    </row>
    <row r="477" spans="1:6" ht="28.5" customHeight="1" x14ac:dyDescent="0.25">
      <c r="A477" s="187"/>
      <c r="B477" s="188"/>
      <c r="C477" s="189"/>
      <c r="D477" s="199"/>
      <c r="E477" s="189"/>
      <c r="F477" s="189"/>
    </row>
    <row r="478" spans="1:6" ht="28.5" customHeight="1" x14ac:dyDescent="0.25">
      <c r="A478" s="187"/>
      <c r="B478" s="188"/>
      <c r="C478" s="189"/>
      <c r="D478" s="199"/>
      <c r="E478" s="189"/>
      <c r="F478" s="189"/>
    </row>
    <row r="479" spans="1:6" ht="28.5" customHeight="1" x14ac:dyDescent="0.25">
      <c r="A479" s="187"/>
      <c r="B479" s="188"/>
      <c r="C479" s="189"/>
      <c r="D479" s="199"/>
      <c r="E479" s="189"/>
      <c r="F479" s="189"/>
    </row>
    <row r="480" spans="1:6" ht="28.5" customHeight="1" x14ac:dyDescent="0.25">
      <c r="A480" s="187"/>
      <c r="B480" s="188"/>
      <c r="C480" s="189"/>
      <c r="D480" s="199"/>
      <c r="E480" s="189"/>
      <c r="F480" s="189"/>
    </row>
    <row r="481" spans="1:6" ht="28.5" customHeight="1" x14ac:dyDescent="0.25">
      <c r="A481" s="187"/>
      <c r="B481" s="188"/>
      <c r="C481" s="189"/>
      <c r="D481" s="199"/>
      <c r="E481" s="189"/>
      <c r="F481" s="189"/>
    </row>
    <row r="482" spans="1:6" ht="28.5" customHeight="1" x14ac:dyDescent="0.25">
      <c r="A482" s="187"/>
      <c r="B482" s="188"/>
      <c r="C482" s="189"/>
      <c r="D482" s="199"/>
      <c r="E482" s="189"/>
      <c r="F482" s="189"/>
    </row>
    <row r="483" spans="1:6" ht="28.5" customHeight="1" x14ac:dyDescent="0.25">
      <c r="A483" s="187"/>
      <c r="B483" s="188"/>
      <c r="C483" s="189"/>
      <c r="D483" s="199"/>
      <c r="E483" s="189"/>
      <c r="F483" s="189"/>
    </row>
    <row r="484" spans="1:6" ht="28.5" customHeight="1" x14ac:dyDescent="0.25">
      <c r="A484" s="187"/>
      <c r="B484" s="188"/>
      <c r="C484" s="189"/>
      <c r="D484" s="199"/>
      <c r="E484" s="189"/>
      <c r="F484" s="189"/>
    </row>
    <row r="485" spans="1:6" ht="28.5" customHeight="1" x14ac:dyDescent="0.25">
      <c r="A485" s="187"/>
      <c r="B485" s="188"/>
      <c r="C485" s="189"/>
      <c r="D485" s="199"/>
      <c r="E485" s="189"/>
      <c r="F485" s="189"/>
    </row>
    <row r="486" spans="1:6" ht="28.5" customHeight="1" x14ac:dyDescent="0.25">
      <c r="A486" s="187"/>
      <c r="B486" s="188"/>
      <c r="C486" s="189"/>
      <c r="D486" s="199"/>
      <c r="E486" s="189"/>
      <c r="F486" s="189"/>
    </row>
    <row r="487" spans="1:6" ht="28.5" customHeight="1" x14ac:dyDescent="0.25">
      <c r="A487" s="187"/>
      <c r="B487" s="188"/>
      <c r="C487" s="189"/>
      <c r="D487" s="199"/>
      <c r="E487" s="189"/>
      <c r="F487" s="189"/>
    </row>
    <row r="488" spans="1:6" ht="28.5" customHeight="1" x14ac:dyDescent="0.25">
      <c r="A488" s="187"/>
      <c r="B488" s="188"/>
      <c r="C488" s="189"/>
      <c r="D488" s="199"/>
      <c r="E488" s="189"/>
      <c r="F488" s="189"/>
    </row>
    <row r="489" spans="1:6" ht="28.5" customHeight="1" x14ac:dyDescent="0.25">
      <c r="A489" s="187"/>
      <c r="B489" s="188"/>
      <c r="C489" s="189"/>
      <c r="D489" s="199"/>
      <c r="E489" s="189"/>
      <c r="F489" s="189"/>
    </row>
    <row r="490" spans="1:6" ht="28.5" customHeight="1" x14ac:dyDescent="0.25">
      <c r="A490" s="187"/>
      <c r="B490" s="188"/>
      <c r="C490" s="189"/>
      <c r="D490" s="199"/>
      <c r="E490" s="189"/>
      <c r="F490" s="189"/>
    </row>
    <row r="491" spans="1:6" ht="28.5" customHeight="1" x14ac:dyDescent="0.25">
      <c r="A491" s="187"/>
      <c r="B491" s="188"/>
      <c r="C491" s="189"/>
      <c r="D491" s="199"/>
      <c r="E491" s="189"/>
      <c r="F491" s="189"/>
    </row>
    <row r="492" spans="1:6" ht="28.5" customHeight="1" x14ac:dyDescent="0.25">
      <c r="A492" s="187"/>
      <c r="B492" s="188"/>
      <c r="C492" s="189"/>
      <c r="D492" s="199"/>
      <c r="E492" s="189"/>
      <c r="F492" s="189"/>
    </row>
    <row r="493" spans="1:6" ht="28.5" customHeight="1" x14ac:dyDescent="0.25">
      <c r="A493" s="187"/>
      <c r="B493" s="188"/>
      <c r="C493" s="189"/>
      <c r="D493" s="199"/>
      <c r="E493" s="189"/>
      <c r="F493" s="189"/>
    </row>
    <row r="494" spans="1:6" ht="28.5" customHeight="1" x14ac:dyDescent="0.25">
      <c r="A494" s="187"/>
      <c r="B494" s="188"/>
      <c r="C494" s="189"/>
      <c r="D494" s="199"/>
      <c r="E494" s="189"/>
      <c r="F494" s="189"/>
    </row>
    <row r="495" spans="1:6" ht="28.5" customHeight="1" x14ac:dyDescent="0.25">
      <c r="A495" s="187"/>
      <c r="B495" s="188"/>
      <c r="C495" s="189"/>
      <c r="D495" s="199"/>
      <c r="E495" s="189"/>
      <c r="F495" s="189"/>
    </row>
    <row r="496" spans="1:6" ht="28.5" customHeight="1" x14ac:dyDescent="0.25">
      <c r="A496" s="187"/>
      <c r="B496" s="188"/>
      <c r="C496" s="189"/>
      <c r="D496" s="199"/>
      <c r="E496" s="189"/>
      <c r="F496" s="189"/>
    </row>
    <row r="497" spans="1:6" ht="28.5" customHeight="1" x14ac:dyDescent="0.25">
      <c r="A497" s="187"/>
      <c r="B497" s="188"/>
      <c r="C497" s="189"/>
      <c r="D497" s="199"/>
      <c r="E497" s="189"/>
      <c r="F497" s="189"/>
    </row>
    <row r="498" spans="1:6" ht="28.5" customHeight="1" x14ac:dyDescent="0.25">
      <c r="A498" s="187"/>
      <c r="B498" s="188"/>
      <c r="C498" s="189"/>
      <c r="D498" s="199"/>
      <c r="E498" s="189"/>
      <c r="F498" s="189"/>
    </row>
    <row r="499" spans="1:6" ht="28.5" customHeight="1" x14ac:dyDescent="0.25">
      <c r="A499" s="187"/>
      <c r="B499" s="188"/>
      <c r="C499" s="189"/>
      <c r="D499" s="199"/>
      <c r="E499" s="189"/>
      <c r="F499" s="189"/>
    </row>
    <row r="500" spans="1:6" ht="28.5" customHeight="1" x14ac:dyDescent="0.25">
      <c r="A500" s="187"/>
      <c r="B500" s="188"/>
      <c r="C500" s="189"/>
      <c r="D500" s="199"/>
      <c r="E500" s="189"/>
      <c r="F500" s="189"/>
    </row>
    <row r="501" spans="1:6" ht="28.5" customHeight="1" x14ac:dyDescent="0.25">
      <c r="A501" s="187"/>
      <c r="B501" s="188"/>
      <c r="C501" s="189"/>
      <c r="D501" s="199"/>
      <c r="E501" s="189"/>
      <c r="F501" s="189"/>
    </row>
    <row r="502" spans="1:6" ht="28.5" customHeight="1" x14ac:dyDescent="0.25">
      <c r="A502" s="187"/>
      <c r="B502" s="188"/>
      <c r="C502" s="189"/>
      <c r="D502" s="199"/>
      <c r="E502" s="189"/>
      <c r="F502" s="189"/>
    </row>
    <row r="503" spans="1:6" ht="28.5" customHeight="1" x14ac:dyDescent="0.25">
      <c r="A503" s="187"/>
      <c r="B503" s="188"/>
      <c r="C503" s="189"/>
      <c r="D503" s="199"/>
      <c r="E503" s="189"/>
      <c r="F503" s="189"/>
    </row>
    <row r="504" spans="1:6" ht="28.5" customHeight="1" x14ac:dyDescent="0.25">
      <c r="A504" s="187"/>
      <c r="B504" s="188"/>
      <c r="C504" s="189"/>
      <c r="D504" s="199"/>
      <c r="E504" s="189"/>
      <c r="F504" s="189"/>
    </row>
    <row r="505" spans="1:6" ht="28.5" customHeight="1" x14ac:dyDescent="0.25">
      <c r="A505" s="187"/>
      <c r="B505" s="188"/>
      <c r="C505" s="189"/>
      <c r="D505" s="199"/>
      <c r="E505" s="189"/>
      <c r="F505" s="189"/>
    </row>
    <row r="506" spans="1:6" ht="28.5" customHeight="1" x14ac:dyDescent="0.25">
      <c r="A506" s="187"/>
      <c r="B506" s="188"/>
      <c r="C506" s="189"/>
      <c r="D506" s="199"/>
      <c r="E506" s="189"/>
      <c r="F506" s="189"/>
    </row>
    <row r="507" spans="1:6" ht="28.5" customHeight="1" x14ac:dyDescent="0.25">
      <c r="A507" s="187"/>
      <c r="B507" s="188"/>
      <c r="C507" s="189"/>
      <c r="D507" s="199"/>
      <c r="E507" s="189"/>
      <c r="F507" s="189"/>
    </row>
    <row r="508" spans="1:6" ht="28.5" customHeight="1" x14ac:dyDescent="0.25">
      <c r="A508" s="187"/>
      <c r="B508" s="188"/>
      <c r="C508" s="189"/>
      <c r="D508" s="199"/>
      <c r="E508" s="189"/>
      <c r="F508" s="189"/>
    </row>
    <row r="509" spans="1:6" ht="28.5" customHeight="1" x14ac:dyDescent="0.25">
      <c r="A509" s="187"/>
      <c r="B509" s="188"/>
      <c r="C509" s="189"/>
      <c r="D509" s="199"/>
      <c r="E509" s="189"/>
      <c r="F509" s="189"/>
    </row>
    <row r="510" spans="1:6" ht="28.5" customHeight="1" x14ac:dyDescent="0.25">
      <c r="A510" s="187"/>
      <c r="B510" s="188"/>
      <c r="C510" s="189"/>
      <c r="D510" s="199"/>
      <c r="E510" s="189"/>
      <c r="F510" s="189"/>
    </row>
    <row r="511" spans="1:6" ht="28.5" customHeight="1" x14ac:dyDescent="0.25">
      <c r="A511" s="187"/>
      <c r="B511" s="188"/>
      <c r="C511" s="189"/>
      <c r="D511" s="199"/>
      <c r="E511" s="189"/>
      <c r="F511" s="189"/>
    </row>
    <row r="512" spans="1:6" ht="28.5" customHeight="1" x14ac:dyDescent="0.25">
      <c r="A512" s="187"/>
      <c r="B512" s="188"/>
      <c r="C512" s="189"/>
      <c r="D512" s="199"/>
      <c r="E512" s="189"/>
      <c r="F512" s="189"/>
    </row>
    <row r="513" spans="1:6" ht="28.5" customHeight="1" x14ac:dyDescent="0.25">
      <c r="A513" s="187"/>
      <c r="B513" s="188"/>
      <c r="C513" s="189"/>
      <c r="D513" s="199"/>
      <c r="E513" s="189"/>
      <c r="F513" s="189"/>
    </row>
    <row r="514" spans="1:6" ht="28.5" customHeight="1" x14ac:dyDescent="0.25">
      <c r="A514" s="187"/>
      <c r="B514" s="188"/>
      <c r="C514" s="189"/>
      <c r="D514" s="199"/>
      <c r="E514" s="189"/>
      <c r="F514" s="189"/>
    </row>
    <row r="515" spans="1:6" ht="28.5" customHeight="1" x14ac:dyDescent="0.25">
      <c r="A515" s="187"/>
      <c r="B515" s="188"/>
      <c r="C515" s="189"/>
      <c r="D515" s="199"/>
      <c r="E515" s="189"/>
      <c r="F515" s="189"/>
    </row>
    <row r="516" spans="1:6" ht="28.5" customHeight="1" x14ac:dyDescent="0.25">
      <c r="A516" s="187"/>
      <c r="B516" s="188"/>
      <c r="C516" s="189"/>
      <c r="D516" s="199"/>
      <c r="E516" s="189"/>
      <c r="F516" s="189"/>
    </row>
    <row r="517" spans="1:6" ht="28.5" customHeight="1" x14ac:dyDescent="0.25">
      <c r="A517" s="187"/>
      <c r="B517" s="188"/>
      <c r="C517" s="189"/>
      <c r="D517" s="199"/>
      <c r="E517" s="189"/>
      <c r="F517" s="189"/>
    </row>
    <row r="518" spans="1:6" ht="28.5" customHeight="1" x14ac:dyDescent="0.25">
      <c r="A518" s="187"/>
      <c r="B518" s="188"/>
      <c r="C518" s="189"/>
      <c r="D518" s="199"/>
      <c r="E518" s="189"/>
      <c r="F518" s="189"/>
    </row>
    <row r="519" spans="1:6" ht="28.5" customHeight="1" x14ac:dyDescent="0.25">
      <c r="A519" s="187"/>
      <c r="B519" s="188"/>
      <c r="C519" s="189"/>
      <c r="D519" s="199"/>
      <c r="E519" s="189"/>
      <c r="F519" s="189"/>
    </row>
    <row r="520" spans="1:6" ht="28.5" customHeight="1" x14ac:dyDescent="0.25">
      <c r="A520" s="187"/>
      <c r="B520" s="188"/>
      <c r="C520" s="189"/>
      <c r="D520" s="199"/>
      <c r="E520" s="189"/>
      <c r="F520" s="189"/>
    </row>
    <row r="521" spans="1:6" ht="28.5" customHeight="1" x14ac:dyDescent="0.25">
      <c r="A521" s="187"/>
      <c r="B521" s="188"/>
      <c r="C521" s="189"/>
      <c r="D521" s="199"/>
      <c r="E521" s="189"/>
      <c r="F521" s="189"/>
    </row>
    <row r="522" spans="1:6" ht="28.5" customHeight="1" x14ac:dyDescent="0.25">
      <c r="A522" s="187"/>
      <c r="B522" s="188"/>
      <c r="C522" s="189"/>
      <c r="D522" s="199"/>
      <c r="E522" s="189"/>
      <c r="F522" s="189"/>
    </row>
    <row r="523" spans="1:6" ht="28.5" customHeight="1" x14ac:dyDescent="0.25">
      <c r="A523" s="187"/>
      <c r="B523" s="188"/>
      <c r="C523" s="189"/>
      <c r="D523" s="199"/>
      <c r="E523" s="189"/>
      <c r="F523" s="189"/>
    </row>
    <row r="524" spans="1:6" ht="28.5" customHeight="1" x14ac:dyDescent="0.25">
      <c r="A524" s="187"/>
      <c r="B524" s="188"/>
      <c r="C524" s="189"/>
      <c r="D524" s="199"/>
      <c r="E524" s="189"/>
      <c r="F524" s="189"/>
    </row>
    <row r="525" spans="1:6" ht="28.5" customHeight="1" x14ac:dyDescent="0.25">
      <c r="A525" s="187"/>
      <c r="B525" s="188"/>
      <c r="C525" s="189"/>
      <c r="D525" s="199"/>
      <c r="E525" s="189"/>
      <c r="F525" s="189"/>
    </row>
    <row r="526" spans="1:6" ht="28.5" customHeight="1" x14ac:dyDescent="0.25">
      <c r="A526" s="187"/>
      <c r="B526" s="188"/>
      <c r="C526" s="189"/>
      <c r="D526" s="199"/>
      <c r="E526" s="189"/>
      <c r="F526" s="189"/>
    </row>
    <row r="527" spans="1:6" ht="28.5" customHeight="1" x14ac:dyDescent="0.25">
      <c r="A527" s="187"/>
      <c r="B527" s="188"/>
      <c r="C527" s="189"/>
      <c r="D527" s="199"/>
      <c r="E527" s="189"/>
      <c r="F527" s="189"/>
    </row>
    <row r="528" spans="1:6" ht="28.5" customHeight="1" x14ac:dyDescent="0.25">
      <c r="A528" s="187"/>
      <c r="B528" s="188"/>
      <c r="C528" s="189"/>
      <c r="D528" s="199"/>
      <c r="E528" s="189"/>
      <c r="F528" s="189"/>
    </row>
    <row r="529" spans="1:6" ht="28.5" customHeight="1" x14ac:dyDescent="0.25">
      <c r="A529" s="187"/>
      <c r="B529" s="188"/>
      <c r="C529" s="189"/>
      <c r="D529" s="199"/>
      <c r="E529" s="189"/>
      <c r="F529" s="189"/>
    </row>
    <row r="530" spans="1:6" ht="28.5" customHeight="1" x14ac:dyDescent="0.25">
      <c r="A530" s="187"/>
      <c r="B530" s="188"/>
      <c r="C530" s="189"/>
      <c r="D530" s="199"/>
      <c r="E530" s="189"/>
      <c r="F530" s="189"/>
    </row>
    <row r="531" spans="1:6" ht="28.5" customHeight="1" x14ac:dyDescent="0.25">
      <c r="A531" s="187"/>
      <c r="B531" s="188"/>
      <c r="C531" s="189"/>
      <c r="D531" s="199"/>
      <c r="E531" s="189"/>
      <c r="F531" s="189"/>
    </row>
    <row r="532" spans="1:6" ht="28.5" customHeight="1" x14ac:dyDescent="0.25">
      <c r="A532" s="187"/>
      <c r="B532" s="188"/>
      <c r="C532" s="189"/>
      <c r="D532" s="199"/>
      <c r="E532" s="189"/>
      <c r="F532" s="189"/>
    </row>
    <row r="533" spans="1:6" ht="28.5" customHeight="1" x14ac:dyDescent="0.25">
      <c r="A533" s="187"/>
      <c r="B533" s="188"/>
      <c r="C533" s="189"/>
      <c r="D533" s="199"/>
      <c r="E533" s="189"/>
      <c r="F533" s="189"/>
    </row>
    <row r="534" spans="1:6" ht="28.5" customHeight="1" x14ac:dyDescent="0.25">
      <c r="A534" s="187"/>
      <c r="B534" s="188"/>
      <c r="C534" s="189"/>
      <c r="D534" s="199"/>
      <c r="E534" s="189"/>
      <c r="F534" s="189"/>
    </row>
    <row r="535" spans="1:6" ht="28.5" customHeight="1" x14ac:dyDescent="0.25">
      <c r="A535" s="187"/>
      <c r="B535" s="188"/>
      <c r="C535" s="189"/>
      <c r="D535" s="199"/>
      <c r="E535" s="189"/>
      <c r="F535" s="189"/>
    </row>
    <row r="536" spans="1:6" ht="28.5" customHeight="1" x14ac:dyDescent="0.25">
      <c r="A536" s="187"/>
      <c r="B536" s="188"/>
      <c r="C536" s="189"/>
      <c r="D536" s="199"/>
      <c r="E536" s="189"/>
      <c r="F536" s="189"/>
    </row>
    <row r="537" spans="1:6" ht="28.5" customHeight="1" x14ac:dyDescent="0.25">
      <c r="A537" s="187"/>
      <c r="B537" s="188"/>
      <c r="C537" s="189"/>
      <c r="D537" s="199"/>
      <c r="E537" s="189"/>
      <c r="F537" s="189"/>
    </row>
    <row r="538" spans="1:6" ht="28.5" customHeight="1" x14ac:dyDescent="0.25">
      <c r="A538" s="187"/>
      <c r="B538" s="188"/>
      <c r="C538" s="189"/>
      <c r="D538" s="199"/>
      <c r="E538" s="189"/>
      <c r="F538" s="189"/>
    </row>
    <row r="539" spans="1:6" ht="28.5" customHeight="1" x14ac:dyDescent="0.25">
      <c r="A539" s="187"/>
      <c r="B539" s="188"/>
      <c r="C539" s="189"/>
      <c r="D539" s="199"/>
      <c r="E539" s="189"/>
      <c r="F539" s="189"/>
    </row>
    <row r="540" spans="1:6" ht="28.5" customHeight="1" x14ac:dyDescent="0.25">
      <c r="A540" s="187"/>
      <c r="B540" s="188"/>
      <c r="C540" s="189"/>
      <c r="D540" s="199"/>
      <c r="E540" s="189"/>
      <c r="F540" s="189"/>
    </row>
    <row r="541" spans="1:6" ht="28.5" customHeight="1" x14ac:dyDescent="0.25">
      <c r="A541" s="187"/>
      <c r="B541" s="188"/>
      <c r="C541" s="189"/>
      <c r="D541" s="199"/>
      <c r="E541" s="189"/>
      <c r="F541" s="189"/>
    </row>
    <row r="542" spans="1:6" ht="28.5" customHeight="1" x14ac:dyDescent="0.25">
      <c r="A542" s="187"/>
      <c r="B542" s="188"/>
      <c r="C542" s="189"/>
      <c r="D542" s="199"/>
      <c r="E542" s="189"/>
      <c r="F542" s="189"/>
    </row>
    <row r="543" spans="1:6" ht="28.5" customHeight="1" x14ac:dyDescent="0.25">
      <c r="A543" s="187"/>
      <c r="B543" s="188"/>
      <c r="C543" s="189"/>
      <c r="D543" s="199"/>
      <c r="E543" s="189"/>
      <c r="F543" s="189"/>
    </row>
    <row r="544" spans="1:6" ht="28.5" customHeight="1" x14ac:dyDescent="0.25">
      <c r="A544" s="187"/>
      <c r="B544" s="188"/>
      <c r="C544" s="189"/>
      <c r="D544" s="199"/>
      <c r="E544" s="189"/>
      <c r="F544" s="189"/>
    </row>
    <row r="545" spans="1:6" ht="28.5" customHeight="1" x14ac:dyDescent="0.25">
      <c r="A545" s="187"/>
      <c r="B545" s="188"/>
      <c r="C545" s="189"/>
      <c r="D545" s="199"/>
      <c r="E545" s="189"/>
      <c r="F545" s="189"/>
    </row>
    <row r="546" spans="1:6" ht="28.5" customHeight="1" x14ac:dyDescent="0.25">
      <c r="A546" s="187"/>
      <c r="B546" s="188"/>
      <c r="C546" s="189"/>
      <c r="D546" s="199"/>
      <c r="E546" s="189"/>
      <c r="F546" s="189"/>
    </row>
    <row r="547" spans="1:6" ht="28.5" customHeight="1" x14ac:dyDescent="0.25">
      <c r="A547" s="187"/>
      <c r="B547" s="188"/>
      <c r="C547" s="189"/>
      <c r="D547" s="199"/>
      <c r="E547" s="189"/>
      <c r="F547" s="189"/>
    </row>
    <row r="548" spans="1:6" ht="28.5" customHeight="1" x14ac:dyDescent="0.25">
      <c r="A548" s="187"/>
      <c r="B548" s="188"/>
      <c r="C548" s="189"/>
      <c r="D548" s="199"/>
      <c r="E548" s="189"/>
      <c r="F548" s="189"/>
    </row>
    <row r="549" spans="1:6" ht="28.5" customHeight="1" x14ac:dyDescent="0.25">
      <c r="A549" s="187"/>
      <c r="B549" s="188"/>
      <c r="C549" s="189"/>
      <c r="D549" s="199"/>
      <c r="E549" s="189"/>
      <c r="F549" s="189"/>
    </row>
    <row r="550" spans="1:6" ht="28.5" customHeight="1" x14ac:dyDescent="0.25">
      <c r="A550" s="187"/>
      <c r="B550" s="188"/>
      <c r="C550" s="189"/>
      <c r="D550" s="199"/>
      <c r="E550" s="189"/>
      <c r="F550" s="189"/>
    </row>
    <row r="551" spans="1:6" ht="28.5" customHeight="1" x14ac:dyDescent="0.25">
      <c r="A551" s="187"/>
      <c r="B551" s="188"/>
      <c r="C551" s="189"/>
      <c r="D551" s="199"/>
      <c r="E551" s="189"/>
      <c r="F551" s="189"/>
    </row>
    <row r="552" spans="1:6" ht="28.5" customHeight="1" x14ac:dyDescent="0.25">
      <c r="A552" s="187"/>
      <c r="B552" s="188"/>
      <c r="C552" s="189"/>
      <c r="D552" s="199"/>
      <c r="E552" s="189"/>
      <c r="F552" s="189"/>
    </row>
    <row r="553" spans="1:6" ht="28.5" customHeight="1" x14ac:dyDescent="0.25">
      <c r="A553" s="187"/>
      <c r="B553" s="188"/>
      <c r="C553" s="189"/>
      <c r="D553" s="199"/>
      <c r="E553" s="189"/>
      <c r="F553" s="189"/>
    </row>
    <row r="554" spans="1:6" ht="28.5" customHeight="1" x14ac:dyDescent="0.25">
      <c r="A554" s="187"/>
      <c r="B554" s="188"/>
      <c r="C554" s="189"/>
      <c r="D554" s="199"/>
      <c r="E554" s="189"/>
      <c r="F554" s="189"/>
    </row>
    <row r="555" spans="1:6" ht="28.5" customHeight="1" x14ac:dyDescent="0.25">
      <c r="A555" s="187"/>
      <c r="B555" s="188"/>
      <c r="C555" s="189"/>
      <c r="D555" s="199"/>
      <c r="E555" s="189"/>
      <c r="F555" s="189"/>
    </row>
    <row r="556" spans="1:6" ht="28.5" customHeight="1" x14ac:dyDescent="0.25">
      <c r="A556" s="187"/>
      <c r="B556" s="188"/>
      <c r="C556" s="189"/>
      <c r="D556" s="199"/>
      <c r="E556" s="189"/>
      <c r="F556" s="189"/>
    </row>
    <row r="557" spans="1:6" ht="28.5" customHeight="1" x14ac:dyDescent="0.25">
      <c r="A557" s="187"/>
      <c r="B557" s="188"/>
      <c r="C557" s="189"/>
      <c r="D557" s="199"/>
      <c r="E557" s="189"/>
      <c r="F557" s="189"/>
    </row>
    <row r="558" spans="1:6" ht="28.5" customHeight="1" x14ac:dyDescent="0.25">
      <c r="A558" s="187"/>
      <c r="B558" s="188"/>
      <c r="C558" s="189"/>
      <c r="D558" s="199"/>
      <c r="E558" s="189"/>
      <c r="F558" s="189"/>
    </row>
    <row r="559" spans="1:6" ht="28.5" customHeight="1" x14ac:dyDescent="0.25">
      <c r="A559" s="187"/>
      <c r="B559" s="188"/>
      <c r="C559" s="189"/>
      <c r="D559" s="199"/>
      <c r="E559" s="189"/>
      <c r="F559" s="189"/>
    </row>
    <row r="560" spans="1:6" ht="28.5" customHeight="1" x14ac:dyDescent="0.25">
      <c r="A560" s="187"/>
      <c r="B560" s="188"/>
      <c r="C560" s="189"/>
      <c r="D560" s="199"/>
      <c r="E560" s="189"/>
      <c r="F560" s="189"/>
    </row>
    <row r="561" spans="1:6" ht="28.5" customHeight="1" x14ac:dyDescent="0.25">
      <c r="A561" s="187"/>
      <c r="B561" s="188"/>
      <c r="C561" s="189"/>
      <c r="D561" s="199"/>
      <c r="E561" s="189"/>
      <c r="F561" s="189"/>
    </row>
    <row r="562" spans="1:6" ht="28.5" customHeight="1" x14ac:dyDescent="0.25">
      <c r="A562" s="187"/>
      <c r="B562" s="188"/>
      <c r="C562" s="189"/>
      <c r="D562" s="199"/>
      <c r="E562" s="189"/>
      <c r="F562" s="189"/>
    </row>
    <row r="563" spans="1:6" ht="28.5" customHeight="1" x14ac:dyDescent="0.25">
      <c r="A563" s="187"/>
      <c r="B563" s="188"/>
      <c r="C563" s="189"/>
      <c r="D563" s="199"/>
      <c r="E563" s="189"/>
      <c r="F563" s="189"/>
    </row>
    <row r="564" spans="1:6" ht="28.5" customHeight="1" x14ac:dyDescent="0.25">
      <c r="A564" s="187"/>
      <c r="B564" s="188"/>
      <c r="C564" s="189"/>
      <c r="D564" s="199"/>
      <c r="E564" s="189"/>
      <c r="F564" s="189"/>
    </row>
    <row r="565" spans="1:6" ht="28.5" customHeight="1" x14ac:dyDescent="0.25">
      <c r="A565" s="187"/>
      <c r="B565" s="188"/>
      <c r="C565" s="189"/>
      <c r="D565" s="199"/>
      <c r="E565" s="189"/>
      <c r="F565" s="189"/>
    </row>
    <row r="566" spans="1:6" ht="28.5" customHeight="1" x14ac:dyDescent="0.25">
      <c r="A566" s="187"/>
      <c r="B566" s="188"/>
      <c r="C566" s="189"/>
      <c r="D566" s="199"/>
      <c r="E566" s="189"/>
      <c r="F566" s="189"/>
    </row>
    <row r="567" spans="1:6" ht="28.5" customHeight="1" x14ac:dyDescent="0.25">
      <c r="A567" s="187"/>
      <c r="B567" s="188"/>
      <c r="C567" s="189"/>
      <c r="D567" s="199"/>
      <c r="E567" s="189"/>
      <c r="F567" s="189"/>
    </row>
    <row r="568" spans="1:6" ht="28.5" customHeight="1" x14ac:dyDescent="0.25">
      <c r="A568" s="187"/>
      <c r="B568" s="188"/>
      <c r="C568" s="189"/>
      <c r="D568" s="199"/>
      <c r="E568" s="189"/>
      <c r="F568" s="189"/>
    </row>
    <row r="569" spans="1:6" ht="28.5" customHeight="1" x14ac:dyDescent="0.25">
      <c r="A569" s="187"/>
      <c r="B569" s="188"/>
      <c r="C569" s="189"/>
      <c r="D569" s="199"/>
      <c r="E569" s="189"/>
      <c r="F569" s="189"/>
    </row>
    <row r="570" spans="1:6" ht="28.5" customHeight="1" x14ac:dyDescent="0.25">
      <c r="A570" s="187"/>
      <c r="B570" s="188"/>
      <c r="C570" s="189"/>
      <c r="D570" s="199"/>
      <c r="E570" s="189"/>
      <c r="F570" s="189"/>
    </row>
    <row r="571" spans="1:6" ht="28.5" customHeight="1" x14ac:dyDescent="0.25">
      <c r="A571" s="187"/>
      <c r="B571" s="188"/>
      <c r="C571" s="189"/>
      <c r="D571" s="199"/>
      <c r="E571" s="189"/>
      <c r="F571" s="189"/>
    </row>
    <row r="572" spans="1:6" ht="28.5" customHeight="1" x14ac:dyDescent="0.25">
      <c r="A572" s="187"/>
      <c r="B572" s="188"/>
      <c r="C572" s="189"/>
      <c r="D572" s="199"/>
      <c r="E572" s="189"/>
      <c r="F572" s="189"/>
    </row>
    <row r="573" spans="1:6" ht="28.5" customHeight="1" x14ac:dyDescent="0.25">
      <c r="A573" s="187"/>
      <c r="B573" s="188"/>
      <c r="C573" s="189"/>
      <c r="D573" s="199"/>
      <c r="E573" s="189"/>
      <c r="F573" s="189"/>
    </row>
    <row r="574" spans="1:6" ht="28.5" customHeight="1" x14ac:dyDescent="0.25">
      <c r="A574" s="187"/>
      <c r="B574" s="188"/>
      <c r="C574" s="189"/>
      <c r="D574" s="199"/>
      <c r="E574" s="189"/>
      <c r="F574" s="189"/>
    </row>
    <row r="575" spans="1:6" ht="28.5" customHeight="1" x14ac:dyDescent="0.25">
      <c r="A575" s="187"/>
      <c r="B575" s="188"/>
      <c r="C575" s="189"/>
      <c r="D575" s="199"/>
      <c r="E575" s="189"/>
      <c r="F575" s="189"/>
    </row>
    <row r="576" spans="1:6" ht="28.5" customHeight="1" x14ac:dyDescent="0.25">
      <c r="A576" s="187"/>
      <c r="B576" s="188"/>
      <c r="C576" s="189"/>
      <c r="D576" s="199"/>
      <c r="E576" s="189"/>
      <c r="F576" s="189"/>
    </row>
    <row r="577" spans="1:6" ht="28.5" customHeight="1" x14ac:dyDescent="0.25">
      <c r="A577" s="187"/>
      <c r="B577" s="188"/>
      <c r="C577" s="189"/>
      <c r="D577" s="199"/>
      <c r="E577" s="189"/>
      <c r="F577" s="189"/>
    </row>
    <row r="578" spans="1:6" ht="28.5" customHeight="1" x14ac:dyDescent="0.25">
      <c r="A578" s="187"/>
      <c r="B578" s="188"/>
      <c r="C578" s="189"/>
      <c r="D578" s="199"/>
      <c r="E578" s="189"/>
      <c r="F578" s="189"/>
    </row>
    <row r="579" spans="1:6" ht="28.5" customHeight="1" x14ac:dyDescent="0.25">
      <c r="A579" s="187"/>
      <c r="B579" s="188"/>
      <c r="C579" s="189"/>
      <c r="D579" s="199"/>
      <c r="E579" s="189"/>
      <c r="F579" s="189"/>
    </row>
    <row r="580" spans="1:6" ht="28.5" customHeight="1" x14ac:dyDescent="0.25">
      <c r="A580" s="187"/>
      <c r="B580" s="188"/>
      <c r="C580" s="189"/>
      <c r="D580" s="199"/>
      <c r="E580" s="189"/>
      <c r="F580" s="189"/>
    </row>
    <row r="581" spans="1:6" ht="28.5" customHeight="1" x14ac:dyDescent="0.25">
      <c r="A581" s="187"/>
      <c r="B581" s="188"/>
      <c r="C581" s="189"/>
      <c r="D581" s="199"/>
      <c r="E581" s="189"/>
      <c r="F581" s="189"/>
    </row>
    <row r="582" spans="1:6" ht="28.5" customHeight="1" x14ac:dyDescent="0.25">
      <c r="A582" s="187"/>
      <c r="B582" s="188"/>
      <c r="C582" s="189"/>
      <c r="D582" s="199"/>
      <c r="E582" s="189"/>
      <c r="F582" s="189"/>
    </row>
    <row r="583" spans="1:6" ht="28.5" customHeight="1" x14ac:dyDescent="0.25">
      <c r="A583" s="187"/>
      <c r="B583" s="188"/>
      <c r="C583" s="189"/>
      <c r="D583" s="199"/>
      <c r="E583" s="189"/>
      <c r="F583" s="189"/>
    </row>
    <row r="584" spans="1:6" ht="28.5" customHeight="1" x14ac:dyDescent="0.25">
      <c r="A584" s="187"/>
      <c r="B584" s="188"/>
      <c r="C584" s="189"/>
      <c r="D584" s="199"/>
      <c r="E584" s="189"/>
      <c r="F584" s="189"/>
    </row>
    <row r="585" spans="1:6" ht="28.5" customHeight="1" x14ac:dyDescent="0.25">
      <c r="A585" s="187"/>
      <c r="B585" s="188"/>
      <c r="C585" s="189"/>
      <c r="D585" s="199"/>
      <c r="E585" s="189"/>
      <c r="F585" s="189"/>
    </row>
    <row r="586" spans="1:6" ht="28.5" customHeight="1" x14ac:dyDescent="0.25">
      <c r="A586" s="187"/>
      <c r="B586" s="188"/>
      <c r="C586" s="189"/>
      <c r="D586" s="199"/>
      <c r="E586" s="189"/>
      <c r="F586" s="189"/>
    </row>
    <row r="587" spans="1:6" ht="28.5" customHeight="1" x14ac:dyDescent="0.25">
      <c r="A587" s="187"/>
      <c r="B587" s="188"/>
      <c r="C587" s="189"/>
      <c r="D587" s="199"/>
      <c r="E587" s="189"/>
      <c r="F587" s="189"/>
    </row>
    <row r="588" spans="1:6" ht="28.5" customHeight="1" x14ac:dyDescent="0.25">
      <c r="A588" s="187"/>
      <c r="B588" s="188"/>
      <c r="C588" s="189"/>
      <c r="D588" s="199"/>
      <c r="E588" s="189"/>
      <c r="F588" s="189"/>
    </row>
    <row r="589" spans="1:6" ht="28.5" customHeight="1" x14ac:dyDescent="0.25">
      <c r="A589" s="187"/>
      <c r="B589" s="188"/>
      <c r="C589" s="189"/>
      <c r="D589" s="199"/>
      <c r="E589" s="189"/>
      <c r="F589" s="189"/>
    </row>
    <row r="590" spans="1:6" ht="28.5" customHeight="1" x14ac:dyDescent="0.25">
      <c r="A590" s="187"/>
      <c r="B590" s="188"/>
      <c r="C590" s="189"/>
      <c r="D590" s="199"/>
      <c r="E590" s="189"/>
      <c r="F590" s="189"/>
    </row>
    <row r="591" spans="1:6" ht="28.5" customHeight="1" x14ac:dyDescent="0.25">
      <c r="A591" s="187"/>
      <c r="B591" s="188"/>
      <c r="C591" s="189"/>
      <c r="D591" s="199"/>
      <c r="E591" s="189"/>
      <c r="F591" s="189"/>
    </row>
    <row r="592" spans="1:6" ht="28.5" customHeight="1" x14ac:dyDescent="0.25">
      <c r="A592" s="187"/>
      <c r="B592" s="188"/>
      <c r="C592" s="189"/>
      <c r="D592" s="199"/>
      <c r="E592" s="189"/>
      <c r="F592" s="189"/>
    </row>
    <row r="593" spans="1:6" ht="28.5" customHeight="1" x14ac:dyDescent="0.25">
      <c r="A593" s="187"/>
      <c r="B593" s="188"/>
      <c r="C593" s="189"/>
      <c r="D593" s="199"/>
      <c r="E593" s="189"/>
      <c r="F593" s="189"/>
    </row>
    <row r="594" spans="1:6" ht="28.5" customHeight="1" x14ac:dyDescent="0.25">
      <c r="A594" s="187"/>
      <c r="B594" s="188"/>
      <c r="C594" s="189"/>
      <c r="D594" s="199"/>
      <c r="E594" s="189"/>
      <c r="F594" s="189"/>
    </row>
    <row r="595" spans="1:6" ht="28.5" customHeight="1" x14ac:dyDescent="0.25">
      <c r="A595" s="187"/>
      <c r="B595" s="188"/>
      <c r="C595" s="189"/>
      <c r="D595" s="199"/>
      <c r="E595" s="189"/>
      <c r="F595" s="189"/>
    </row>
    <row r="596" spans="1:6" ht="28.5" customHeight="1" x14ac:dyDescent="0.25">
      <c r="A596" s="187"/>
      <c r="B596" s="188"/>
      <c r="C596" s="189"/>
      <c r="D596" s="199"/>
      <c r="E596" s="189"/>
      <c r="F596" s="189"/>
    </row>
    <row r="597" spans="1:6" ht="28.5" customHeight="1" x14ac:dyDescent="0.25">
      <c r="A597" s="187"/>
      <c r="B597" s="188"/>
      <c r="C597" s="189"/>
      <c r="D597" s="199"/>
      <c r="E597" s="189"/>
      <c r="F597" s="189"/>
    </row>
    <row r="598" spans="1:6" ht="28.5" customHeight="1" x14ac:dyDescent="0.25">
      <c r="A598" s="187"/>
      <c r="B598" s="188"/>
      <c r="C598" s="189"/>
      <c r="D598" s="199"/>
      <c r="E598" s="189"/>
      <c r="F598" s="189"/>
    </row>
    <row r="599" spans="1:6" ht="28.5" customHeight="1" x14ac:dyDescent="0.25">
      <c r="A599" s="187"/>
      <c r="B599" s="188"/>
      <c r="C599" s="189"/>
      <c r="D599" s="199"/>
      <c r="E599" s="189"/>
      <c r="F599" s="189"/>
    </row>
    <row r="600" spans="1:6" ht="28.5" customHeight="1" x14ac:dyDescent="0.25">
      <c r="A600" s="187"/>
      <c r="B600" s="188"/>
      <c r="C600" s="189"/>
      <c r="D600" s="199"/>
      <c r="E600" s="189"/>
      <c r="F600" s="189"/>
    </row>
    <row r="601" spans="1:6" ht="28.5" customHeight="1" x14ac:dyDescent="0.25">
      <c r="A601" s="187"/>
      <c r="B601" s="188"/>
      <c r="C601" s="189"/>
      <c r="D601" s="199"/>
      <c r="E601" s="189"/>
      <c r="F601" s="189"/>
    </row>
    <row r="602" spans="1:6" ht="28.5" customHeight="1" x14ac:dyDescent="0.25">
      <c r="A602" s="187"/>
      <c r="B602" s="188"/>
      <c r="C602" s="189"/>
      <c r="D602" s="199"/>
      <c r="E602" s="189"/>
      <c r="F602" s="189"/>
    </row>
    <row r="603" spans="1:6" ht="28.5" customHeight="1" x14ac:dyDescent="0.25">
      <c r="A603" s="187"/>
      <c r="B603" s="188"/>
      <c r="C603" s="189"/>
      <c r="D603" s="199"/>
      <c r="E603" s="189"/>
      <c r="F603" s="189"/>
    </row>
    <row r="604" spans="1:6" ht="28.5" customHeight="1" x14ac:dyDescent="0.25">
      <c r="A604" s="187"/>
      <c r="B604" s="188"/>
      <c r="C604" s="189"/>
      <c r="D604" s="199"/>
      <c r="E604" s="189"/>
      <c r="F604" s="189"/>
    </row>
    <row r="605" spans="1:6" ht="28.5" customHeight="1" x14ac:dyDescent="0.25">
      <c r="A605" s="187"/>
      <c r="B605" s="188"/>
      <c r="C605" s="189"/>
      <c r="D605" s="199"/>
      <c r="E605" s="189"/>
      <c r="F605" s="189"/>
    </row>
    <row r="606" spans="1:6" ht="28.5" customHeight="1" x14ac:dyDescent="0.25">
      <c r="A606" s="187"/>
      <c r="B606" s="188"/>
      <c r="C606" s="189"/>
      <c r="D606" s="199"/>
      <c r="E606" s="189"/>
      <c r="F606" s="189"/>
    </row>
    <row r="607" spans="1:6" ht="28.5" customHeight="1" x14ac:dyDescent="0.25">
      <c r="A607" s="187"/>
      <c r="B607" s="188"/>
      <c r="C607" s="189"/>
      <c r="D607" s="199"/>
      <c r="E607" s="189"/>
      <c r="F607" s="189"/>
    </row>
    <row r="608" spans="1:6" ht="28.5" customHeight="1" x14ac:dyDescent="0.25">
      <c r="A608" s="187"/>
      <c r="B608" s="188"/>
      <c r="C608" s="189"/>
      <c r="D608" s="199"/>
      <c r="E608" s="189"/>
      <c r="F608" s="189"/>
    </row>
    <row r="609" spans="1:6" ht="28.5" customHeight="1" x14ac:dyDescent="0.25">
      <c r="A609" s="187"/>
      <c r="B609" s="188"/>
      <c r="C609" s="189"/>
      <c r="D609" s="199"/>
      <c r="E609" s="189"/>
      <c r="F609" s="189"/>
    </row>
    <row r="610" spans="1:6" ht="28.5" customHeight="1" x14ac:dyDescent="0.25">
      <c r="A610" s="187"/>
      <c r="B610" s="188"/>
      <c r="C610" s="189"/>
      <c r="D610" s="199"/>
      <c r="E610" s="189"/>
      <c r="F610" s="189"/>
    </row>
    <row r="611" spans="1:6" ht="28.5" customHeight="1" x14ac:dyDescent="0.25">
      <c r="A611" s="187"/>
      <c r="B611" s="188"/>
      <c r="C611" s="189"/>
      <c r="D611" s="199"/>
      <c r="E611" s="189"/>
      <c r="F611" s="189"/>
    </row>
    <row r="612" spans="1:6" ht="28.5" customHeight="1" x14ac:dyDescent="0.25">
      <c r="A612" s="187"/>
      <c r="B612" s="188"/>
      <c r="C612" s="189"/>
      <c r="D612" s="199"/>
      <c r="E612" s="189"/>
      <c r="F612" s="189"/>
    </row>
    <row r="613" spans="1:6" ht="28.5" customHeight="1" x14ac:dyDescent="0.25">
      <c r="A613" s="187"/>
      <c r="B613" s="188"/>
      <c r="C613" s="189"/>
      <c r="D613" s="199"/>
      <c r="E613" s="189"/>
      <c r="F613" s="189"/>
    </row>
    <row r="614" spans="1:6" ht="28.5" customHeight="1" x14ac:dyDescent="0.25">
      <c r="A614" s="187"/>
      <c r="B614" s="188"/>
      <c r="C614" s="189"/>
      <c r="D614" s="199"/>
      <c r="E614" s="189"/>
      <c r="F614" s="189"/>
    </row>
    <row r="615" spans="1:6" ht="28.5" customHeight="1" x14ac:dyDescent="0.25">
      <c r="A615" s="187"/>
      <c r="B615" s="188"/>
      <c r="C615" s="189"/>
      <c r="D615" s="199"/>
      <c r="E615" s="189"/>
      <c r="F615" s="189"/>
    </row>
    <row r="616" spans="1:6" ht="28.5" customHeight="1" x14ac:dyDescent="0.25">
      <c r="A616" s="187"/>
      <c r="B616" s="188"/>
      <c r="C616" s="189"/>
      <c r="D616" s="199"/>
      <c r="E616" s="189"/>
      <c r="F616" s="189"/>
    </row>
    <row r="617" spans="1:6" ht="28.5" customHeight="1" x14ac:dyDescent="0.25">
      <c r="A617" s="187"/>
      <c r="B617" s="188"/>
      <c r="C617" s="189"/>
      <c r="D617" s="199"/>
      <c r="E617" s="189"/>
      <c r="F617" s="189"/>
    </row>
    <row r="618" spans="1:6" ht="28.5" customHeight="1" x14ac:dyDescent="0.25">
      <c r="A618" s="187"/>
      <c r="B618" s="188"/>
      <c r="C618" s="189"/>
      <c r="D618" s="199"/>
      <c r="E618" s="189"/>
      <c r="F618" s="189"/>
    </row>
    <row r="619" spans="1:6" ht="28.5" customHeight="1" x14ac:dyDescent="0.25">
      <c r="A619" s="187"/>
      <c r="B619" s="188"/>
      <c r="C619" s="189"/>
      <c r="D619" s="199"/>
      <c r="E619" s="189"/>
      <c r="F619" s="189"/>
    </row>
    <row r="620" spans="1:6" ht="28.5" customHeight="1" x14ac:dyDescent="0.25">
      <c r="A620" s="187"/>
      <c r="B620" s="188"/>
      <c r="C620" s="189"/>
      <c r="D620" s="199"/>
      <c r="E620" s="189"/>
      <c r="F620" s="189"/>
    </row>
    <row r="621" spans="1:6" ht="28.5" customHeight="1" x14ac:dyDescent="0.25">
      <c r="A621" s="187"/>
      <c r="B621" s="188"/>
      <c r="C621" s="189"/>
      <c r="D621" s="199"/>
      <c r="E621" s="189"/>
      <c r="F621" s="189"/>
    </row>
    <row r="622" spans="1:6" ht="28.5" customHeight="1" x14ac:dyDescent="0.25">
      <c r="A622" s="187"/>
      <c r="B622" s="188"/>
      <c r="C622" s="189"/>
      <c r="D622" s="199"/>
      <c r="E622" s="189"/>
      <c r="F622" s="189"/>
    </row>
    <row r="623" spans="1:6" ht="28.5" customHeight="1" x14ac:dyDescent="0.25">
      <c r="A623" s="187"/>
      <c r="B623" s="188"/>
      <c r="C623" s="189"/>
      <c r="D623" s="199"/>
      <c r="E623" s="189"/>
      <c r="F623" s="189"/>
    </row>
    <row r="624" spans="1:6" ht="28.5" customHeight="1" x14ac:dyDescent="0.25">
      <c r="A624" s="187"/>
      <c r="B624" s="188"/>
      <c r="C624" s="189"/>
      <c r="D624" s="199"/>
      <c r="E624" s="189"/>
      <c r="F624" s="189"/>
    </row>
    <row r="625" spans="1:6" ht="28.5" customHeight="1" x14ac:dyDescent="0.25">
      <c r="A625" s="187"/>
      <c r="B625" s="188"/>
      <c r="C625" s="189"/>
      <c r="D625" s="199"/>
      <c r="E625" s="189"/>
      <c r="F625" s="189"/>
    </row>
    <row r="626" spans="1:6" ht="28.5" customHeight="1" x14ac:dyDescent="0.25">
      <c r="A626" s="187"/>
      <c r="B626" s="188"/>
      <c r="C626" s="189"/>
      <c r="D626" s="199"/>
      <c r="E626" s="189"/>
      <c r="F626" s="189"/>
    </row>
    <row r="627" spans="1:6" ht="28.5" customHeight="1" x14ac:dyDescent="0.25">
      <c r="A627" s="187"/>
      <c r="B627" s="188"/>
      <c r="C627" s="189"/>
      <c r="D627" s="199"/>
      <c r="E627" s="189"/>
      <c r="F627" s="189"/>
    </row>
    <row r="628" spans="1:6" ht="28.5" customHeight="1" x14ac:dyDescent="0.25">
      <c r="A628" s="187"/>
      <c r="B628" s="188"/>
      <c r="C628" s="189"/>
      <c r="D628" s="199"/>
      <c r="E628" s="189"/>
      <c r="F628" s="189"/>
    </row>
    <row r="629" spans="1:6" ht="28.5" customHeight="1" x14ac:dyDescent="0.25">
      <c r="A629" s="187"/>
      <c r="B629" s="188"/>
      <c r="C629" s="189"/>
      <c r="D629" s="199"/>
      <c r="E629" s="189"/>
      <c r="F629" s="189"/>
    </row>
    <row r="630" spans="1:6" ht="28.5" customHeight="1" x14ac:dyDescent="0.25">
      <c r="A630" s="187"/>
      <c r="B630" s="188"/>
      <c r="C630" s="189"/>
      <c r="D630" s="199"/>
      <c r="E630" s="189"/>
      <c r="F630" s="189"/>
    </row>
    <row r="631" spans="1:6" ht="28.5" customHeight="1" x14ac:dyDescent="0.25">
      <c r="A631" s="187"/>
      <c r="B631" s="188"/>
      <c r="C631" s="189"/>
      <c r="D631" s="199"/>
      <c r="E631" s="189"/>
      <c r="F631" s="189"/>
    </row>
    <row r="632" spans="1:6" ht="28.5" customHeight="1" x14ac:dyDescent="0.25">
      <c r="A632" s="187"/>
      <c r="B632" s="188"/>
      <c r="C632" s="189"/>
      <c r="D632" s="199"/>
      <c r="E632" s="189"/>
      <c r="F632" s="189"/>
    </row>
    <row r="633" spans="1:6" ht="28.5" customHeight="1" x14ac:dyDescent="0.25">
      <c r="A633" s="187"/>
      <c r="B633" s="188"/>
      <c r="C633" s="189"/>
      <c r="D633" s="199"/>
      <c r="E633" s="189"/>
      <c r="F633" s="189"/>
    </row>
    <row r="634" spans="1:6" ht="28.5" customHeight="1" x14ac:dyDescent="0.25">
      <c r="A634" s="187"/>
      <c r="B634" s="188"/>
      <c r="C634" s="189"/>
      <c r="D634" s="199"/>
      <c r="E634" s="189"/>
      <c r="F634" s="189"/>
    </row>
    <row r="635" spans="1:6" ht="28.5" customHeight="1" x14ac:dyDescent="0.25">
      <c r="A635" s="187"/>
      <c r="B635" s="188"/>
      <c r="C635" s="189"/>
      <c r="D635" s="199"/>
      <c r="E635" s="189"/>
      <c r="F635" s="189"/>
    </row>
    <row r="636" spans="1:6" ht="28.5" customHeight="1" x14ac:dyDescent="0.25">
      <c r="A636" s="187"/>
      <c r="B636" s="188"/>
      <c r="C636" s="189"/>
      <c r="D636" s="199"/>
      <c r="E636" s="189"/>
      <c r="F636" s="189"/>
    </row>
    <row r="637" spans="1:6" ht="28.5" customHeight="1" x14ac:dyDescent="0.25">
      <c r="A637" s="187"/>
      <c r="B637" s="188"/>
      <c r="C637" s="189"/>
      <c r="D637" s="199"/>
      <c r="E637" s="189"/>
      <c r="F637" s="189"/>
    </row>
    <row r="638" spans="1:6" ht="28.5" customHeight="1" x14ac:dyDescent="0.25">
      <c r="A638" s="187"/>
      <c r="B638" s="188"/>
      <c r="C638" s="189"/>
      <c r="D638" s="199"/>
      <c r="E638" s="189"/>
      <c r="F638" s="189"/>
    </row>
    <row r="639" spans="1:6" ht="28.5" customHeight="1" x14ac:dyDescent="0.25">
      <c r="A639" s="187"/>
      <c r="B639" s="188"/>
      <c r="C639" s="189"/>
      <c r="D639" s="199"/>
      <c r="E639" s="189"/>
      <c r="F639" s="189"/>
    </row>
    <row r="640" spans="1:6" ht="28.5" customHeight="1" x14ac:dyDescent="0.25">
      <c r="A640" s="187"/>
      <c r="B640" s="188"/>
      <c r="C640" s="189"/>
      <c r="D640" s="199"/>
      <c r="E640" s="189"/>
      <c r="F640" s="189"/>
    </row>
    <row r="641" spans="1:6" ht="28.5" customHeight="1" x14ac:dyDescent="0.25">
      <c r="A641" s="187"/>
      <c r="B641" s="188"/>
      <c r="C641" s="189"/>
      <c r="D641" s="199"/>
      <c r="E641" s="189"/>
      <c r="F641" s="189"/>
    </row>
    <row r="642" spans="1:6" ht="28.5" customHeight="1" x14ac:dyDescent="0.25">
      <c r="A642" s="187"/>
      <c r="B642" s="188"/>
      <c r="C642" s="189"/>
      <c r="D642" s="199"/>
      <c r="E642" s="189"/>
      <c r="F642" s="189"/>
    </row>
    <row r="643" spans="1:6" ht="28.5" customHeight="1" x14ac:dyDescent="0.25">
      <c r="A643" s="187"/>
      <c r="B643" s="188"/>
      <c r="C643" s="189"/>
      <c r="D643" s="199"/>
      <c r="E643" s="189"/>
      <c r="F643" s="189"/>
    </row>
    <row r="644" spans="1:6" ht="28.5" customHeight="1" x14ac:dyDescent="0.25">
      <c r="A644" s="187"/>
      <c r="B644" s="188"/>
      <c r="C644" s="189"/>
      <c r="D644" s="199"/>
      <c r="E644" s="189"/>
      <c r="F644" s="189"/>
    </row>
    <row r="645" spans="1:6" ht="28.5" customHeight="1" x14ac:dyDescent="0.25">
      <c r="A645" s="187"/>
      <c r="B645" s="188"/>
      <c r="C645" s="189"/>
      <c r="D645" s="199"/>
      <c r="E645" s="189"/>
      <c r="F645" s="189"/>
    </row>
    <row r="646" spans="1:6" ht="28.5" customHeight="1" x14ac:dyDescent="0.25">
      <c r="A646" s="187"/>
      <c r="B646" s="188"/>
      <c r="C646" s="189"/>
      <c r="D646" s="199"/>
      <c r="E646" s="189"/>
      <c r="F646" s="189"/>
    </row>
    <row r="647" spans="1:6" ht="28.5" customHeight="1" x14ac:dyDescent="0.25">
      <c r="A647" s="187"/>
      <c r="B647" s="188"/>
      <c r="C647" s="189"/>
      <c r="D647" s="199"/>
      <c r="E647" s="189"/>
      <c r="F647" s="189"/>
    </row>
    <row r="648" spans="1:6" ht="28.5" customHeight="1" x14ac:dyDescent="0.25">
      <c r="A648" s="187"/>
      <c r="B648" s="188"/>
      <c r="C648" s="189"/>
      <c r="D648" s="199"/>
      <c r="E648" s="189"/>
      <c r="F648" s="189"/>
    </row>
    <row r="649" spans="1:6" ht="28.5" customHeight="1" x14ac:dyDescent="0.25">
      <c r="A649" s="187"/>
      <c r="B649" s="188"/>
      <c r="C649" s="189"/>
      <c r="D649" s="199"/>
      <c r="E649" s="189"/>
      <c r="F649" s="189"/>
    </row>
    <row r="650" spans="1:6" ht="28.5" customHeight="1" x14ac:dyDescent="0.25">
      <c r="A650" s="187"/>
      <c r="B650" s="188"/>
      <c r="C650" s="189"/>
      <c r="D650" s="199"/>
      <c r="E650" s="189"/>
      <c r="F650" s="189"/>
    </row>
    <row r="651" spans="1:6" ht="28.5" customHeight="1" x14ac:dyDescent="0.25">
      <c r="A651" s="187"/>
      <c r="B651" s="188"/>
      <c r="C651" s="189"/>
      <c r="D651" s="199"/>
      <c r="E651" s="189"/>
      <c r="F651" s="189"/>
    </row>
    <row r="652" spans="1:6" ht="28.5" customHeight="1" x14ac:dyDescent="0.25">
      <c r="A652" s="187"/>
      <c r="B652" s="188"/>
      <c r="C652" s="189"/>
      <c r="D652" s="199"/>
      <c r="E652" s="189"/>
      <c r="F652" s="189"/>
    </row>
    <row r="653" spans="1:6" ht="28.5" customHeight="1" x14ac:dyDescent="0.25">
      <c r="A653" s="187"/>
      <c r="B653" s="188"/>
      <c r="C653" s="189"/>
      <c r="D653" s="199"/>
      <c r="E653" s="189"/>
      <c r="F653" s="189"/>
    </row>
    <row r="654" spans="1:6" ht="28.5" customHeight="1" x14ac:dyDescent="0.25">
      <c r="A654" s="187"/>
      <c r="B654" s="188"/>
      <c r="C654" s="189"/>
      <c r="D654" s="199"/>
      <c r="E654" s="189"/>
      <c r="F654" s="189"/>
    </row>
    <row r="655" spans="1:6" ht="28.5" customHeight="1" x14ac:dyDescent="0.25">
      <c r="A655" s="187"/>
      <c r="B655" s="188"/>
      <c r="C655" s="189"/>
      <c r="D655" s="199"/>
      <c r="E655" s="189"/>
      <c r="F655" s="189"/>
    </row>
    <row r="656" spans="1:6" ht="28.5" customHeight="1" x14ac:dyDescent="0.25">
      <c r="A656" s="187"/>
      <c r="B656" s="188"/>
      <c r="C656" s="189"/>
      <c r="D656" s="199"/>
      <c r="E656" s="189"/>
      <c r="F656" s="189"/>
    </row>
    <row r="657" spans="1:6" ht="28.5" customHeight="1" x14ac:dyDescent="0.25">
      <c r="A657" s="187"/>
      <c r="B657" s="188"/>
      <c r="C657" s="189"/>
      <c r="D657" s="199"/>
      <c r="E657" s="189"/>
      <c r="F657" s="189"/>
    </row>
    <row r="658" spans="1:6" ht="28.5" customHeight="1" x14ac:dyDescent="0.25">
      <c r="A658" s="187"/>
      <c r="B658" s="188"/>
      <c r="C658" s="189"/>
      <c r="D658" s="199"/>
      <c r="E658" s="189"/>
      <c r="F658" s="189"/>
    </row>
    <row r="659" spans="1:6" ht="28.5" customHeight="1" x14ac:dyDescent="0.25">
      <c r="A659" s="187"/>
      <c r="B659" s="188"/>
      <c r="C659" s="189"/>
      <c r="D659" s="199"/>
      <c r="E659" s="189"/>
      <c r="F659" s="189"/>
    </row>
    <row r="660" spans="1:6" ht="28.5" customHeight="1" x14ac:dyDescent="0.25">
      <c r="A660" s="187"/>
      <c r="B660" s="188"/>
      <c r="C660" s="189"/>
      <c r="D660" s="199"/>
      <c r="E660" s="189"/>
      <c r="F660" s="189"/>
    </row>
    <row r="661" spans="1:6" ht="28.5" customHeight="1" x14ac:dyDescent="0.25">
      <c r="A661" s="187"/>
      <c r="B661" s="188"/>
      <c r="C661" s="189"/>
      <c r="D661" s="199"/>
      <c r="E661" s="189"/>
      <c r="F661" s="189"/>
    </row>
    <row r="662" spans="1:6" ht="28.5" customHeight="1" x14ac:dyDescent="0.25">
      <c r="A662" s="187"/>
      <c r="B662" s="188"/>
      <c r="C662" s="189"/>
      <c r="D662" s="199"/>
      <c r="E662" s="189"/>
      <c r="F662" s="189"/>
    </row>
    <row r="663" spans="1:6" ht="28.5" customHeight="1" x14ac:dyDescent="0.25">
      <c r="A663" s="187"/>
      <c r="B663" s="188"/>
      <c r="C663" s="189"/>
      <c r="D663" s="199"/>
      <c r="E663" s="189"/>
      <c r="F663" s="189"/>
    </row>
    <row r="664" spans="1:6" ht="28.5" customHeight="1" x14ac:dyDescent="0.25">
      <c r="A664" s="187"/>
      <c r="B664" s="188"/>
      <c r="C664" s="189"/>
      <c r="D664" s="199"/>
      <c r="E664" s="189"/>
      <c r="F664" s="189"/>
    </row>
    <row r="665" spans="1:6" ht="28.5" customHeight="1" x14ac:dyDescent="0.25">
      <c r="A665" s="187"/>
      <c r="B665" s="188"/>
      <c r="C665" s="189"/>
      <c r="D665" s="199"/>
      <c r="E665" s="189"/>
      <c r="F665" s="189"/>
    </row>
    <row r="666" spans="1:6" ht="28.5" customHeight="1" x14ac:dyDescent="0.25">
      <c r="A666" s="187"/>
      <c r="B666" s="188"/>
      <c r="C666" s="189"/>
      <c r="D666" s="199"/>
      <c r="E666" s="189"/>
      <c r="F666" s="189"/>
    </row>
    <row r="667" spans="1:6" ht="28.5" customHeight="1" x14ac:dyDescent="0.25">
      <c r="A667" s="187"/>
      <c r="B667" s="188"/>
      <c r="C667" s="189"/>
      <c r="D667" s="199"/>
      <c r="E667" s="189"/>
      <c r="F667" s="189"/>
    </row>
    <row r="668" spans="1:6" ht="28.5" customHeight="1" x14ac:dyDescent="0.25">
      <c r="A668" s="187"/>
      <c r="B668" s="188"/>
      <c r="C668" s="189"/>
      <c r="D668" s="199"/>
      <c r="E668" s="189"/>
      <c r="F668" s="189"/>
    </row>
    <row r="669" spans="1:6" ht="28.5" customHeight="1" x14ac:dyDescent="0.25">
      <c r="A669" s="187"/>
      <c r="B669" s="188"/>
      <c r="C669" s="189"/>
      <c r="D669" s="199"/>
      <c r="E669" s="189"/>
      <c r="F669" s="189"/>
    </row>
    <row r="670" spans="1:6" ht="28.5" customHeight="1" x14ac:dyDescent="0.25">
      <c r="A670" s="187"/>
      <c r="B670" s="188"/>
      <c r="C670" s="189"/>
      <c r="D670" s="199"/>
      <c r="E670" s="189"/>
      <c r="F670" s="189"/>
    </row>
    <row r="671" spans="1:6" ht="28.5" customHeight="1" x14ac:dyDescent="0.25">
      <c r="A671" s="187"/>
      <c r="B671" s="188"/>
      <c r="C671" s="189"/>
      <c r="D671" s="199"/>
      <c r="E671" s="189"/>
      <c r="F671" s="189"/>
    </row>
    <row r="672" spans="1:6" ht="28.5" customHeight="1" x14ac:dyDescent="0.25">
      <c r="A672" s="187"/>
      <c r="B672" s="188"/>
      <c r="C672" s="189"/>
      <c r="D672" s="199"/>
      <c r="E672" s="189"/>
      <c r="F672" s="189"/>
    </row>
    <row r="673" spans="1:6" ht="28.5" customHeight="1" x14ac:dyDescent="0.25">
      <c r="A673" s="187"/>
      <c r="B673" s="188"/>
      <c r="C673" s="189"/>
      <c r="D673" s="199"/>
      <c r="E673" s="189"/>
      <c r="F673" s="189"/>
    </row>
    <row r="674" spans="1:6" ht="28.5" customHeight="1" x14ac:dyDescent="0.25">
      <c r="A674" s="187"/>
      <c r="B674" s="188"/>
      <c r="C674" s="189"/>
      <c r="D674" s="199"/>
      <c r="E674" s="189"/>
      <c r="F674" s="189"/>
    </row>
    <row r="675" spans="1:6" ht="28.5" customHeight="1" x14ac:dyDescent="0.25">
      <c r="A675" s="187"/>
      <c r="B675" s="188"/>
      <c r="C675" s="189"/>
      <c r="D675" s="199"/>
      <c r="E675" s="189"/>
      <c r="F675" s="189"/>
    </row>
    <row r="676" spans="1:6" ht="28.5" customHeight="1" x14ac:dyDescent="0.25">
      <c r="A676" s="187"/>
      <c r="B676" s="188"/>
      <c r="C676" s="189"/>
      <c r="D676" s="199"/>
      <c r="E676" s="189"/>
      <c r="F676" s="189"/>
    </row>
    <row r="677" spans="1:6" ht="28.5" customHeight="1" x14ac:dyDescent="0.25">
      <c r="A677" s="187"/>
      <c r="B677" s="188"/>
      <c r="C677" s="189"/>
      <c r="D677" s="199"/>
      <c r="E677" s="189"/>
      <c r="F677" s="189"/>
    </row>
    <row r="678" spans="1:6" ht="28.5" customHeight="1" x14ac:dyDescent="0.25">
      <c r="A678" s="187"/>
      <c r="B678" s="188"/>
      <c r="C678" s="189"/>
      <c r="D678" s="199"/>
      <c r="E678" s="189"/>
      <c r="F678" s="189"/>
    </row>
    <row r="679" spans="1:6" ht="28.5" customHeight="1" x14ac:dyDescent="0.25">
      <c r="A679" s="187"/>
      <c r="B679" s="188"/>
      <c r="C679" s="189"/>
      <c r="D679" s="199"/>
      <c r="E679" s="189"/>
      <c r="F679" s="189"/>
    </row>
    <row r="680" spans="1:6" ht="28.5" customHeight="1" x14ac:dyDescent="0.25">
      <c r="A680" s="187"/>
      <c r="B680" s="188"/>
      <c r="C680" s="189"/>
      <c r="D680" s="199"/>
      <c r="E680" s="189"/>
      <c r="F680" s="189"/>
    </row>
    <row r="681" spans="1:6" ht="28.5" customHeight="1" x14ac:dyDescent="0.25">
      <c r="A681" s="187"/>
      <c r="B681" s="188"/>
      <c r="C681" s="189"/>
      <c r="D681" s="199"/>
      <c r="E681" s="189"/>
      <c r="F681" s="189"/>
    </row>
    <row r="682" spans="1:6" ht="28.5" customHeight="1" x14ac:dyDescent="0.25">
      <c r="A682" s="187"/>
      <c r="B682" s="188"/>
      <c r="C682" s="189"/>
      <c r="D682" s="199"/>
      <c r="E682" s="189"/>
      <c r="F682" s="189"/>
    </row>
    <row r="683" spans="1:6" ht="28.5" customHeight="1" x14ac:dyDescent="0.25">
      <c r="A683" s="187"/>
      <c r="B683" s="188"/>
      <c r="C683" s="189"/>
      <c r="D683" s="199"/>
      <c r="E683" s="189"/>
      <c r="F683" s="189"/>
    </row>
    <row r="684" spans="1:6" ht="28.5" customHeight="1" x14ac:dyDescent="0.25">
      <c r="A684" s="187"/>
      <c r="B684" s="188"/>
      <c r="C684" s="189"/>
      <c r="D684" s="199"/>
      <c r="E684" s="189"/>
      <c r="F684" s="189"/>
    </row>
    <row r="685" spans="1:6" ht="28.5" customHeight="1" x14ac:dyDescent="0.25">
      <c r="A685" s="187"/>
      <c r="B685" s="188"/>
      <c r="C685" s="189"/>
      <c r="D685" s="199"/>
      <c r="E685" s="189"/>
      <c r="F685" s="189"/>
    </row>
    <row r="686" spans="1:6" ht="28.5" customHeight="1" x14ac:dyDescent="0.25">
      <c r="A686" s="187"/>
      <c r="B686" s="188"/>
      <c r="C686" s="189"/>
      <c r="D686" s="199"/>
      <c r="E686" s="189"/>
      <c r="F686" s="189"/>
    </row>
    <row r="687" spans="1:6" ht="28.5" customHeight="1" x14ac:dyDescent="0.25">
      <c r="A687" s="187"/>
      <c r="B687" s="188"/>
      <c r="C687" s="189"/>
      <c r="D687" s="199"/>
      <c r="E687" s="189"/>
      <c r="F687" s="189"/>
    </row>
    <row r="688" spans="1:6" ht="28.5" customHeight="1" x14ac:dyDescent="0.25">
      <c r="A688" s="187"/>
      <c r="B688" s="188"/>
      <c r="C688" s="189"/>
      <c r="D688" s="199"/>
      <c r="E688" s="189"/>
      <c r="F688" s="189"/>
    </row>
    <row r="689" spans="1:6" ht="28.5" customHeight="1" x14ac:dyDescent="0.25">
      <c r="A689" s="187"/>
      <c r="B689" s="188"/>
      <c r="C689" s="189"/>
      <c r="D689" s="199"/>
      <c r="E689" s="189"/>
      <c r="F689" s="189"/>
    </row>
    <row r="690" spans="1:6" ht="28.5" customHeight="1" x14ac:dyDescent="0.25">
      <c r="A690" s="187"/>
      <c r="B690" s="188"/>
      <c r="C690" s="189"/>
      <c r="D690" s="199"/>
      <c r="E690" s="189"/>
      <c r="F690" s="189"/>
    </row>
    <row r="691" spans="1:6" ht="28.5" customHeight="1" x14ac:dyDescent="0.25">
      <c r="A691" s="187"/>
      <c r="B691" s="188"/>
      <c r="C691" s="189"/>
      <c r="D691" s="199"/>
      <c r="E691" s="189"/>
      <c r="F691" s="189"/>
    </row>
    <row r="692" spans="1:6" ht="28.5" customHeight="1" x14ac:dyDescent="0.25">
      <c r="A692" s="187"/>
      <c r="B692" s="188"/>
      <c r="C692" s="189"/>
      <c r="D692" s="199"/>
      <c r="E692" s="189"/>
      <c r="F692" s="189"/>
    </row>
    <row r="693" spans="1:6" ht="28.5" customHeight="1" x14ac:dyDescent="0.25">
      <c r="A693" s="187"/>
      <c r="B693" s="188"/>
      <c r="C693" s="189"/>
      <c r="D693" s="199"/>
      <c r="E693" s="189"/>
      <c r="F693" s="189"/>
    </row>
    <row r="694" spans="1:6" ht="28.5" customHeight="1" x14ac:dyDescent="0.25">
      <c r="A694" s="187"/>
      <c r="B694" s="188"/>
      <c r="C694" s="189"/>
      <c r="D694" s="199"/>
      <c r="E694" s="189"/>
      <c r="F694" s="189"/>
    </row>
    <row r="695" spans="1:6" ht="28.5" customHeight="1" x14ac:dyDescent="0.25">
      <c r="A695" s="187"/>
      <c r="B695" s="188"/>
      <c r="C695" s="189"/>
      <c r="D695" s="199"/>
      <c r="E695" s="189"/>
      <c r="F695" s="189"/>
    </row>
    <row r="696" spans="1:6" ht="28.5" customHeight="1" x14ac:dyDescent="0.25">
      <c r="A696" s="187"/>
      <c r="B696" s="188"/>
      <c r="C696" s="189"/>
      <c r="D696" s="199"/>
      <c r="E696" s="189"/>
      <c r="F696" s="189"/>
    </row>
    <row r="697" spans="1:6" ht="28.5" customHeight="1" x14ac:dyDescent="0.25">
      <c r="A697" s="187"/>
      <c r="B697" s="188"/>
      <c r="C697" s="189"/>
      <c r="D697" s="199"/>
      <c r="E697" s="189"/>
      <c r="F697" s="189"/>
    </row>
    <row r="698" spans="1:6" ht="28.5" customHeight="1" x14ac:dyDescent="0.25">
      <c r="A698" s="187"/>
      <c r="B698" s="188"/>
      <c r="C698" s="189"/>
      <c r="D698" s="199"/>
      <c r="E698" s="189"/>
      <c r="F698" s="189"/>
    </row>
    <row r="699" spans="1:6" ht="28.5" customHeight="1" x14ac:dyDescent="0.25">
      <c r="A699" s="187"/>
      <c r="B699" s="188"/>
      <c r="C699" s="189"/>
      <c r="D699" s="199"/>
      <c r="E699" s="189"/>
      <c r="F699" s="189"/>
    </row>
    <row r="700" spans="1:6" ht="28.5" customHeight="1" x14ac:dyDescent="0.25">
      <c r="A700" s="187"/>
      <c r="B700" s="188"/>
      <c r="C700" s="189"/>
      <c r="D700" s="199"/>
      <c r="E700" s="189"/>
      <c r="F700" s="189"/>
    </row>
    <row r="701" spans="1:6" ht="28.5" customHeight="1" x14ac:dyDescent="0.25">
      <c r="A701" s="187"/>
      <c r="B701" s="188"/>
      <c r="C701" s="189"/>
      <c r="D701" s="199"/>
      <c r="E701" s="189"/>
      <c r="F701" s="189"/>
    </row>
    <row r="702" spans="1:6" ht="28.5" customHeight="1" x14ac:dyDescent="0.25">
      <c r="A702" s="187"/>
      <c r="B702" s="188"/>
      <c r="C702" s="189"/>
      <c r="D702" s="199"/>
      <c r="E702" s="189"/>
      <c r="F702" s="189"/>
    </row>
    <row r="703" spans="1:6" ht="28.5" customHeight="1" x14ac:dyDescent="0.25">
      <c r="A703" s="187"/>
      <c r="B703" s="188"/>
      <c r="C703" s="189"/>
      <c r="D703" s="199"/>
      <c r="E703" s="189"/>
      <c r="F703" s="189"/>
    </row>
    <row r="704" spans="1:6" ht="28.5" customHeight="1" x14ac:dyDescent="0.25">
      <c r="A704" s="187"/>
      <c r="B704" s="188"/>
      <c r="C704" s="189"/>
      <c r="D704" s="199"/>
      <c r="E704" s="189"/>
      <c r="F704" s="189"/>
    </row>
    <row r="705" spans="1:6" ht="28.5" customHeight="1" x14ac:dyDescent="0.25">
      <c r="A705" s="187"/>
      <c r="B705" s="188"/>
      <c r="C705" s="189"/>
      <c r="D705" s="199"/>
      <c r="E705" s="189"/>
      <c r="F705" s="189"/>
    </row>
    <row r="706" spans="1:6" ht="28.5" customHeight="1" x14ac:dyDescent="0.25">
      <c r="A706" s="187"/>
      <c r="B706" s="188"/>
      <c r="C706" s="189"/>
      <c r="D706" s="199"/>
      <c r="E706" s="189"/>
      <c r="F706" s="189"/>
    </row>
    <row r="707" spans="1:6" ht="28.5" customHeight="1" x14ac:dyDescent="0.25">
      <c r="A707" s="187"/>
      <c r="B707" s="188"/>
      <c r="C707" s="189"/>
      <c r="D707" s="199"/>
      <c r="E707" s="189"/>
      <c r="F707" s="189"/>
    </row>
    <row r="708" spans="1:6" ht="28.5" customHeight="1" x14ac:dyDescent="0.25">
      <c r="A708" s="187"/>
      <c r="B708" s="188"/>
      <c r="C708" s="189"/>
      <c r="D708" s="199"/>
      <c r="E708" s="189"/>
      <c r="F708" s="189"/>
    </row>
    <row r="709" spans="1:6" ht="28.5" customHeight="1" x14ac:dyDescent="0.25">
      <c r="A709" s="187"/>
      <c r="B709" s="188"/>
      <c r="C709" s="189"/>
      <c r="D709" s="199"/>
      <c r="E709" s="189"/>
      <c r="F709" s="189"/>
    </row>
    <row r="710" spans="1:6" ht="28.5" customHeight="1" x14ac:dyDescent="0.25">
      <c r="A710" s="187"/>
      <c r="B710" s="188"/>
      <c r="C710" s="189"/>
      <c r="D710" s="199"/>
      <c r="E710" s="189"/>
      <c r="F710" s="189"/>
    </row>
    <row r="711" spans="1:6" ht="28.5" customHeight="1" x14ac:dyDescent="0.25">
      <c r="A711" s="187"/>
      <c r="B711" s="188"/>
      <c r="C711" s="189"/>
      <c r="D711" s="199"/>
      <c r="E711" s="189"/>
      <c r="F711" s="189"/>
    </row>
    <row r="712" spans="1:6" ht="28.5" customHeight="1" x14ac:dyDescent="0.25">
      <c r="A712" s="187"/>
      <c r="B712" s="188"/>
      <c r="C712" s="189"/>
      <c r="D712" s="199"/>
      <c r="E712" s="189"/>
      <c r="F712" s="189"/>
    </row>
    <row r="713" spans="1:6" ht="28.5" customHeight="1" x14ac:dyDescent="0.25">
      <c r="A713" s="187"/>
      <c r="B713" s="188"/>
      <c r="C713" s="189"/>
      <c r="D713" s="199"/>
      <c r="E713" s="189"/>
      <c r="F713" s="189"/>
    </row>
    <row r="714" spans="1:6" ht="28.5" customHeight="1" x14ac:dyDescent="0.25">
      <c r="A714" s="187"/>
      <c r="B714" s="188"/>
      <c r="C714" s="189"/>
      <c r="D714" s="199"/>
      <c r="E714" s="189"/>
      <c r="F714" s="189"/>
    </row>
    <row r="715" spans="1:6" ht="28.5" customHeight="1" x14ac:dyDescent="0.25">
      <c r="A715" s="187"/>
      <c r="B715" s="188"/>
      <c r="C715" s="189"/>
      <c r="D715" s="199"/>
      <c r="E715" s="189"/>
      <c r="F715" s="189"/>
    </row>
    <row r="716" spans="1:6" ht="28.5" customHeight="1" x14ac:dyDescent="0.25">
      <c r="A716" s="187"/>
      <c r="B716" s="188"/>
      <c r="C716" s="189"/>
      <c r="D716" s="199"/>
      <c r="E716" s="189"/>
      <c r="F716" s="189"/>
    </row>
    <row r="717" spans="1:6" ht="28.5" customHeight="1" x14ac:dyDescent="0.25">
      <c r="A717" s="187"/>
      <c r="B717" s="188"/>
      <c r="C717" s="189"/>
      <c r="D717" s="199"/>
      <c r="E717" s="189"/>
      <c r="F717" s="189"/>
    </row>
    <row r="718" spans="1:6" ht="28.5" customHeight="1" x14ac:dyDescent="0.25">
      <c r="A718" s="187"/>
      <c r="B718" s="188"/>
      <c r="C718" s="189"/>
      <c r="D718" s="199"/>
      <c r="E718" s="189"/>
      <c r="F718" s="189"/>
    </row>
    <row r="719" spans="1:6" ht="28.5" customHeight="1" x14ac:dyDescent="0.25">
      <c r="A719" s="187"/>
      <c r="B719" s="188"/>
      <c r="C719" s="189"/>
      <c r="D719" s="199"/>
      <c r="E719" s="189"/>
      <c r="F719" s="189"/>
    </row>
    <row r="720" spans="1:6" ht="28.5" customHeight="1" x14ac:dyDescent="0.25">
      <c r="A720" s="187"/>
      <c r="B720" s="188"/>
      <c r="C720" s="189"/>
      <c r="D720" s="199"/>
      <c r="E720" s="189"/>
      <c r="F720" s="189"/>
    </row>
    <row r="721" spans="1:6" ht="28.5" customHeight="1" x14ac:dyDescent="0.25">
      <c r="A721" s="187"/>
      <c r="B721" s="188"/>
      <c r="C721" s="189"/>
      <c r="D721" s="199"/>
      <c r="E721" s="189"/>
      <c r="F721" s="189"/>
    </row>
    <row r="722" spans="1:6" ht="28.5" customHeight="1" x14ac:dyDescent="0.25">
      <c r="A722" s="187"/>
      <c r="B722" s="188"/>
      <c r="C722" s="189"/>
      <c r="D722" s="199"/>
      <c r="E722" s="189"/>
      <c r="F722" s="189"/>
    </row>
    <row r="723" spans="1:6" ht="28.5" customHeight="1" x14ac:dyDescent="0.25">
      <c r="A723" s="187"/>
      <c r="B723" s="188"/>
      <c r="C723" s="189"/>
      <c r="D723" s="199"/>
      <c r="E723" s="189"/>
      <c r="F723" s="189"/>
    </row>
    <row r="724" spans="1:6" ht="28.5" customHeight="1" x14ac:dyDescent="0.25">
      <c r="A724" s="187"/>
      <c r="B724" s="188"/>
      <c r="C724" s="189"/>
      <c r="D724" s="199"/>
      <c r="E724" s="189"/>
      <c r="F724" s="189"/>
    </row>
    <row r="725" spans="1:6" ht="28.5" customHeight="1" x14ac:dyDescent="0.25">
      <c r="A725" s="187"/>
      <c r="B725" s="188"/>
      <c r="C725" s="189"/>
      <c r="D725" s="199"/>
      <c r="E725" s="189"/>
      <c r="F725" s="189"/>
    </row>
    <row r="726" spans="1:6" ht="28.5" customHeight="1" x14ac:dyDescent="0.25">
      <c r="A726" s="187"/>
      <c r="B726" s="188"/>
      <c r="C726" s="189"/>
      <c r="D726" s="199"/>
      <c r="E726" s="189"/>
      <c r="F726" s="189"/>
    </row>
    <row r="727" spans="1:6" ht="28.5" customHeight="1" x14ac:dyDescent="0.25">
      <c r="A727" s="187"/>
      <c r="B727" s="188"/>
      <c r="C727" s="189"/>
      <c r="D727" s="199"/>
      <c r="E727" s="189"/>
      <c r="F727" s="189"/>
    </row>
    <row r="728" spans="1:6" ht="28.5" customHeight="1" x14ac:dyDescent="0.25">
      <c r="A728" s="187"/>
      <c r="B728" s="188"/>
      <c r="C728" s="189"/>
      <c r="D728" s="199"/>
      <c r="E728" s="189"/>
      <c r="F728" s="189"/>
    </row>
    <row r="729" spans="1:6" ht="28.5" customHeight="1" x14ac:dyDescent="0.25">
      <c r="A729" s="187"/>
      <c r="B729" s="188"/>
      <c r="C729" s="189"/>
      <c r="D729" s="199"/>
      <c r="E729" s="189"/>
      <c r="F729" s="189"/>
    </row>
    <row r="730" spans="1:6" ht="28.5" customHeight="1" x14ac:dyDescent="0.25">
      <c r="A730" s="187"/>
      <c r="B730" s="188"/>
      <c r="C730" s="189"/>
      <c r="D730" s="199"/>
      <c r="E730" s="189"/>
      <c r="F730" s="189"/>
    </row>
    <row r="731" spans="1:6" ht="28.5" customHeight="1" x14ac:dyDescent="0.25">
      <c r="A731" s="187"/>
      <c r="B731" s="188"/>
      <c r="C731" s="189"/>
      <c r="D731" s="199"/>
      <c r="E731" s="189"/>
      <c r="F731" s="189"/>
    </row>
    <row r="732" spans="1:6" ht="28.5" customHeight="1" x14ac:dyDescent="0.25">
      <c r="A732" s="187"/>
      <c r="B732" s="188"/>
      <c r="C732" s="189"/>
      <c r="D732" s="199"/>
      <c r="E732" s="189"/>
      <c r="F732" s="189"/>
    </row>
    <row r="733" spans="1:6" ht="28.5" customHeight="1" x14ac:dyDescent="0.25">
      <c r="A733" s="187"/>
      <c r="B733" s="188"/>
      <c r="C733" s="189"/>
      <c r="D733" s="199"/>
      <c r="E733" s="189"/>
      <c r="F733" s="189"/>
    </row>
    <row r="734" spans="1:6" ht="28.5" customHeight="1" x14ac:dyDescent="0.25">
      <c r="A734" s="187"/>
      <c r="B734" s="188"/>
      <c r="C734" s="189"/>
      <c r="D734" s="199"/>
      <c r="E734" s="189"/>
      <c r="F734" s="189"/>
    </row>
    <row r="735" spans="1:6" ht="28.5" customHeight="1" x14ac:dyDescent="0.25">
      <c r="A735" s="187"/>
      <c r="B735" s="188"/>
      <c r="C735" s="189"/>
      <c r="D735" s="199"/>
      <c r="E735" s="189"/>
      <c r="F735" s="189"/>
    </row>
    <row r="736" spans="1:6" ht="28.5" customHeight="1" x14ac:dyDescent="0.25">
      <c r="A736" s="187"/>
      <c r="B736" s="188"/>
      <c r="C736" s="189"/>
      <c r="D736" s="199"/>
      <c r="E736" s="189"/>
      <c r="F736" s="189"/>
    </row>
    <row r="737" spans="1:6" ht="28.5" customHeight="1" x14ac:dyDescent="0.25">
      <c r="A737" s="187"/>
      <c r="B737" s="188"/>
      <c r="C737" s="189"/>
      <c r="D737" s="199"/>
      <c r="E737" s="189"/>
      <c r="F737" s="189"/>
    </row>
    <row r="738" spans="1:6" ht="28.5" customHeight="1" x14ac:dyDescent="0.25">
      <c r="A738" s="187"/>
      <c r="B738" s="188"/>
      <c r="C738" s="189"/>
      <c r="D738" s="199"/>
      <c r="E738" s="189"/>
      <c r="F738" s="189"/>
    </row>
    <row r="739" spans="1:6" ht="28.5" customHeight="1" x14ac:dyDescent="0.25">
      <c r="A739" s="187"/>
      <c r="B739" s="188"/>
      <c r="C739" s="189"/>
      <c r="D739" s="199"/>
      <c r="E739" s="189"/>
      <c r="F739" s="189"/>
    </row>
    <row r="740" spans="1:6" ht="28.5" customHeight="1" x14ac:dyDescent="0.25">
      <c r="A740" s="187"/>
      <c r="B740" s="188"/>
      <c r="C740" s="189"/>
      <c r="D740" s="199"/>
      <c r="E740" s="189"/>
      <c r="F740" s="189"/>
    </row>
    <row r="741" spans="1:6" ht="28.5" customHeight="1" x14ac:dyDescent="0.25">
      <c r="A741" s="187"/>
      <c r="B741" s="188"/>
      <c r="C741" s="189"/>
      <c r="D741" s="199"/>
      <c r="E741" s="189"/>
      <c r="F741" s="189"/>
    </row>
    <row r="742" spans="1:6" ht="28.5" customHeight="1" x14ac:dyDescent="0.25">
      <c r="A742" s="187"/>
      <c r="B742" s="188"/>
      <c r="C742" s="189"/>
      <c r="D742" s="199"/>
      <c r="E742" s="189"/>
      <c r="F742" s="189"/>
    </row>
    <row r="743" spans="1:6" ht="28.5" customHeight="1" x14ac:dyDescent="0.25">
      <c r="A743" s="187"/>
      <c r="B743" s="188"/>
      <c r="C743" s="189"/>
      <c r="D743" s="199"/>
      <c r="E743" s="189"/>
      <c r="F743" s="189"/>
    </row>
    <row r="744" spans="1:6" ht="28.5" customHeight="1" x14ac:dyDescent="0.25">
      <c r="A744" s="187"/>
      <c r="B744" s="188"/>
      <c r="C744" s="189"/>
      <c r="D744" s="199"/>
      <c r="E744" s="189"/>
      <c r="F744" s="189"/>
    </row>
    <row r="745" spans="1:6" ht="28.5" customHeight="1" x14ac:dyDescent="0.25">
      <c r="A745" s="187"/>
      <c r="B745" s="188"/>
      <c r="C745" s="189"/>
      <c r="D745" s="199"/>
      <c r="E745" s="189"/>
      <c r="F745" s="189"/>
    </row>
    <row r="746" spans="1:6" ht="28.5" customHeight="1" x14ac:dyDescent="0.25">
      <c r="A746" s="187"/>
      <c r="B746" s="188"/>
      <c r="C746" s="189"/>
      <c r="D746" s="199"/>
      <c r="E746" s="189"/>
      <c r="F746" s="189"/>
    </row>
    <row r="747" spans="1:6" ht="28.5" customHeight="1" x14ac:dyDescent="0.25">
      <c r="A747" s="187"/>
      <c r="B747" s="188"/>
      <c r="C747" s="189"/>
      <c r="D747" s="199"/>
      <c r="E747" s="189"/>
      <c r="F747" s="189"/>
    </row>
    <row r="748" spans="1:6" ht="28.5" customHeight="1" x14ac:dyDescent="0.25">
      <c r="A748" s="187"/>
      <c r="B748" s="188"/>
      <c r="C748" s="189"/>
      <c r="D748" s="199"/>
      <c r="E748" s="189"/>
      <c r="F748" s="189"/>
    </row>
    <row r="749" spans="1:6" ht="28.5" customHeight="1" x14ac:dyDescent="0.25">
      <c r="A749" s="187"/>
      <c r="B749" s="188"/>
      <c r="C749" s="189"/>
      <c r="D749" s="199"/>
      <c r="E749" s="189"/>
      <c r="F749" s="189"/>
    </row>
    <row r="750" spans="1:6" ht="28.5" customHeight="1" x14ac:dyDescent="0.25">
      <c r="A750" s="187"/>
      <c r="B750" s="188"/>
      <c r="C750" s="189"/>
      <c r="D750" s="199"/>
      <c r="E750" s="189"/>
      <c r="F750" s="189"/>
    </row>
    <row r="751" spans="1:6" ht="28.5" customHeight="1" x14ac:dyDescent="0.25">
      <c r="A751" s="187"/>
      <c r="B751" s="188"/>
      <c r="C751" s="189"/>
      <c r="D751" s="199"/>
      <c r="E751" s="189"/>
      <c r="F751" s="189"/>
    </row>
    <row r="752" spans="1:6" ht="28.5" customHeight="1" x14ac:dyDescent="0.25">
      <c r="A752" s="187"/>
      <c r="B752" s="188"/>
      <c r="C752" s="189"/>
      <c r="D752" s="199"/>
      <c r="E752" s="189"/>
      <c r="F752" s="189"/>
    </row>
    <row r="753" spans="1:6" ht="28.5" customHeight="1" x14ac:dyDescent="0.25">
      <c r="A753" s="187"/>
      <c r="B753" s="188"/>
      <c r="C753" s="189"/>
      <c r="D753" s="199"/>
      <c r="E753" s="189"/>
      <c r="F753" s="189"/>
    </row>
    <row r="754" spans="1:6" ht="28.5" customHeight="1" x14ac:dyDescent="0.25">
      <c r="A754" s="187"/>
      <c r="B754" s="188"/>
      <c r="C754" s="189"/>
      <c r="D754" s="199"/>
      <c r="E754" s="189"/>
      <c r="F754" s="189"/>
    </row>
    <row r="755" spans="1:6" ht="28.5" customHeight="1" x14ac:dyDescent="0.25">
      <c r="A755" s="187"/>
      <c r="B755" s="188"/>
      <c r="C755" s="189"/>
      <c r="D755" s="199"/>
      <c r="E755" s="189"/>
      <c r="F755" s="189"/>
    </row>
    <row r="756" spans="1:6" ht="28.5" customHeight="1" x14ac:dyDescent="0.25">
      <c r="A756" s="187"/>
      <c r="B756" s="188"/>
      <c r="C756" s="189"/>
      <c r="D756" s="199"/>
      <c r="E756" s="189"/>
      <c r="F756" s="189"/>
    </row>
    <row r="757" spans="1:6" ht="28.5" customHeight="1" x14ac:dyDescent="0.25">
      <c r="A757" s="187"/>
      <c r="B757" s="188"/>
      <c r="C757" s="189"/>
      <c r="D757" s="199"/>
      <c r="E757" s="189"/>
      <c r="F757" s="189"/>
    </row>
    <row r="758" spans="1:6" ht="28.5" customHeight="1" x14ac:dyDescent="0.25">
      <c r="A758" s="187"/>
      <c r="B758" s="188"/>
      <c r="C758" s="189"/>
      <c r="D758" s="199"/>
      <c r="E758" s="189"/>
      <c r="F758" s="189"/>
    </row>
    <row r="759" spans="1:6" ht="28.5" customHeight="1" x14ac:dyDescent="0.25">
      <c r="A759" s="187"/>
      <c r="B759" s="188"/>
      <c r="C759" s="189"/>
      <c r="D759" s="199"/>
      <c r="E759" s="189"/>
      <c r="F759" s="189"/>
    </row>
    <row r="760" spans="1:6" ht="28.5" customHeight="1" x14ac:dyDescent="0.25">
      <c r="A760" s="187"/>
      <c r="B760" s="188"/>
      <c r="C760" s="189"/>
      <c r="D760" s="199"/>
      <c r="E760" s="189"/>
      <c r="F760" s="189"/>
    </row>
    <row r="761" spans="1:6" ht="28.5" customHeight="1" x14ac:dyDescent="0.25">
      <c r="A761" s="187"/>
      <c r="B761" s="188"/>
      <c r="C761" s="189"/>
      <c r="D761" s="199"/>
      <c r="E761" s="189"/>
      <c r="F761" s="189"/>
    </row>
    <row r="762" spans="1:6" ht="28.5" customHeight="1" x14ac:dyDescent="0.25">
      <c r="A762" s="187"/>
      <c r="B762" s="188"/>
      <c r="C762" s="189"/>
      <c r="D762" s="199"/>
      <c r="E762" s="189"/>
      <c r="F762" s="189"/>
    </row>
    <row r="763" spans="1:6" ht="28.5" customHeight="1" x14ac:dyDescent="0.25">
      <c r="A763" s="187"/>
      <c r="B763" s="188"/>
      <c r="C763" s="189"/>
      <c r="D763" s="199"/>
      <c r="E763" s="189"/>
      <c r="F763" s="189"/>
    </row>
    <row r="764" spans="1:6" ht="28.5" customHeight="1" x14ac:dyDescent="0.25">
      <c r="A764" s="187"/>
      <c r="B764" s="188"/>
      <c r="C764" s="189"/>
      <c r="D764" s="199"/>
      <c r="E764" s="189"/>
      <c r="F764" s="189"/>
    </row>
    <row r="765" spans="1:6" ht="28.5" customHeight="1" x14ac:dyDescent="0.25">
      <c r="A765" s="187"/>
      <c r="B765" s="188"/>
      <c r="C765" s="189"/>
      <c r="D765" s="199"/>
      <c r="E765" s="189"/>
      <c r="F765" s="189"/>
    </row>
    <row r="766" spans="1:6" ht="28.5" customHeight="1" x14ac:dyDescent="0.25">
      <c r="A766" s="187"/>
      <c r="B766" s="188"/>
      <c r="C766" s="189"/>
      <c r="D766" s="199"/>
      <c r="E766" s="189"/>
      <c r="F766" s="189"/>
    </row>
    <row r="767" spans="1:6" ht="28.5" customHeight="1" x14ac:dyDescent="0.25">
      <c r="A767" s="187"/>
      <c r="B767" s="188"/>
      <c r="C767" s="189"/>
      <c r="D767" s="199"/>
      <c r="E767" s="189"/>
      <c r="F767" s="189"/>
    </row>
    <row r="768" spans="1:6" ht="28.5" customHeight="1" x14ac:dyDescent="0.25">
      <c r="A768" s="187"/>
      <c r="B768" s="188"/>
      <c r="C768" s="189"/>
      <c r="D768" s="199"/>
      <c r="E768" s="189"/>
      <c r="F768" s="189"/>
    </row>
    <row r="769" spans="1:6" ht="28.5" customHeight="1" x14ac:dyDescent="0.25">
      <c r="A769" s="187"/>
      <c r="B769" s="188"/>
      <c r="C769" s="189"/>
      <c r="D769" s="199"/>
      <c r="E769" s="189"/>
      <c r="F769" s="189"/>
    </row>
    <row r="770" spans="1:6" ht="28.5" customHeight="1" x14ac:dyDescent="0.25">
      <c r="A770" s="187"/>
      <c r="B770" s="188"/>
      <c r="C770" s="189"/>
      <c r="D770" s="199"/>
      <c r="E770" s="189"/>
      <c r="F770" s="189"/>
    </row>
    <row r="771" spans="1:6" ht="28.5" customHeight="1" x14ac:dyDescent="0.25">
      <c r="A771" s="187"/>
      <c r="B771" s="188"/>
      <c r="C771" s="189"/>
      <c r="D771" s="199"/>
      <c r="E771" s="189"/>
      <c r="F771" s="189"/>
    </row>
    <row r="772" spans="1:6" ht="28.5" customHeight="1" x14ac:dyDescent="0.25">
      <c r="A772" s="187"/>
      <c r="B772" s="188"/>
      <c r="C772" s="189"/>
      <c r="D772" s="199"/>
      <c r="E772" s="189"/>
      <c r="F772" s="189"/>
    </row>
    <row r="773" spans="1:6" ht="28.5" customHeight="1" x14ac:dyDescent="0.25">
      <c r="A773" s="187"/>
      <c r="B773" s="188"/>
      <c r="C773" s="189"/>
      <c r="D773" s="199"/>
      <c r="E773" s="189"/>
      <c r="F773" s="189"/>
    </row>
    <row r="774" spans="1:6" ht="28.5" customHeight="1" x14ac:dyDescent="0.25">
      <c r="A774" s="187"/>
      <c r="B774" s="188"/>
      <c r="C774" s="189"/>
      <c r="D774" s="199"/>
      <c r="E774" s="189"/>
      <c r="F774" s="189"/>
    </row>
    <row r="775" spans="1:6" ht="28.5" customHeight="1" x14ac:dyDescent="0.25">
      <c r="A775" s="187"/>
      <c r="B775" s="188"/>
      <c r="C775" s="189"/>
      <c r="D775" s="199"/>
      <c r="E775" s="189"/>
      <c r="F775" s="189"/>
    </row>
    <row r="776" spans="1:6" ht="28.5" customHeight="1" x14ac:dyDescent="0.25">
      <c r="A776" s="187"/>
      <c r="B776" s="188"/>
      <c r="C776" s="189"/>
      <c r="D776" s="199"/>
      <c r="E776" s="189"/>
      <c r="F776" s="189"/>
    </row>
    <row r="777" spans="1:6" ht="28.5" customHeight="1" x14ac:dyDescent="0.25">
      <c r="A777" s="187"/>
      <c r="B777" s="188"/>
      <c r="C777" s="189"/>
      <c r="D777" s="199"/>
      <c r="E777" s="189"/>
      <c r="F777" s="189"/>
    </row>
    <row r="778" spans="1:6" ht="28.5" customHeight="1" x14ac:dyDescent="0.25">
      <c r="A778" s="187"/>
      <c r="B778" s="188"/>
      <c r="C778" s="189"/>
      <c r="D778" s="199"/>
      <c r="E778" s="189"/>
      <c r="F778" s="189"/>
    </row>
    <row r="779" spans="1:6" ht="28.5" customHeight="1" x14ac:dyDescent="0.25">
      <c r="A779" s="187"/>
      <c r="B779" s="188"/>
      <c r="C779" s="189"/>
      <c r="D779" s="199"/>
      <c r="E779" s="189"/>
      <c r="F779" s="189"/>
    </row>
    <row r="780" spans="1:6" ht="28.5" customHeight="1" x14ac:dyDescent="0.25">
      <c r="A780" s="187"/>
      <c r="B780" s="188"/>
      <c r="C780" s="189"/>
      <c r="D780" s="199"/>
      <c r="E780" s="189"/>
      <c r="F780" s="189"/>
    </row>
    <row r="781" spans="1:6" ht="28.5" customHeight="1" x14ac:dyDescent="0.25">
      <c r="A781" s="187"/>
      <c r="B781" s="188"/>
      <c r="C781" s="189"/>
      <c r="D781" s="199"/>
      <c r="E781" s="189"/>
      <c r="F781" s="189"/>
    </row>
    <row r="782" spans="1:6" ht="28.5" customHeight="1" x14ac:dyDescent="0.25">
      <c r="A782" s="187"/>
      <c r="B782" s="188"/>
      <c r="C782" s="189"/>
      <c r="D782" s="199"/>
      <c r="E782" s="189"/>
      <c r="F782" s="189"/>
    </row>
    <row r="783" spans="1:6" ht="28.5" customHeight="1" x14ac:dyDescent="0.25">
      <c r="A783" s="187"/>
      <c r="B783" s="188"/>
      <c r="C783" s="189"/>
      <c r="D783" s="199"/>
      <c r="E783" s="189"/>
      <c r="F783" s="189"/>
    </row>
    <row r="784" spans="1:6" ht="28.5" customHeight="1" x14ac:dyDescent="0.25">
      <c r="A784" s="187"/>
      <c r="B784" s="188"/>
      <c r="C784" s="189"/>
      <c r="D784" s="199"/>
      <c r="E784" s="189"/>
      <c r="F784" s="189"/>
    </row>
    <row r="785" spans="1:6" ht="28.5" customHeight="1" x14ac:dyDescent="0.25">
      <c r="A785" s="187"/>
      <c r="B785" s="188"/>
      <c r="C785" s="189"/>
      <c r="D785" s="199"/>
      <c r="E785" s="189"/>
      <c r="F785" s="189"/>
    </row>
    <row r="786" spans="1:6" ht="28.5" customHeight="1" x14ac:dyDescent="0.25">
      <c r="A786" s="187"/>
      <c r="B786" s="188"/>
      <c r="C786" s="189"/>
      <c r="D786" s="199"/>
      <c r="E786" s="189"/>
      <c r="F786" s="189"/>
    </row>
    <row r="787" spans="1:6" ht="28.5" customHeight="1" x14ac:dyDescent="0.25">
      <c r="A787" s="187"/>
      <c r="B787" s="188"/>
      <c r="C787" s="189"/>
      <c r="D787" s="199"/>
      <c r="E787" s="189"/>
      <c r="F787" s="189"/>
    </row>
    <row r="788" spans="1:6" ht="28.5" customHeight="1" x14ac:dyDescent="0.25">
      <c r="A788" s="187"/>
      <c r="B788" s="188"/>
      <c r="C788" s="189"/>
      <c r="D788" s="199"/>
      <c r="E788" s="189"/>
      <c r="F788" s="189"/>
    </row>
    <row r="789" spans="1:6" ht="28.5" customHeight="1" x14ac:dyDescent="0.25">
      <c r="A789" s="187"/>
      <c r="B789" s="188"/>
      <c r="C789" s="189"/>
      <c r="D789" s="199"/>
      <c r="E789" s="189"/>
      <c r="F789" s="189"/>
    </row>
    <row r="790" spans="1:6" ht="28.5" customHeight="1" x14ac:dyDescent="0.25">
      <c r="A790" s="187"/>
      <c r="B790" s="188"/>
      <c r="C790" s="189"/>
      <c r="D790" s="199"/>
      <c r="E790" s="189"/>
      <c r="F790" s="189"/>
    </row>
    <row r="791" spans="1:6" ht="28.5" customHeight="1" x14ac:dyDescent="0.25">
      <c r="A791" s="187"/>
      <c r="B791" s="188"/>
      <c r="C791" s="189"/>
      <c r="D791" s="199"/>
      <c r="E791" s="189"/>
      <c r="F791" s="189"/>
    </row>
    <row r="792" spans="1:6" ht="28.5" customHeight="1" x14ac:dyDescent="0.25">
      <c r="A792" s="187"/>
      <c r="B792" s="188"/>
      <c r="C792" s="189"/>
      <c r="D792" s="199"/>
      <c r="E792" s="189"/>
      <c r="F792" s="189"/>
    </row>
    <row r="793" spans="1:6" ht="28.5" customHeight="1" x14ac:dyDescent="0.25">
      <c r="A793" s="187"/>
      <c r="B793" s="188"/>
      <c r="C793" s="189"/>
      <c r="D793" s="199"/>
      <c r="E793" s="189"/>
      <c r="F793" s="189"/>
    </row>
    <row r="794" spans="1:6" ht="28.5" customHeight="1" x14ac:dyDescent="0.25">
      <c r="A794" s="187"/>
      <c r="B794" s="188"/>
      <c r="C794" s="189"/>
      <c r="D794" s="199"/>
      <c r="E794" s="189"/>
      <c r="F794" s="189"/>
    </row>
    <row r="795" spans="1:6" ht="28.5" customHeight="1" x14ac:dyDescent="0.25">
      <c r="A795" s="187"/>
      <c r="B795" s="188"/>
      <c r="C795" s="189"/>
      <c r="D795" s="199"/>
      <c r="E795" s="189"/>
      <c r="F795" s="189"/>
    </row>
    <row r="796" spans="1:6" ht="28.5" customHeight="1" x14ac:dyDescent="0.25">
      <c r="A796" s="187"/>
      <c r="B796" s="188"/>
      <c r="C796" s="189"/>
      <c r="D796" s="199"/>
      <c r="E796" s="189"/>
      <c r="F796" s="189"/>
    </row>
    <row r="797" spans="1:6" ht="28.5" customHeight="1" x14ac:dyDescent="0.25">
      <c r="A797" s="187"/>
      <c r="B797" s="188"/>
      <c r="C797" s="189"/>
      <c r="D797" s="199"/>
      <c r="E797" s="189"/>
      <c r="F797" s="189"/>
    </row>
    <row r="798" spans="1:6" ht="28.5" customHeight="1" x14ac:dyDescent="0.25">
      <c r="A798" s="187"/>
      <c r="B798" s="188"/>
      <c r="C798" s="189"/>
      <c r="D798" s="199"/>
      <c r="E798" s="189"/>
      <c r="F798" s="189"/>
    </row>
    <row r="799" spans="1:6" ht="28.5" customHeight="1" x14ac:dyDescent="0.25">
      <c r="A799" s="187"/>
      <c r="B799" s="188"/>
      <c r="C799" s="189"/>
      <c r="D799" s="199"/>
      <c r="E799" s="189"/>
      <c r="F799" s="189"/>
    </row>
    <row r="800" spans="1:6" ht="28.5" customHeight="1" x14ac:dyDescent="0.25">
      <c r="A800" s="187"/>
      <c r="B800" s="188"/>
      <c r="C800" s="189"/>
      <c r="D800" s="199"/>
      <c r="E800" s="189"/>
      <c r="F800" s="189"/>
    </row>
    <row r="801" spans="1:6" ht="28.5" customHeight="1" x14ac:dyDescent="0.25">
      <c r="A801" s="187"/>
      <c r="B801" s="188"/>
      <c r="C801" s="189"/>
      <c r="D801" s="199"/>
      <c r="E801" s="189"/>
      <c r="F801" s="189"/>
    </row>
    <row r="802" spans="1:6" ht="28.5" customHeight="1" x14ac:dyDescent="0.25">
      <c r="A802" s="187"/>
      <c r="B802" s="188"/>
      <c r="C802" s="189"/>
      <c r="D802" s="199"/>
      <c r="E802" s="189"/>
      <c r="F802" s="189"/>
    </row>
    <row r="803" spans="1:6" ht="28.5" customHeight="1" x14ac:dyDescent="0.25">
      <c r="A803" s="187"/>
      <c r="B803" s="188"/>
      <c r="C803" s="189"/>
      <c r="D803" s="199"/>
      <c r="E803" s="189"/>
      <c r="F803" s="189"/>
    </row>
    <row r="804" spans="1:6" ht="28.5" customHeight="1" x14ac:dyDescent="0.25">
      <c r="A804" s="187"/>
      <c r="B804" s="188"/>
      <c r="C804" s="189"/>
      <c r="D804" s="199"/>
      <c r="E804" s="189"/>
      <c r="F804" s="189"/>
    </row>
    <row r="805" spans="1:6" ht="28.5" customHeight="1" x14ac:dyDescent="0.25">
      <c r="A805" s="187"/>
      <c r="B805" s="188"/>
      <c r="C805" s="189"/>
      <c r="D805" s="199"/>
      <c r="E805" s="189"/>
      <c r="F805" s="189"/>
    </row>
    <row r="806" spans="1:6" ht="28.5" customHeight="1" x14ac:dyDescent="0.25">
      <c r="A806" s="187"/>
      <c r="B806" s="188"/>
      <c r="C806" s="189"/>
      <c r="D806" s="199"/>
      <c r="E806" s="189"/>
      <c r="F806" s="189"/>
    </row>
    <row r="807" spans="1:6" ht="28.5" customHeight="1" x14ac:dyDescent="0.25">
      <c r="A807" s="187"/>
      <c r="B807" s="188"/>
      <c r="C807" s="189"/>
      <c r="D807" s="199"/>
      <c r="E807" s="189"/>
      <c r="F807" s="189"/>
    </row>
    <row r="808" spans="1:6" ht="28.5" customHeight="1" x14ac:dyDescent="0.25">
      <c r="A808" s="187"/>
      <c r="B808" s="188"/>
      <c r="C808" s="189"/>
      <c r="D808" s="199"/>
      <c r="E808" s="189"/>
      <c r="F808" s="189"/>
    </row>
    <row r="809" spans="1:6" ht="28.5" customHeight="1" x14ac:dyDescent="0.25">
      <c r="A809" s="187"/>
      <c r="B809" s="188"/>
      <c r="C809" s="189"/>
      <c r="D809" s="199"/>
      <c r="E809" s="189"/>
      <c r="F809" s="189"/>
    </row>
    <row r="810" spans="1:6" ht="28.5" customHeight="1" x14ac:dyDescent="0.25">
      <c r="A810" s="187"/>
      <c r="B810" s="188"/>
      <c r="C810" s="189"/>
      <c r="D810" s="199"/>
      <c r="E810" s="189"/>
      <c r="F810" s="189"/>
    </row>
    <row r="811" spans="1:6" ht="28.5" customHeight="1" x14ac:dyDescent="0.25">
      <c r="A811" s="187"/>
      <c r="B811" s="188"/>
      <c r="C811" s="189"/>
      <c r="D811" s="199"/>
      <c r="E811" s="189"/>
      <c r="F811" s="189"/>
    </row>
    <row r="812" spans="1:6" ht="28.5" customHeight="1" x14ac:dyDescent="0.25">
      <c r="A812" s="187"/>
      <c r="B812" s="188"/>
      <c r="C812" s="189"/>
      <c r="D812" s="199"/>
      <c r="E812" s="189"/>
      <c r="F812" s="189"/>
    </row>
    <row r="813" spans="1:6" ht="28.5" customHeight="1" x14ac:dyDescent="0.25">
      <c r="A813" s="187"/>
      <c r="B813" s="188"/>
      <c r="C813" s="189"/>
      <c r="D813" s="199"/>
      <c r="E813" s="189"/>
      <c r="F813" s="189"/>
    </row>
    <row r="814" spans="1:6" ht="28.5" customHeight="1" x14ac:dyDescent="0.25">
      <c r="A814" s="187"/>
      <c r="B814" s="188"/>
      <c r="C814" s="189"/>
      <c r="D814" s="199"/>
      <c r="E814" s="189"/>
      <c r="F814" s="189"/>
    </row>
    <row r="815" spans="1:6" ht="28.5" customHeight="1" x14ac:dyDescent="0.25">
      <c r="A815" s="187"/>
      <c r="B815" s="188"/>
      <c r="C815" s="189"/>
      <c r="D815" s="199"/>
      <c r="E815" s="189"/>
      <c r="F815" s="189"/>
    </row>
    <row r="816" spans="1:6" ht="28.5" customHeight="1" x14ac:dyDescent="0.25">
      <c r="A816" s="187"/>
      <c r="B816" s="188"/>
      <c r="C816" s="189"/>
      <c r="D816" s="199"/>
      <c r="E816" s="189"/>
      <c r="F816" s="189"/>
    </row>
    <row r="817" spans="1:6" ht="28.5" customHeight="1" x14ac:dyDescent="0.25">
      <c r="A817" s="187"/>
      <c r="B817" s="188"/>
      <c r="C817" s="189"/>
      <c r="D817" s="199"/>
      <c r="E817" s="189"/>
      <c r="F817" s="189"/>
    </row>
    <row r="818" spans="1:6" ht="28.5" customHeight="1" x14ac:dyDescent="0.25">
      <c r="A818" s="187"/>
      <c r="B818" s="188"/>
      <c r="C818" s="189"/>
      <c r="D818" s="199"/>
      <c r="E818" s="189"/>
      <c r="F818" s="189"/>
    </row>
    <row r="819" spans="1:6" ht="28.5" customHeight="1" x14ac:dyDescent="0.25">
      <c r="A819" s="187"/>
      <c r="B819" s="188"/>
      <c r="C819" s="189"/>
      <c r="D819" s="199"/>
      <c r="E819" s="189"/>
      <c r="F819" s="189"/>
    </row>
    <row r="820" spans="1:6" ht="28.5" customHeight="1" x14ac:dyDescent="0.25">
      <c r="A820" s="187"/>
      <c r="B820" s="188"/>
      <c r="C820" s="189"/>
      <c r="D820" s="199"/>
      <c r="E820" s="189"/>
      <c r="F820" s="189"/>
    </row>
    <row r="821" spans="1:6" ht="28.5" customHeight="1" x14ac:dyDescent="0.25">
      <c r="A821" s="187"/>
      <c r="B821" s="188"/>
      <c r="C821" s="189"/>
      <c r="D821" s="199"/>
      <c r="E821" s="189"/>
      <c r="F821" s="189"/>
    </row>
    <row r="822" spans="1:6" ht="28.5" customHeight="1" x14ac:dyDescent="0.25">
      <c r="A822" s="187"/>
      <c r="B822" s="188"/>
      <c r="C822" s="189"/>
      <c r="D822" s="199"/>
      <c r="E822" s="189"/>
      <c r="F822" s="189"/>
    </row>
    <row r="823" spans="1:6" ht="28.5" customHeight="1" x14ac:dyDescent="0.25">
      <c r="A823" s="187"/>
      <c r="B823" s="188"/>
      <c r="C823" s="189"/>
      <c r="D823" s="199"/>
      <c r="E823" s="189"/>
      <c r="F823" s="189"/>
    </row>
    <row r="824" spans="1:6" ht="28.5" customHeight="1" x14ac:dyDescent="0.25">
      <c r="A824" s="187"/>
      <c r="B824" s="188"/>
      <c r="C824" s="189"/>
      <c r="D824" s="199"/>
      <c r="E824" s="189"/>
      <c r="F824" s="189"/>
    </row>
    <row r="825" spans="1:6" ht="28.5" customHeight="1" x14ac:dyDescent="0.25">
      <c r="A825" s="187"/>
      <c r="B825" s="188"/>
      <c r="C825" s="189"/>
      <c r="D825" s="199"/>
      <c r="E825" s="189"/>
      <c r="F825" s="189"/>
    </row>
    <row r="826" spans="1:6" ht="28.5" customHeight="1" x14ac:dyDescent="0.25">
      <c r="A826" s="187"/>
      <c r="B826" s="188"/>
      <c r="C826" s="189"/>
      <c r="D826" s="199"/>
      <c r="E826" s="189"/>
      <c r="F826" s="189"/>
    </row>
    <row r="827" spans="1:6" ht="28.5" customHeight="1" x14ac:dyDescent="0.25">
      <c r="A827" s="187"/>
      <c r="B827" s="188"/>
      <c r="C827" s="189"/>
      <c r="D827" s="199"/>
      <c r="E827" s="189"/>
      <c r="F827" s="189"/>
    </row>
    <row r="828" spans="1:6" ht="28.5" customHeight="1" x14ac:dyDescent="0.25">
      <c r="A828" s="187"/>
      <c r="B828" s="188"/>
      <c r="C828" s="189"/>
      <c r="D828" s="199"/>
      <c r="E828" s="189"/>
      <c r="F828" s="189"/>
    </row>
    <row r="829" spans="1:6" ht="28.5" customHeight="1" x14ac:dyDescent="0.25">
      <c r="A829" s="187"/>
      <c r="B829" s="188"/>
      <c r="C829" s="189"/>
      <c r="D829" s="199"/>
      <c r="E829" s="189"/>
      <c r="F829" s="189"/>
    </row>
    <row r="830" spans="1:6" ht="28.5" customHeight="1" x14ac:dyDescent="0.25">
      <c r="A830" s="187"/>
      <c r="B830" s="188"/>
      <c r="C830" s="189"/>
      <c r="D830" s="199"/>
      <c r="E830" s="189"/>
      <c r="F830" s="189"/>
    </row>
    <row r="831" spans="1:6" ht="28.5" customHeight="1" x14ac:dyDescent="0.25">
      <c r="A831" s="187"/>
      <c r="B831" s="188"/>
      <c r="C831" s="189"/>
      <c r="D831" s="199"/>
      <c r="E831" s="189"/>
      <c r="F831" s="189"/>
    </row>
    <row r="832" spans="1:6" ht="28.5" customHeight="1" x14ac:dyDescent="0.25">
      <c r="A832" s="187"/>
      <c r="B832" s="188"/>
      <c r="C832" s="189"/>
      <c r="D832" s="199"/>
      <c r="E832" s="189"/>
      <c r="F832" s="189"/>
    </row>
    <row r="833" spans="1:6" ht="28.5" customHeight="1" x14ac:dyDescent="0.25">
      <c r="A833" s="187"/>
      <c r="B833" s="188"/>
      <c r="C833" s="189"/>
      <c r="D833" s="199"/>
      <c r="E833" s="189"/>
      <c r="F833" s="189"/>
    </row>
    <row r="834" spans="1:6" ht="28.5" customHeight="1" x14ac:dyDescent="0.25">
      <c r="A834" s="187"/>
      <c r="B834" s="188"/>
      <c r="C834" s="189"/>
      <c r="D834" s="199"/>
      <c r="E834" s="189"/>
      <c r="F834" s="189"/>
    </row>
    <row r="835" spans="1:6" ht="28.5" customHeight="1" x14ac:dyDescent="0.25">
      <c r="A835" s="187"/>
      <c r="B835" s="188"/>
      <c r="C835" s="189"/>
      <c r="D835" s="199"/>
      <c r="E835" s="189"/>
      <c r="F835" s="189"/>
    </row>
    <row r="836" spans="1:6" ht="28.5" customHeight="1" x14ac:dyDescent="0.25">
      <c r="A836" s="187"/>
      <c r="B836" s="188"/>
      <c r="C836" s="189"/>
      <c r="D836" s="199"/>
      <c r="E836" s="189"/>
      <c r="F836" s="189"/>
    </row>
    <row r="837" spans="1:6" ht="28.5" customHeight="1" x14ac:dyDescent="0.25">
      <c r="A837" s="187"/>
      <c r="B837" s="188"/>
      <c r="C837" s="189"/>
      <c r="D837" s="199"/>
      <c r="E837" s="189"/>
      <c r="F837" s="189"/>
    </row>
    <row r="838" spans="1:6" ht="28.5" customHeight="1" x14ac:dyDescent="0.25">
      <c r="A838" s="187"/>
      <c r="B838" s="188"/>
      <c r="C838" s="189"/>
      <c r="D838" s="199"/>
      <c r="E838" s="189"/>
      <c r="F838" s="189"/>
    </row>
    <row r="839" spans="1:6" ht="28.5" customHeight="1" x14ac:dyDescent="0.25">
      <c r="A839" s="187"/>
      <c r="B839" s="188"/>
      <c r="C839" s="189"/>
      <c r="D839" s="199"/>
      <c r="E839" s="189"/>
      <c r="F839" s="189"/>
    </row>
    <row r="840" spans="1:6" ht="28.5" customHeight="1" x14ac:dyDescent="0.25">
      <c r="A840" s="187"/>
      <c r="B840" s="188"/>
      <c r="C840" s="189"/>
      <c r="D840" s="199"/>
      <c r="E840" s="189"/>
      <c r="F840" s="189"/>
    </row>
    <row r="841" spans="1:6" ht="28.5" customHeight="1" x14ac:dyDescent="0.25">
      <c r="A841" s="187"/>
      <c r="B841" s="188"/>
      <c r="C841" s="189"/>
      <c r="D841" s="199"/>
      <c r="E841" s="189"/>
      <c r="F841" s="189"/>
    </row>
    <row r="842" spans="1:6" ht="28.5" customHeight="1" x14ac:dyDescent="0.25">
      <c r="A842" s="187"/>
      <c r="B842" s="188"/>
      <c r="C842" s="189"/>
      <c r="D842" s="199"/>
      <c r="E842" s="189"/>
      <c r="F842" s="189"/>
    </row>
    <row r="843" spans="1:6" ht="28.5" customHeight="1" x14ac:dyDescent="0.25">
      <c r="A843" s="187"/>
      <c r="B843" s="188"/>
      <c r="C843" s="189"/>
      <c r="D843" s="199"/>
      <c r="E843" s="189"/>
      <c r="F843" s="189"/>
    </row>
    <row r="844" spans="1:6" ht="28.5" customHeight="1" x14ac:dyDescent="0.25">
      <c r="A844" s="187"/>
      <c r="B844" s="188"/>
      <c r="C844" s="189"/>
      <c r="D844" s="199"/>
      <c r="E844" s="189"/>
      <c r="F844" s="189"/>
    </row>
    <row r="845" spans="1:6" ht="28.5" customHeight="1" x14ac:dyDescent="0.25">
      <c r="A845" s="187"/>
      <c r="B845" s="188"/>
      <c r="C845" s="189"/>
      <c r="D845" s="199"/>
      <c r="E845" s="189"/>
      <c r="F845" s="189"/>
    </row>
    <row r="846" spans="1:6" ht="28.5" customHeight="1" x14ac:dyDescent="0.25">
      <c r="A846" s="187"/>
      <c r="B846" s="188"/>
      <c r="C846" s="189"/>
      <c r="D846" s="199"/>
      <c r="E846" s="189"/>
      <c r="F846" s="189"/>
    </row>
    <row r="847" spans="1:6" ht="28.5" customHeight="1" x14ac:dyDescent="0.25">
      <c r="A847" s="187"/>
      <c r="B847" s="188"/>
      <c r="C847" s="189"/>
      <c r="D847" s="199"/>
      <c r="E847" s="189"/>
      <c r="F847" s="189"/>
    </row>
    <row r="848" spans="1:6" ht="28.5" customHeight="1" x14ac:dyDescent="0.25">
      <c r="A848" s="187"/>
      <c r="B848" s="188"/>
      <c r="C848" s="189"/>
      <c r="D848" s="199"/>
      <c r="E848" s="189"/>
      <c r="F848" s="189"/>
    </row>
    <row r="849" spans="1:6" ht="28.5" customHeight="1" x14ac:dyDescent="0.25">
      <c r="A849" s="187"/>
      <c r="B849" s="188"/>
      <c r="C849" s="189"/>
      <c r="D849" s="199"/>
      <c r="E849" s="189"/>
      <c r="F849" s="189"/>
    </row>
    <row r="850" spans="1:6" ht="28.5" customHeight="1" x14ac:dyDescent="0.25">
      <c r="A850" s="187"/>
      <c r="B850" s="188"/>
      <c r="C850" s="189"/>
      <c r="D850" s="199"/>
      <c r="E850" s="189"/>
      <c r="F850" s="189"/>
    </row>
    <row r="851" spans="1:6" ht="28.5" customHeight="1" x14ac:dyDescent="0.25">
      <c r="A851" s="187"/>
      <c r="B851" s="188"/>
      <c r="C851" s="189"/>
      <c r="D851" s="199"/>
      <c r="E851" s="189"/>
      <c r="F851" s="189"/>
    </row>
    <row r="852" spans="1:6" ht="28.5" customHeight="1" x14ac:dyDescent="0.25">
      <c r="A852" s="187"/>
      <c r="B852" s="188"/>
      <c r="C852" s="189"/>
      <c r="D852" s="199"/>
      <c r="E852" s="189"/>
      <c r="F852" s="189"/>
    </row>
    <row r="853" spans="1:6" ht="28.5" customHeight="1" x14ac:dyDescent="0.25">
      <c r="A853" s="187"/>
      <c r="B853" s="188"/>
      <c r="C853" s="189"/>
      <c r="D853" s="199"/>
      <c r="E853" s="189"/>
      <c r="F853" s="189"/>
    </row>
    <row r="854" spans="1:6" ht="28.5" customHeight="1" x14ac:dyDescent="0.25">
      <c r="A854" s="187"/>
      <c r="B854" s="188"/>
      <c r="C854" s="189"/>
      <c r="D854" s="199"/>
      <c r="E854" s="189"/>
      <c r="F854" s="189"/>
    </row>
    <row r="855" spans="1:6" ht="28.5" customHeight="1" x14ac:dyDescent="0.25">
      <c r="A855" s="187"/>
      <c r="B855" s="188"/>
      <c r="C855" s="189"/>
      <c r="D855" s="199"/>
      <c r="E855" s="189"/>
      <c r="F855" s="189"/>
    </row>
    <row r="856" spans="1:6" ht="28.5" customHeight="1" x14ac:dyDescent="0.25">
      <c r="A856" s="187"/>
      <c r="B856" s="188"/>
      <c r="C856" s="189"/>
      <c r="D856" s="199"/>
      <c r="E856" s="189"/>
      <c r="F856" s="189"/>
    </row>
    <row r="857" spans="1:6" ht="28.5" customHeight="1" x14ac:dyDescent="0.25">
      <c r="A857" s="187"/>
      <c r="B857" s="188"/>
      <c r="C857" s="189"/>
      <c r="D857" s="199"/>
      <c r="E857" s="189"/>
      <c r="F857" s="189"/>
    </row>
    <row r="858" spans="1:6" ht="28.5" customHeight="1" x14ac:dyDescent="0.25">
      <c r="A858" s="187"/>
      <c r="B858" s="188"/>
      <c r="C858" s="189"/>
      <c r="D858" s="199"/>
      <c r="E858" s="189"/>
      <c r="F858" s="189"/>
    </row>
    <row r="859" spans="1:6" ht="28.5" customHeight="1" x14ac:dyDescent="0.25">
      <c r="A859" s="187"/>
      <c r="B859" s="188"/>
      <c r="C859" s="189"/>
      <c r="D859" s="199"/>
      <c r="E859" s="189"/>
      <c r="F859" s="189"/>
    </row>
    <row r="860" spans="1:6" ht="28.5" customHeight="1" x14ac:dyDescent="0.25">
      <c r="A860" s="187"/>
      <c r="B860" s="188"/>
      <c r="C860" s="189"/>
      <c r="D860" s="199"/>
      <c r="E860" s="189"/>
      <c r="F860" s="189"/>
    </row>
    <row r="861" spans="1:6" ht="28.5" customHeight="1" x14ac:dyDescent="0.25">
      <c r="A861" s="187"/>
      <c r="B861" s="188"/>
      <c r="C861" s="189"/>
      <c r="D861" s="199"/>
      <c r="E861" s="189"/>
      <c r="F861" s="189"/>
    </row>
    <row r="862" spans="1:6" ht="28.5" customHeight="1" x14ac:dyDescent="0.25">
      <c r="A862" s="187"/>
      <c r="B862" s="188"/>
      <c r="C862" s="189"/>
      <c r="D862" s="199"/>
      <c r="E862" s="189"/>
      <c r="F862" s="189"/>
    </row>
    <row r="863" spans="1:6" ht="28.5" customHeight="1" x14ac:dyDescent="0.25">
      <c r="A863" s="187"/>
      <c r="B863" s="188"/>
      <c r="C863" s="189"/>
      <c r="D863" s="199"/>
      <c r="E863" s="189"/>
      <c r="F863" s="189"/>
    </row>
    <row r="864" spans="1:6" ht="28.5" customHeight="1" x14ac:dyDescent="0.25">
      <c r="A864" s="187"/>
      <c r="B864" s="188"/>
      <c r="C864" s="189"/>
      <c r="D864" s="199"/>
      <c r="E864" s="189"/>
      <c r="F864" s="189"/>
    </row>
    <row r="865" spans="1:6" ht="28.5" customHeight="1" x14ac:dyDescent="0.25">
      <c r="A865" s="187"/>
      <c r="B865" s="188"/>
      <c r="C865" s="189"/>
      <c r="D865" s="199"/>
      <c r="E865" s="189"/>
      <c r="F865" s="189"/>
    </row>
    <row r="866" spans="1:6" ht="28.5" customHeight="1" x14ac:dyDescent="0.25">
      <c r="A866" s="187"/>
      <c r="B866" s="188"/>
      <c r="C866" s="189"/>
      <c r="D866" s="199"/>
      <c r="E866" s="189"/>
      <c r="F866" s="189"/>
    </row>
    <row r="867" spans="1:6" ht="28.5" customHeight="1" x14ac:dyDescent="0.25">
      <c r="A867" s="187"/>
      <c r="B867" s="188"/>
      <c r="C867" s="189"/>
      <c r="D867" s="199"/>
      <c r="E867" s="189"/>
      <c r="F867" s="189"/>
    </row>
    <row r="868" spans="1:6" ht="28.5" customHeight="1" x14ac:dyDescent="0.25">
      <c r="A868" s="187"/>
      <c r="B868" s="188"/>
      <c r="C868" s="189"/>
      <c r="D868" s="199"/>
      <c r="E868" s="189"/>
      <c r="F868" s="189"/>
    </row>
    <row r="869" spans="1:6" ht="28.5" customHeight="1" x14ac:dyDescent="0.25">
      <c r="A869" s="187"/>
      <c r="B869" s="188"/>
      <c r="C869" s="189"/>
      <c r="D869" s="199"/>
      <c r="E869" s="189"/>
      <c r="F869" s="189"/>
    </row>
    <row r="870" spans="1:6" ht="28.5" customHeight="1" x14ac:dyDescent="0.25">
      <c r="A870" s="187"/>
      <c r="B870" s="188"/>
      <c r="C870" s="189"/>
      <c r="D870" s="199"/>
      <c r="E870" s="189"/>
      <c r="F870" s="189"/>
    </row>
    <row r="871" spans="1:6" ht="28.5" customHeight="1" x14ac:dyDescent="0.25">
      <c r="A871" s="187"/>
      <c r="B871" s="188"/>
      <c r="C871" s="189"/>
      <c r="D871" s="199"/>
      <c r="E871" s="189"/>
      <c r="F871" s="189"/>
    </row>
    <row r="872" spans="1:6" ht="28.5" customHeight="1" x14ac:dyDescent="0.25">
      <c r="A872" s="187"/>
      <c r="B872" s="188"/>
      <c r="C872" s="189"/>
      <c r="D872" s="199"/>
      <c r="E872" s="189"/>
      <c r="F872" s="189"/>
    </row>
    <row r="873" spans="1:6" ht="28.5" customHeight="1" x14ac:dyDescent="0.25">
      <c r="A873" s="187"/>
      <c r="B873" s="188"/>
      <c r="C873" s="189"/>
      <c r="D873" s="199"/>
      <c r="E873" s="189"/>
      <c r="F873" s="189"/>
    </row>
    <row r="874" spans="1:6" ht="28.5" customHeight="1" x14ac:dyDescent="0.25">
      <c r="A874" s="187"/>
      <c r="B874" s="188"/>
      <c r="C874" s="189"/>
      <c r="D874" s="199"/>
      <c r="E874" s="189"/>
      <c r="F874" s="189"/>
    </row>
    <row r="875" spans="1:6" ht="28.5" customHeight="1" x14ac:dyDescent="0.25">
      <c r="A875" s="187"/>
      <c r="B875" s="188"/>
      <c r="C875" s="189"/>
      <c r="D875" s="199"/>
      <c r="E875" s="189"/>
      <c r="F875" s="189"/>
    </row>
    <row r="876" spans="1:6" ht="28.5" customHeight="1" x14ac:dyDescent="0.25">
      <c r="A876" s="187"/>
      <c r="B876" s="188"/>
      <c r="C876" s="189"/>
      <c r="D876" s="199"/>
      <c r="E876" s="189"/>
      <c r="F876" s="189"/>
    </row>
    <row r="877" spans="1:6" ht="28.5" customHeight="1" x14ac:dyDescent="0.25">
      <c r="A877" s="187"/>
      <c r="B877" s="188"/>
      <c r="C877" s="189"/>
      <c r="D877" s="199"/>
      <c r="E877" s="189"/>
      <c r="F877" s="189"/>
    </row>
    <row r="878" spans="1:6" ht="28.5" customHeight="1" x14ac:dyDescent="0.25">
      <c r="A878" s="187"/>
      <c r="B878" s="188"/>
      <c r="C878" s="189"/>
      <c r="D878" s="199"/>
      <c r="E878" s="189"/>
      <c r="F878" s="189"/>
    </row>
    <row r="879" spans="1:6" ht="28.5" customHeight="1" x14ac:dyDescent="0.25">
      <c r="A879" s="187"/>
      <c r="B879" s="188"/>
      <c r="C879" s="189"/>
      <c r="D879" s="199"/>
      <c r="E879" s="189"/>
      <c r="F879" s="189"/>
    </row>
    <row r="880" spans="1:6" ht="28.5" customHeight="1" x14ac:dyDescent="0.25">
      <c r="A880" s="187"/>
      <c r="B880" s="188"/>
      <c r="C880" s="189"/>
      <c r="D880" s="199"/>
      <c r="E880" s="189"/>
      <c r="F880" s="189"/>
    </row>
    <row r="881" spans="1:6" ht="28.5" customHeight="1" x14ac:dyDescent="0.25">
      <c r="A881" s="187"/>
      <c r="B881" s="188"/>
      <c r="C881" s="189"/>
      <c r="D881" s="199"/>
      <c r="E881" s="189"/>
      <c r="F881" s="189"/>
    </row>
    <row r="882" spans="1:6" ht="28.5" customHeight="1" x14ac:dyDescent="0.25">
      <c r="A882" s="187"/>
      <c r="B882" s="188"/>
      <c r="C882" s="189"/>
      <c r="D882" s="199"/>
      <c r="E882" s="189"/>
      <c r="F882" s="189"/>
    </row>
    <row r="883" spans="1:6" ht="28.5" customHeight="1" x14ac:dyDescent="0.25">
      <c r="A883" s="187"/>
      <c r="B883" s="188"/>
      <c r="C883" s="189"/>
      <c r="D883" s="199"/>
      <c r="E883" s="189"/>
      <c r="F883" s="189"/>
    </row>
    <row r="884" spans="1:6" ht="28.5" customHeight="1" x14ac:dyDescent="0.25">
      <c r="A884" s="187"/>
      <c r="B884" s="188"/>
      <c r="C884" s="189"/>
      <c r="D884" s="199"/>
      <c r="E884" s="189"/>
      <c r="F884" s="189"/>
    </row>
    <row r="885" spans="1:6" ht="28.5" customHeight="1" x14ac:dyDescent="0.25">
      <c r="A885" s="187"/>
      <c r="B885" s="188"/>
      <c r="C885" s="189"/>
      <c r="D885" s="199"/>
      <c r="E885" s="189"/>
      <c r="F885" s="189"/>
    </row>
    <row r="886" spans="1:6" ht="28.5" customHeight="1" x14ac:dyDescent="0.25">
      <c r="A886" s="187"/>
      <c r="B886" s="188"/>
      <c r="C886" s="189"/>
      <c r="D886" s="199"/>
      <c r="E886" s="189"/>
      <c r="F886" s="189"/>
    </row>
    <row r="887" spans="1:6" ht="28.5" customHeight="1" x14ac:dyDescent="0.25">
      <c r="A887" s="187"/>
      <c r="B887" s="188"/>
      <c r="C887" s="189"/>
      <c r="D887" s="199"/>
      <c r="E887" s="189"/>
      <c r="F887" s="189"/>
    </row>
    <row r="888" spans="1:6" ht="28.5" customHeight="1" x14ac:dyDescent="0.25">
      <c r="A888" s="187"/>
      <c r="B888" s="188"/>
      <c r="C888" s="189"/>
      <c r="D888" s="199"/>
      <c r="E888" s="189"/>
      <c r="F888" s="189"/>
    </row>
    <row r="889" spans="1:6" ht="28.5" customHeight="1" x14ac:dyDescent="0.25">
      <c r="A889" s="187"/>
      <c r="B889" s="188"/>
      <c r="C889" s="189"/>
      <c r="D889" s="199"/>
      <c r="E889" s="189"/>
      <c r="F889" s="189"/>
    </row>
    <row r="890" spans="1:6" ht="28.5" customHeight="1" x14ac:dyDescent="0.25">
      <c r="A890" s="187"/>
      <c r="B890" s="188"/>
      <c r="C890" s="189"/>
      <c r="D890" s="199"/>
      <c r="E890" s="189"/>
      <c r="F890" s="189"/>
    </row>
    <row r="891" spans="1:6" ht="28.5" customHeight="1" x14ac:dyDescent="0.25">
      <c r="A891" s="187"/>
      <c r="B891" s="188"/>
      <c r="C891" s="189"/>
      <c r="D891" s="199"/>
      <c r="E891" s="189"/>
      <c r="F891" s="189"/>
    </row>
    <row r="892" spans="1:6" ht="28.5" customHeight="1" x14ac:dyDescent="0.25">
      <c r="A892" s="187"/>
      <c r="B892" s="188"/>
      <c r="C892" s="189"/>
      <c r="D892" s="199"/>
      <c r="E892" s="189"/>
      <c r="F892" s="189"/>
    </row>
    <row r="893" spans="1:6" ht="28.5" customHeight="1" x14ac:dyDescent="0.25">
      <c r="A893" s="187"/>
      <c r="B893" s="188"/>
      <c r="C893" s="189"/>
      <c r="D893" s="199"/>
      <c r="E893" s="189"/>
      <c r="F893" s="189"/>
    </row>
    <row r="894" spans="1:6" ht="28.5" customHeight="1" x14ac:dyDescent="0.25">
      <c r="A894" s="187"/>
      <c r="B894" s="188"/>
      <c r="C894" s="189"/>
      <c r="D894" s="199"/>
      <c r="E894" s="189"/>
      <c r="F894" s="189"/>
    </row>
    <row r="895" spans="1:6" ht="28.5" customHeight="1" x14ac:dyDescent="0.25">
      <c r="A895" s="187"/>
      <c r="B895" s="188"/>
      <c r="C895" s="189"/>
      <c r="D895" s="199"/>
      <c r="E895" s="189"/>
      <c r="F895" s="189"/>
    </row>
    <row r="896" spans="1:6" ht="28.5" customHeight="1" x14ac:dyDescent="0.25">
      <c r="A896" s="187"/>
      <c r="B896" s="188"/>
      <c r="C896" s="189"/>
      <c r="D896" s="199"/>
      <c r="E896" s="189"/>
      <c r="F896" s="189"/>
    </row>
    <row r="897" spans="1:6" ht="28.5" customHeight="1" x14ac:dyDescent="0.25">
      <c r="A897" s="187"/>
      <c r="B897" s="188"/>
      <c r="C897" s="189"/>
      <c r="D897" s="199"/>
      <c r="E897" s="189"/>
      <c r="F897" s="189"/>
    </row>
    <row r="898" spans="1:6" ht="28.5" customHeight="1" x14ac:dyDescent="0.25">
      <c r="A898" s="187"/>
      <c r="B898" s="188"/>
      <c r="C898" s="189"/>
      <c r="D898" s="199"/>
      <c r="E898" s="189"/>
      <c r="F898" s="189"/>
    </row>
    <row r="899" spans="1:6" ht="28.5" customHeight="1" x14ac:dyDescent="0.25">
      <c r="A899" s="187"/>
      <c r="B899" s="188"/>
      <c r="C899" s="189"/>
      <c r="D899" s="199"/>
      <c r="E899" s="189"/>
      <c r="F899" s="189"/>
    </row>
    <row r="900" spans="1:6" ht="28.5" customHeight="1" x14ac:dyDescent="0.25">
      <c r="A900" s="187"/>
      <c r="B900" s="188"/>
      <c r="C900" s="189"/>
      <c r="D900" s="199"/>
      <c r="E900" s="189"/>
      <c r="F900" s="189"/>
    </row>
    <row r="901" spans="1:6" ht="28.5" customHeight="1" x14ac:dyDescent="0.25">
      <c r="A901" s="187"/>
      <c r="B901" s="188"/>
      <c r="C901" s="189"/>
      <c r="D901" s="199"/>
      <c r="E901" s="189"/>
      <c r="F901" s="189"/>
    </row>
    <row r="902" spans="1:6" ht="28.5" customHeight="1" x14ac:dyDescent="0.25">
      <c r="A902" s="187"/>
      <c r="B902" s="188"/>
      <c r="C902" s="189"/>
      <c r="D902" s="199"/>
      <c r="E902" s="189"/>
      <c r="F902" s="189"/>
    </row>
    <row r="903" spans="1:6" ht="28.5" customHeight="1" x14ac:dyDescent="0.25">
      <c r="A903" s="187"/>
      <c r="B903" s="188"/>
      <c r="C903" s="189"/>
      <c r="D903" s="199"/>
      <c r="E903" s="189"/>
      <c r="F903" s="189"/>
    </row>
    <row r="904" spans="1:6" ht="28.5" customHeight="1" x14ac:dyDescent="0.25">
      <c r="A904" s="187"/>
      <c r="B904" s="188"/>
      <c r="C904" s="189"/>
      <c r="D904" s="199"/>
      <c r="E904" s="189"/>
      <c r="F904" s="189"/>
    </row>
    <row r="905" spans="1:6" ht="28.5" customHeight="1" x14ac:dyDescent="0.25">
      <c r="A905" s="187"/>
      <c r="B905" s="188"/>
      <c r="C905" s="189"/>
      <c r="D905" s="199"/>
      <c r="E905" s="189"/>
      <c r="F905" s="189"/>
    </row>
    <row r="906" spans="1:6" ht="28.5" customHeight="1" x14ac:dyDescent="0.25">
      <c r="A906" s="187"/>
      <c r="B906" s="188"/>
      <c r="C906" s="189"/>
      <c r="D906" s="199"/>
      <c r="E906" s="189"/>
      <c r="F906" s="189"/>
    </row>
    <row r="907" spans="1:6" ht="28.5" customHeight="1" x14ac:dyDescent="0.25">
      <c r="A907" s="187"/>
      <c r="B907" s="188"/>
      <c r="C907" s="189"/>
      <c r="D907" s="199"/>
      <c r="E907" s="189"/>
      <c r="F907" s="189"/>
    </row>
    <row r="908" spans="1:6" ht="28.5" customHeight="1" x14ac:dyDescent="0.25">
      <c r="A908" s="187"/>
      <c r="B908" s="188"/>
      <c r="C908" s="189"/>
      <c r="D908" s="199"/>
      <c r="E908" s="189"/>
      <c r="F908" s="189"/>
    </row>
    <row r="909" spans="1:6" ht="28.5" customHeight="1" x14ac:dyDescent="0.25">
      <c r="A909" s="187"/>
      <c r="B909" s="188"/>
      <c r="C909" s="189"/>
      <c r="D909" s="199"/>
      <c r="E909" s="189"/>
      <c r="F909" s="189"/>
    </row>
    <row r="910" spans="1:6" ht="28.5" customHeight="1" x14ac:dyDescent="0.25">
      <c r="A910" s="187"/>
      <c r="B910" s="188"/>
      <c r="C910" s="189"/>
      <c r="D910" s="199"/>
      <c r="E910" s="189"/>
      <c r="F910" s="189"/>
    </row>
    <row r="911" spans="1:6" ht="28.5" customHeight="1" x14ac:dyDescent="0.25">
      <c r="A911" s="187"/>
      <c r="B911" s="188"/>
      <c r="C911" s="189"/>
      <c r="D911" s="199"/>
      <c r="E911" s="189"/>
      <c r="F911" s="189"/>
    </row>
    <row r="912" spans="1:6" ht="28.5" customHeight="1" x14ac:dyDescent="0.25">
      <c r="A912" s="187"/>
      <c r="B912" s="188"/>
      <c r="C912" s="189"/>
      <c r="D912" s="199"/>
      <c r="E912" s="189"/>
      <c r="F912" s="189"/>
    </row>
    <row r="913" spans="1:6" ht="28.5" customHeight="1" x14ac:dyDescent="0.25">
      <c r="A913" s="187"/>
      <c r="B913" s="188"/>
      <c r="C913" s="189"/>
      <c r="D913" s="199"/>
      <c r="E913" s="189"/>
      <c r="F913" s="189"/>
    </row>
    <row r="914" spans="1:6" ht="28.5" customHeight="1" x14ac:dyDescent="0.25">
      <c r="A914" s="187"/>
      <c r="B914" s="188"/>
      <c r="C914" s="189"/>
      <c r="D914" s="199"/>
      <c r="E914" s="189"/>
      <c r="F914" s="189"/>
    </row>
    <row r="915" spans="1:6" ht="28.5" customHeight="1" x14ac:dyDescent="0.25">
      <c r="A915" s="187"/>
      <c r="B915" s="188"/>
      <c r="C915" s="189"/>
      <c r="D915" s="199"/>
      <c r="E915" s="189"/>
      <c r="F915" s="189"/>
    </row>
    <row r="916" spans="1:6" ht="28.5" customHeight="1" x14ac:dyDescent="0.25">
      <c r="A916" s="187"/>
      <c r="B916" s="188"/>
      <c r="C916" s="189"/>
      <c r="D916" s="199"/>
      <c r="E916" s="189"/>
      <c r="F916" s="189"/>
    </row>
    <row r="917" spans="1:6" ht="28.5" customHeight="1" x14ac:dyDescent="0.25">
      <c r="A917" s="187"/>
      <c r="B917" s="188"/>
      <c r="C917" s="189"/>
      <c r="D917" s="199"/>
      <c r="E917" s="189"/>
      <c r="F917" s="189"/>
    </row>
    <row r="918" spans="1:6" ht="28.5" customHeight="1" x14ac:dyDescent="0.25">
      <c r="A918" s="187"/>
      <c r="B918" s="188"/>
      <c r="C918" s="189"/>
      <c r="D918" s="199"/>
      <c r="E918" s="189"/>
      <c r="F918" s="189"/>
    </row>
    <row r="919" spans="1:6" ht="28.5" customHeight="1" x14ac:dyDescent="0.25">
      <c r="A919" s="187"/>
      <c r="B919" s="188"/>
      <c r="C919" s="189"/>
      <c r="D919" s="199"/>
      <c r="E919" s="189"/>
      <c r="F919" s="189"/>
    </row>
    <row r="920" spans="1:6" ht="28.5" customHeight="1" x14ac:dyDescent="0.25">
      <c r="A920" s="187"/>
      <c r="B920" s="188"/>
      <c r="C920" s="189"/>
      <c r="D920" s="199"/>
      <c r="E920" s="189"/>
      <c r="F920" s="189"/>
    </row>
    <row r="921" spans="1:6" ht="28.5" customHeight="1" x14ac:dyDescent="0.25">
      <c r="A921" s="187"/>
      <c r="B921" s="188"/>
      <c r="C921" s="189"/>
      <c r="D921" s="199"/>
      <c r="E921" s="189"/>
      <c r="F921" s="189"/>
    </row>
    <row r="922" spans="1:6" ht="28.5" customHeight="1" x14ac:dyDescent="0.25">
      <c r="A922" s="187"/>
      <c r="B922" s="188"/>
      <c r="C922" s="189"/>
      <c r="D922" s="199"/>
      <c r="E922" s="189"/>
      <c r="F922" s="189"/>
    </row>
    <row r="923" spans="1:6" ht="28.5" customHeight="1" x14ac:dyDescent="0.25">
      <c r="A923" s="187"/>
      <c r="B923" s="188"/>
      <c r="C923" s="189"/>
      <c r="D923" s="199"/>
      <c r="E923" s="189"/>
      <c r="F923" s="189"/>
    </row>
    <row r="924" spans="1:6" ht="28.5" customHeight="1" x14ac:dyDescent="0.25">
      <c r="A924" s="187"/>
      <c r="B924" s="188"/>
      <c r="C924" s="189"/>
      <c r="D924" s="199"/>
      <c r="E924" s="189"/>
      <c r="F924" s="189"/>
    </row>
    <row r="925" spans="1:6" ht="28.5" customHeight="1" x14ac:dyDescent="0.25">
      <c r="A925" s="187"/>
      <c r="B925" s="188"/>
      <c r="C925" s="189"/>
      <c r="D925" s="199"/>
      <c r="E925" s="189"/>
      <c r="F925" s="189"/>
    </row>
    <row r="926" spans="1:6" ht="28.5" customHeight="1" x14ac:dyDescent="0.25">
      <c r="A926" s="187"/>
      <c r="B926" s="188"/>
      <c r="C926" s="189"/>
      <c r="D926" s="199"/>
      <c r="E926" s="189"/>
      <c r="F926" s="189"/>
    </row>
    <row r="927" spans="1:6" ht="28.5" customHeight="1" x14ac:dyDescent="0.25">
      <c r="A927" s="187"/>
      <c r="B927" s="188"/>
      <c r="C927" s="189"/>
      <c r="D927" s="199"/>
      <c r="E927" s="189"/>
      <c r="F927" s="189"/>
    </row>
    <row r="928" spans="1:6" ht="28.5" customHeight="1" x14ac:dyDescent="0.25">
      <c r="A928" s="187"/>
      <c r="B928" s="188"/>
      <c r="C928" s="189"/>
      <c r="D928" s="199"/>
      <c r="E928" s="189"/>
      <c r="F928" s="189"/>
    </row>
    <row r="929" spans="1:6" ht="28.5" customHeight="1" x14ac:dyDescent="0.25">
      <c r="A929" s="187"/>
      <c r="B929" s="188"/>
      <c r="C929" s="189"/>
      <c r="D929" s="199"/>
      <c r="E929" s="189"/>
      <c r="F929" s="189"/>
    </row>
    <row r="930" spans="1:6" ht="28.5" customHeight="1" x14ac:dyDescent="0.25">
      <c r="A930" s="187"/>
      <c r="B930" s="188"/>
      <c r="C930" s="189"/>
      <c r="D930" s="199"/>
      <c r="E930" s="189"/>
      <c r="F930" s="189"/>
    </row>
    <row r="931" spans="1:6" ht="28.5" customHeight="1" x14ac:dyDescent="0.25">
      <c r="A931" s="187"/>
      <c r="B931" s="188"/>
      <c r="C931" s="189"/>
      <c r="D931" s="199"/>
      <c r="E931" s="189"/>
      <c r="F931" s="189"/>
    </row>
    <row r="932" spans="1:6" ht="28.5" customHeight="1" x14ac:dyDescent="0.25">
      <c r="A932" s="187"/>
      <c r="B932" s="188"/>
      <c r="C932" s="189"/>
      <c r="D932" s="199"/>
      <c r="E932" s="189"/>
      <c r="F932" s="189"/>
    </row>
    <row r="933" spans="1:6" ht="28.5" customHeight="1" x14ac:dyDescent="0.25">
      <c r="A933" s="187"/>
      <c r="B933" s="188"/>
      <c r="C933" s="189"/>
      <c r="D933" s="199"/>
      <c r="E933" s="189"/>
      <c r="F933" s="189"/>
    </row>
    <row r="934" spans="1:6" ht="28.5" customHeight="1" x14ac:dyDescent="0.25">
      <c r="A934" s="187"/>
      <c r="B934" s="188"/>
      <c r="C934" s="189"/>
      <c r="D934" s="199"/>
      <c r="E934" s="189"/>
      <c r="F934" s="189"/>
    </row>
    <row r="935" spans="1:6" ht="28.5" customHeight="1" x14ac:dyDescent="0.25">
      <c r="A935" s="187"/>
      <c r="B935" s="188"/>
      <c r="C935" s="189"/>
      <c r="D935" s="199"/>
      <c r="E935" s="189"/>
      <c r="F935" s="189"/>
    </row>
    <row r="936" spans="1:6" ht="28.5" customHeight="1" x14ac:dyDescent="0.25">
      <c r="A936" s="187"/>
      <c r="B936" s="188"/>
      <c r="C936" s="189"/>
      <c r="D936" s="199"/>
      <c r="E936" s="189"/>
      <c r="F936" s="189"/>
    </row>
    <row r="937" spans="1:6" ht="28.5" customHeight="1" x14ac:dyDescent="0.25">
      <c r="A937" s="187"/>
      <c r="B937" s="188"/>
      <c r="C937" s="189"/>
      <c r="D937" s="199"/>
      <c r="E937" s="189"/>
      <c r="F937" s="189"/>
    </row>
    <row r="938" spans="1:6" ht="28.5" customHeight="1" x14ac:dyDescent="0.25">
      <c r="A938" s="187"/>
      <c r="B938" s="188"/>
      <c r="C938" s="189"/>
      <c r="D938" s="199"/>
      <c r="E938" s="189"/>
      <c r="F938" s="189"/>
    </row>
    <row r="939" spans="1:6" ht="28.5" customHeight="1" x14ac:dyDescent="0.25">
      <c r="A939" s="187"/>
      <c r="B939" s="188"/>
      <c r="C939" s="189"/>
      <c r="D939" s="199"/>
      <c r="E939" s="189"/>
      <c r="F939" s="189"/>
    </row>
    <row r="940" spans="1:6" ht="28.5" customHeight="1" x14ac:dyDescent="0.25">
      <c r="A940" s="187"/>
      <c r="B940" s="188"/>
      <c r="C940" s="189"/>
      <c r="D940" s="199"/>
      <c r="E940" s="189"/>
      <c r="F940" s="189"/>
    </row>
    <row r="941" spans="1:6" ht="28.5" customHeight="1" x14ac:dyDescent="0.25">
      <c r="A941" s="187"/>
      <c r="B941" s="188"/>
      <c r="C941" s="189"/>
      <c r="D941" s="199"/>
      <c r="E941" s="189"/>
      <c r="F941" s="189"/>
    </row>
    <row r="942" spans="1:6" ht="28.5" customHeight="1" x14ac:dyDescent="0.25">
      <c r="A942" s="187"/>
      <c r="B942" s="188"/>
      <c r="C942" s="189"/>
      <c r="D942" s="199"/>
      <c r="E942" s="189"/>
      <c r="F942" s="189"/>
    </row>
    <row r="943" spans="1:6" ht="28.5" customHeight="1" x14ac:dyDescent="0.25">
      <c r="A943" s="187"/>
      <c r="B943" s="188"/>
      <c r="C943" s="189"/>
      <c r="D943" s="199"/>
      <c r="E943" s="189"/>
      <c r="F943" s="189"/>
    </row>
    <row r="944" spans="1:6" ht="28.5" customHeight="1" x14ac:dyDescent="0.25">
      <c r="A944" s="187"/>
      <c r="B944" s="188"/>
      <c r="C944" s="189"/>
      <c r="D944" s="199"/>
      <c r="E944" s="189"/>
      <c r="F944" s="189"/>
    </row>
    <row r="945" spans="1:6" ht="28.5" customHeight="1" x14ac:dyDescent="0.25">
      <c r="A945" s="187"/>
      <c r="B945" s="188"/>
      <c r="C945" s="189"/>
      <c r="D945" s="199"/>
      <c r="E945" s="189"/>
      <c r="F945" s="189"/>
    </row>
    <row r="946" spans="1:6" ht="28.5" customHeight="1" x14ac:dyDescent="0.25">
      <c r="A946" s="187"/>
      <c r="B946" s="188"/>
      <c r="C946" s="189"/>
      <c r="D946" s="199"/>
      <c r="E946" s="189"/>
      <c r="F946" s="189"/>
    </row>
    <row r="947" spans="1:6" ht="28.5" customHeight="1" x14ac:dyDescent="0.25">
      <c r="A947" s="187"/>
      <c r="B947" s="188"/>
      <c r="C947" s="189"/>
      <c r="D947" s="199"/>
      <c r="E947" s="189"/>
      <c r="F947" s="189"/>
    </row>
    <row r="948" spans="1:6" ht="28.5" customHeight="1" x14ac:dyDescent="0.25">
      <c r="A948" s="187"/>
      <c r="B948" s="188"/>
      <c r="C948" s="189"/>
      <c r="D948" s="199"/>
      <c r="E948" s="189"/>
      <c r="F948" s="189"/>
    </row>
    <row r="949" spans="1:6" ht="28.5" customHeight="1" x14ac:dyDescent="0.25">
      <c r="A949" s="187"/>
      <c r="B949" s="188"/>
      <c r="C949" s="189"/>
      <c r="D949" s="199"/>
      <c r="E949" s="189"/>
      <c r="F949" s="189"/>
    </row>
    <row r="950" spans="1:6" ht="28.5" customHeight="1" x14ac:dyDescent="0.25">
      <c r="A950" s="187"/>
      <c r="B950" s="188"/>
      <c r="C950" s="189"/>
      <c r="D950" s="199"/>
      <c r="E950" s="189"/>
      <c r="F950" s="189"/>
    </row>
    <row r="951" spans="1:6" ht="28.5" customHeight="1" x14ac:dyDescent="0.25">
      <c r="A951" s="187"/>
      <c r="B951" s="188"/>
      <c r="C951" s="189"/>
      <c r="D951" s="199"/>
      <c r="E951" s="189"/>
      <c r="F951" s="189"/>
    </row>
    <row r="952" spans="1:6" ht="28.5" customHeight="1" x14ac:dyDescent="0.25">
      <c r="A952" s="187"/>
      <c r="B952" s="188"/>
      <c r="C952" s="189"/>
      <c r="D952" s="199"/>
      <c r="E952" s="189"/>
      <c r="F952" s="189"/>
    </row>
    <row r="953" spans="1:6" ht="28.5" customHeight="1" x14ac:dyDescent="0.25">
      <c r="A953" s="187"/>
      <c r="B953" s="188"/>
      <c r="C953" s="189"/>
      <c r="D953" s="199"/>
      <c r="E953" s="189"/>
      <c r="F953" s="189"/>
    </row>
    <row r="954" spans="1:6" ht="28.5" customHeight="1" x14ac:dyDescent="0.25">
      <c r="A954" s="187"/>
      <c r="B954" s="188"/>
      <c r="C954" s="189"/>
      <c r="D954" s="199"/>
      <c r="E954" s="189"/>
      <c r="F954" s="189"/>
    </row>
    <row r="955" spans="1:6" ht="28.5" customHeight="1" x14ac:dyDescent="0.25">
      <c r="A955" s="187"/>
      <c r="B955" s="188"/>
      <c r="C955" s="189"/>
      <c r="D955" s="199"/>
      <c r="E955" s="189"/>
      <c r="F955" s="189"/>
    </row>
    <row r="956" spans="1:6" ht="28.5" customHeight="1" x14ac:dyDescent="0.25">
      <c r="A956" s="187"/>
      <c r="B956" s="188"/>
      <c r="C956" s="189"/>
      <c r="D956" s="199"/>
      <c r="E956" s="189"/>
      <c r="F956" s="189"/>
    </row>
    <row r="957" spans="1:6" ht="28.5" customHeight="1" x14ac:dyDescent="0.25">
      <c r="A957" s="187"/>
      <c r="B957" s="188"/>
      <c r="C957" s="189"/>
      <c r="D957" s="199"/>
      <c r="E957" s="189"/>
      <c r="F957" s="189"/>
    </row>
    <row r="958" spans="1:6" ht="28.5" customHeight="1" x14ac:dyDescent="0.25">
      <c r="A958" s="187"/>
      <c r="B958" s="188"/>
      <c r="C958" s="189"/>
      <c r="D958" s="199"/>
      <c r="E958" s="189"/>
      <c r="F958" s="189"/>
    </row>
    <row r="959" spans="1:6" ht="28.5" customHeight="1" x14ac:dyDescent="0.25">
      <c r="A959" s="187"/>
      <c r="B959" s="188"/>
      <c r="C959" s="189"/>
      <c r="D959" s="199"/>
      <c r="E959" s="189"/>
      <c r="F959" s="189"/>
    </row>
    <row r="960" spans="1:6" ht="28.5" customHeight="1" x14ac:dyDescent="0.25">
      <c r="A960" s="187"/>
      <c r="B960" s="188"/>
      <c r="C960" s="189"/>
      <c r="D960" s="199"/>
      <c r="E960" s="189"/>
      <c r="F960" s="189"/>
    </row>
    <row r="961" spans="1:6" ht="28.5" customHeight="1" x14ac:dyDescent="0.25">
      <c r="A961" s="187"/>
      <c r="B961" s="188"/>
      <c r="C961" s="189"/>
      <c r="D961" s="199"/>
      <c r="E961" s="189"/>
      <c r="F961" s="189"/>
    </row>
    <row r="962" spans="1:6" ht="28.5" customHeight="1" x14ac:dyDescent="0.25">
      <c r="A962" s="187"/>
      <c r="B962" s="188"/>
      <c r="C962" s="189"/>
      <c r="D962" s="199"/>
      <c r="E962" s="189"/>
      <c r="F962" s="189"/>
    </row>
    <row r="963" spans="1:6" ht="28.5" customHeight="1" x14ac:dyDescent="0.25">
      <c r="A963" s="187"/>
      <c r="B963" s="188"/>
      <c r="C963" s="189"/>
      <c r="D963" s="199"/>
      <c r="E963" s="189"/>
      <c r="F963" s="189"/>
    </row>
    <row r="964" spans="1:6" ht="28.5" customHeight="1" x14ac:dyDescent="0.25">
      <c r="A964" s="187"/>
      <c r="B964" s="188"/>
      <c r="C964" s="189"/>
      <c r="D964" s="199"/>
      <c r="E964" s="189"/>
      <c r="F964" s="189"/>
    </row>
  </sheetData>
  <mergeCells count="19">
    <mergeCell ref="A2:R2"/>
    <mergeCell ref="A3:R3"/>
    <mergeCell ref="A4:R4"/>
    <mergeCell ref="A5:R5"/>
    <mergeCell ref="A47:B47"/>
    <mergeCell ref="O6:R6"/>
    <mergeCell ref="M7:N7"/>
    <mergeCell ref="C7:D7"/>
    <mergeCell ref="E7:F7"/>
    <mergeCell ref="G7:H7"/>
    <mergeCell ref="I7:J7"/>
    <mergeCell ref="K7:L7"/>
    <mergeCell ref="C6:N6"/>
    <mergeCell ref="O7:O8"/>
    <mergeCell ref="Q7:Q8"/>
    <mergeCell ref="R7:R8"/>
    <mergeCell ref="B6:B8"/>
    <mergeCell ref="A6:A8"/>
    <mergeCell ref="P7:P8"/>
  </mergeCells>
  <pageMargins left="0.31496062992125984" right="0.31496062992125984" top="0.35433070866141736" bottom="0.94488188976377963" header="0" footer="0"/>
  <pageSetup paperSize="9" scale="38" fitToHeight="2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80"/>
  <sheetViews>
    <sheetView topLeftCell="A58" workbookViewId="0">
      <selection activeCell="H40" activeCellId="1" sqref="A30 H40"/>
    </sheetView>
  </sheetViews>
  <sheetFormatPr defaultRowHeight="15" x14ac:dyDescent="0.25"/>
  <cols>
    <col min="1" max="1" width="16.28515625" bestFit="1" customWidth="1"/>
    <col min="2" max="2" width="15.7109375" bestFit="1" customWidth="1"/>
  </cols>
  <sheetData>
    <row r="2" spans="1:2" ht="110.25" x14ac:dyDescent="0.25">
      <c r="A2" s="201" t="s">
        <v>236</v>
      </c>
      <c r="B2" s="157">
        <v>41643624341</v>
      </c>
    </row>
    <row r="3" spans="1:2" ht="78.75" x14ac:dyDescent="0.25">
      <c r="A3" s="149" t="s">
        <v>207</v>
      </c>
      <c r="B3" s="150">
        <v>2843252100</v>
      </c>
    </row>
    <row r="4" spans="1:2" ht="47.25" x14ac:dyDescent="0.25">
      <c r="A4" s="154" t="s">
        <v>204</v>
      </c>
      <c r="B4" s="150">
        <v>1338116419</v>
      </c>
    </row>
    <row r="5" spans="1:2" ht="94.5" x14ac:dyDescent="0.25">
      <c r="A5" s="154" t="s">
        <v>194</v>
      </c>
      <c r="B5" s="150">
        <v>1087650000</v>
      </c>
    </row>
    <row r="6" spans="1:2" ht="63" x14ac:dyDescent="0.25">
      <c r="A6" s="154" t="s">
        <v>221</v>
      </c>
      <c r="B6" s="150">
        <v>895188000</v>
      </c>
    </row>
    <row r="7" spans="1:2" ht="94.5" x14ac:dyDescent="0.25">
      <c r="A7" s="154" t="s">
        <v>225</v>
      </c>
      <c r="B7" s="150">
        <v>883165138</v>
      </c>
    </row>
    <row r="8" spans="1:2" ht="94.5" x14ac:dyDescent="0.25">
      <c r="A8" s="154" t="s">
        <v>212</v>
      </c>
      <c r="B8" s="150">
        <v>854242542</v>
      </c>
    </row>
    <row r="9" spans="1:2" ht="110.25" x14ac:dyDescent="0.25">
      <c r="A9" s="154" t="s">
        <v>235</v>
      </c>
      <c r="B9" s="150">
        <v>800905000</v>
      </c>
    </row>
    <row r="10" spans="1:2" ht="78.75" x14ac:dyDescent="0.25">
      <c r="A10" s="154" t="s">
        <v>216</v>
      </c>
      <c r="B10" s="150">
        <v>591567350</v>
      </c>
    </row>
    <row r="11" spans="1:2" ht="94.5" x14ac:dyDescent="0.25">
      <c r="A11" s="154" t="s">
        <v>234</v>
      </c>
      <c r="B11" s="150">
        <v>542906185</v>
      </c>
    </row>
    <row r="12" spans="1:2" ht="78.75" x14ac:dyDescent="0.25">
      <c r="A12" s="154" t="s">
        <v>252</v>
      </c>
      <c r="B12" s="150">
        <v>430631250</v>
      </c>
    </row>
    <row r="13" spans="1:2" ht="94.5" x14ac:dyDescent="0.25">
      <c r="A13" s="154" t="s">
        <v>185</v>
      </c>
      <c r="B13" s="150">
        <v>419405130</v>
      </c>
    </row>
    <row r="14" spans="1:2" ht="126" x14ac:dyDescent="0.25">
      <c r="A14" s="154" t="s">
        <v>193</v>
      </c>
      <c r="B14" s="150">
        <v>409120200</v>
      </c>
    </row>
    <row r="15" spans="1:2" ht="126" x14ac:dyDescent="0.25">
      <c r="A15" s="154" t="s">
        <v>249</v>
      </c>
      <c r="B15" s="150">
        <v>408358900</v>
      </c>
    </row>
    <row r="16" spans="1:2" ht="94.5" x14ac:dyDescent="0.25">
      <c r="A16" s="154" t="s">
        <v>210</v>
      </c>
      <c r="B16" s="150">
        <v>405483000</v>
      </c>
    </row>
    <row r="17" spans="1:2" ht="63" x14ac:dyDescent="0.25">
      <c r="A17" s="154" t="s">
        <v>220</v>
      </c>
      <c r="B17" s="150">
        <v>369053000</v>
      </c>
    </row>
    <row r="18" spans="1:2" ht="78.75" x14ac:dyDescent="0.25">
      <c r="A18" s="154" t="s">
        <v>233</v>
      </c>
      <c r="B18" s="150">
        <v>347650060</v>
      </c>
    </row>
    <row r="19" spans="1:2" ht="94.5" x14ac:dyDescent="0.25">
      <c r="A19" s="154" t="s">
        <v>213</v>
      </c>
      <c r="B19" s="150">
        <v>342663000</v>
      </c>
    </row>
    <row r="20" spans="1:2" ht="94.5" x14ac:dyDescent="0.25">
      <c r="A20" s="154" t="s">
        <v>219</v>
      </c>
      <c r="B20" s="150">
        <v>305467300</v>
      </c>
    </row>
    <row r="21" spans="1:2" ht="94.5" x14ac:dyDescent="0.25">
      <c r="A21" s="154" t="s">
        <v>196</v>
      </c>
      <c r="B21" s="150">
        <v>288212645</v>
      </c>
    </row>
    <row r="22" spans="1:2" ht="94.5" x14ac:dyDescent="0.25">
      <c r="A22" s="154" t="s">
        <v>205</v>
      </c>
      <c r="B22" s="150">
        <v>272885000</v>
      </c>
    </row>
    <row r="23" spans="1:2" ht="94.5" x14ac:dyDescent="0.25">
      <c r="A23" s="154" t="s">
        <v>215</v>
      </c>
      <c r="B23" s="150">
        <v>227532582</v>
      </c>
    </row>
    <row r="24" spans="1:2" ht="94.5" x14ac:dyDescent="0.25">
      <c r="A24" s="154" t="s">
        <v>246</v>
      </c>
      <c r="B24" s="150">
        <v>212870000</v>
      </c>
    </row>
    <row r="25" spans="1:2" ht="94.5" x14ac:dyDescent="0.25">
      <c r="A25" s="154" t="s">
        <v>243</v>
      </c>
      <c r="B25" s="150">
        <v>193426015</v>
      </c>
    </row>
    <row r="26" spans="1:2" ht="94.5" x14ac:dyDescent="0.25">
      <c r="A26" s="154" t="s">
        <v>187</v>
      </c>
      <c r="B26" s="150">
        <v>185753000</v>
      </c>
    </row>
    <row r="27" spans="1:2" ht="63" x14ac:dyDescent="0.25">
      <c r="A27" s="154" t="s">
        <v>188</v>
      </c>
      <c r="B27" s="150">
        <v>179398400</v>
      </c>
    </row>
    <row r="28" spans="1:2" ht="94.5" x14ac:dyDescent="0.25">
      <c r="A28" s="154" t="s">
        <v>202</v>
      </c>
      <c r="B28" s="150">
        <v>158455000</v>
      </c>
    </row>
    <row r="29" spans="1:2" ht="63" x14ac:dyDescent="0.25">
      <c r="A29" s="154" t="s">
        <v>239</v>
      </c>
      <c r="B29" s="150">
        <v>154013200</v>
      </c>
    </row>
    <row r="30" spans="1:2" ht="78.75" x14ac:dyDescent="0.25">
      <c r="A30" s="154" t="s">
        <v>250</v>
      </c>
      <c r="B30" s="150">
        <v>144419962</v>
      </c>
    </row>
    <row r="31" spans="1:2" ht="94.5" x14ac:dyDescent="0.25">
      <c r="A31" s="154" t="s">
        <v>218</v>
      </c>
      <c r="B31" s="150">
        <v>131180000</v>
      </c>
    </row>
    <row r="32" spans="1:2" ht="78.75" x14ac:dyDescent="0.25">
      <c r="A32" s="154" t="s">
        <v>184</v>
      </c>
      <c r="B32" s="150">
        <v>112596490</v>
      </c>
    </row>
    <row r="33" spans="1:2" ht="94.5" x14ac:dyDescent="0.25">
      <c r="A33" s="154" t="s">
        <v>238</v>
      </c>
      <c r="B33" s="150">
        <v>112064880</v>
      </c>
    </row>
    <row r="34" spans="1:2" ht="63" x14ac:dyDescent="0.25">
      <c r="A34" s="154" t="s">
        <v>199</v>
      </c>
      <c r="B34" s="150">
        <v>111433000</v>
      </c>
    </row>
    <row r="35" spans="1:2" ht="94.5" x14ac:dyDescent="0.25">
      <c r="A35" s="154" t="s">
        <v>200</v>
      </c>
      <c r="B35" s="150">
        <v>107580000</v>
      </c>
    </row>
    <row r="36" spans="1:2" ht="78.75" x14ac:dyDescent="0.25">
      <c r="A36" s="154" t="s">
        <v>232</v>
      </c>
      <c r="B36" s="150">
        <v>87681000</v>
      </c>
    </row>
    <row r="37" spans="1:2" ht="63" x14ac:dyDescent="0.25">
      <c r="A37" s="154" t="s">
        <v>241</v>
      </c>
      <c r="B37" s="150">
        <v>86142000</v>
      </c>
    </row>
    <row r="38" spans="1:2" ht="94.5" x14ac:dyDescent="0.25">
      <c r="A38" s="154" t="s">
        <v>228</v>
      </c>
      <c r="B38" s="150">
        <v>77750000</v>
      </c>
    </row>
    <row r="39" spans="1:2" ht="126" x14ac:dyDescent="0.25">
      <c r="A39" s="154" t="s">
        <v>201</v>
      </c>
      <c r="B39" s="150">
        <v>71060000</v>
      </c>
    </row>
    <row r="40" spans="1:2" ht="94.5" x14ac:dyDescent="0.25">
      <c r="A40" s="154" t="s">
        <v>217</v>
      </c>
      <c r="B40" s="150">
        <v>67290000</v>
      </c>
    </row>
    <row r="41" spans="1:2" ht="94.5" x14ac:dyDescent="0.25">
      <c r="A41" s="154" t="s">
        <v>195</v>
      </c>
      <c r="B41" s="150">
        <v>57159500</v>
      </c>
    </row>
    <row r="42" spans="1:2" ht="94.5" x14ac:dyDescent="0.25">
      <c r="A42" s="154" t="s">
        <v>208</v>
      </c>
      <c r="B42" s="150">
        <v>49492400</v>
      </c>
    </row>
    <row r="43" spans="1:2" ht="47.25" x14ac:dyDescent="0.25">
      <c r="A43" s="154" t="s">
        <v>240</v>
      </c>
      <c r="B43" s="150">
        <v>48210000</v>
      </c>
    </row>
    <row r="44" spans="1:2" ht="78.75" x14ac:dyDescent="0.25">
      <c r="A44" s="154" t="s">
        <v>191</v>
      </c>
      <c r="B44" s="150">
        <v>44900000</v>
      </c>
    </row>
    <row r="45" spans="1:2" ht="78.75" x14ac:dyDescent="0.25">
      <c r="A45" s="154" t="s">
        <v>230</v>
      </c>
      <c r="B45" s="150">
        <v>43384580</v>
      </c>
    </row>
    <row r="46" spans="1:2" ht="63" x14ac:dyDescent="0.25">
      <c r="A46" s="154" t="s">
        <v>256</v>
      </c>
      <c r="B46" s="150">
        <v>39495000</v>
      </c>
    </row>
    <row r="47" spans="1:2" ht="94.5" x14ac:dyDescent="0.25">
      <c r="A47" s="154" t="s">
        <v>186</v>
      </c>
      <c r="B47" s="150">
        <v>28830000</v>
      </c>
    </row>
    <row r="48" spans="1:2" ht="78.75" x14ac:dyDescent="0.25">
      <c r="A48" s="154" t="s">
        <v>222</v>
      </c>
      <c r="B48" s="150">
        <v>28729760</v>
      </c>
    </row>
    <row r="49" spans="1:2" ht="78.75" x14ac:dyDescent="0.25">
      <c r="A49" s="154" t="s">
        <v>254</v>
      </c>
      <c r="B49" s="150">
        <v>25560000</v>
      </c>
    </row>
    <row r="50" spans="1:2" ht="110.25" x14ac:dyDescent="0.25">
      <c r="A50" s="154" t="s">
        <v>183</v>
      </c>
      <c r="B50" s="150">
        <v>23597501</v>
      </c>
    </row>
    <row r="51" spans="1:2" ht="110.25" x14ac:dyDescent="0.25">
      <c r="A51" s="154" t="s">
        <v>257</v>
      </c>
      <c r="B51" s="150">
        <v>23417000</v>
      </c>
    </row>
    <row r="52" spans="1:2" ht="78.75" x14ac:dyDescent="0.25">
      <c r="A52" s="154" t="s">
        <v>227</v>
      </c>
      <c r="B52" s="150">
        <v>18540000</v>
      </c>
    </row>
    <row r="53" spans="1:2" ht="94.5" x14ac:dyDescent="0.25">
      <c r="A53" s="154" t="s">
        <v>248</v>
      </c>
      <c r="B53" s="150">
        <v>17460000</v>
      </c>
    </row>
    <row r="54" spans="1:2" ht="94.5" x14ac:dyDescent="0.25">
      <c r="A54" s="154" t="s">
        <v>237</v>
      </c>
      <c r="B54" s="150">
        <v>17346000</v>
      </c>
    </row>
    <row r="55" spans="1:2" ht="78.75" x14ac:dyDescent="0.25">
      <c r="A55" s="154" t="s">
        <v>203</v>
      </c>
      <c r="B55" s="150">
        <v>15220000</v>
      </c>
    </row>
    <row r="56" spans="1:2" ht="94.5" x14ac:dyDescent="0.25">
      <c r="A56" s="154" t="s">
        <v>206</v>
      </c>
      <c r="B56" s="150">
        <v>12850000</v>
      </c>
    </row>
    <row r="57" spans="1:2" ht="94.5" x14ac:dyDescent="0.25">
      <c r="A57" s="154" t="s">
        <v>209</v>
      </c>
      <c r="B57" s="150">
        <v>9013000</v>
      </c>
    </row>
    <row r="58" spans="1:2" ht="78.75" x14ac:dyDescent="0.25">
      <c r="A58" s="154" t="s">
        <v>231</v>
      </c>
      <c r="B58" s="150">
        <v>6200000</v>
      </c>
    </row>
    <row r="59" spans="1:2" ht="63" x14ac:dyDescent="0.25">
      <c r="A59" s="154" t="s">
        <v>211</v>
      </c>
      <c r="B59" s="150">
        <v>5289243</v>
      </c>
    </row>
    <row r="60" spans="1:2" ht="78.75" x14ac:dyDescent="0.25">
      <c r="A60" s="154" t="s">
        <v>223</v>
      </c>
      <c r="B60" s="150">
        <v>2500000</v>
      </c>
    </row>
    <row r="61" spans="1:2" ht="78.75" x14ac:dyDescent="0.25">
      <c r="A61" s="154" t="s">
        <v>182</v>
      </c>
      <c r="B61" s="150">
        <v>0</v>
      </c>
    </row>
    <row r="62" spans="1:2" ht="78.75" x14ac:dyDescent="0.25">
      <c r="A62" s="154" t="s">
        <v>189</v>
      </c>
      <c r="B62" s="150">
        <v>0</v>
      </c>
    </row>
    <row r="63" spans="1:2" ht="78.75" x14ac:dyDescent="0.25">
      <c r="A63" s="154" t="s">
        <v>190</v>
      </c>
      <c r="B63" s="150">
        <v>0</v>
      </c>
    </row>
    <row r="64" spans="1:2" ht="110.25" x14ac:dyDescent="0.25">
      <c r="A64" s="154" t="s">
        <v>192</v>
      </c>
      <c r="B64" s="150">
        <v>0</v>
      </c>
    </row>
    <row r="65" spans="1:2" ht="78.75" x14ac:dyDescent="0.25">
      <c r="A65" s="154" t="s">
        <v>197</v>
      </c>
      <c r="B65" s="150">
        <v>0</v>
      </c>
    </row>
    <row r="66" spans="1:2" ht="63" x14ac:dyDescent="0.25">
      <c r="A66" s="154" t="s">
        <v>198</v>
      </c>
      <c r="B66" s="150">
        <v>0</v>
      </c>
    </row>
    <row r="67" spans="1:2" ht="94.5" x14ac:dyDescent="0.25">
      <c r="A67" s="154" t="s">
        <v>214</v>
      </c>
      <c r="B67" s="150">
        <v>0</v>
      </c>
    </row>
    <row r="68" spans="1:2" ht="78.75" x14ac:dyDescent="0.25">
      <c r="A68" s="154" t="s">
        <v>224</v>
      </c>
      <c r="B68" s="150">
        <v>0</v>
      </c>
    </row>
    <row r="69" spans="1:2" ht="94.5" x14ac:dyDescent="0.25">
      <c r="A69" s="154" t="s">
        <v>226</v>
      </c>
      <c r="B69" s="150">
        <v>0</v>
      </c>
    </row>
    <row r="70" spans="1:2" ht="78.75" x14ac:dyDescent="0.25">
      <c r="A70" s="154" t="s">
        <v>229</v>
      </c>
      <c r="B70" s="150">
        <v>0</v>
      </c>
    </row>
    <row r="71" spans="1:2" ht="126" x14ac:dyDescent="0.25">
      <c r="A71" s="154" t="s">
        <v>242</v>
      </c>
      <c r="B71" s="150">
        <v>0</v>
      </c>
    </row>
    <row r="72" spans="1:2" ht="110.25" x14ac:dyDescent="0.25">
      <c r="A72" s="154" t="s">
        <v>244</v>
      </c>
      <c r="B72" s="150">
        <v>0</v>
      </c>
    </row>
    <row r="73" spans="1:2" ht="78.75" x14ac:dyDescent="0.25">
      <c r="A73" s="154" t="s">
        <v>245</v>
      </c>
      <c r="B73" s="150">
        <v>0</v>
      </c>
    </row>
    <row r="74" spans="1:2" ht="78.75" x14ac:dyDescent="0.25">
      <c r="A74" s="154" t="s">
        <v>247</v>
      </c>
      <c r="B74" s="150">
        <v>0</v>
      </c>
    </row>
    <row r="75" spans="1:2" ht="110.25" x14ac:dyDescent="0.25">
      <c r="A75" s="154" t="s">
        <v>251</v>
      </c>
      <c r="B75" s="150">
        <v>0</v>
      </c>
    </row>
    <row r="76" spans="1:2" ht="63" x14ac:dyDescent="0.25">
      <c r="A76" s="154" t="s">
        <v>253</v>
      </c>
      <c r="B76" s="150">
        <v>0</v>
      </c>
    </row>
    <row r="77" spans="1:2" ht="78.75" x14ac:dyDescent="0.25">
      <c r="A77" s="149" t="s">
        <v>255</v>
      </c>
      <c r="B77" s="150">
        <v>0</v>
      </c>
    </row>
    <row r="78" spans="1:2" ht="75" x14ac:dyDescent="0.25">
      <c r="A78" s="197" t="s">
        <v>343</v>
      </c>
      <c r="B78" s="150">
        <v>0</v>
      </c>
    </row>
    <row r="79" spans="1:2" ht="60" x14ac:dyDescent="0.25">
      <c r="A79" s="197" t="s">
        <v>344</v>
      </c>
      <c r="B79" s="150">
        <v>0</v>
      </c>
    </row>
    <row r="80" spans="1:2" ht="90" x14ac:dyDescent="0.25">
      <c r="A80" s="197" t="s">
        <v>345</v>
      </c>
      <c r="B80" s="150">
        <v>0</v>
      </c>
    </row>
  </sheetData>
  <autoFilter ref="A1:B80" xr:uid="{00000000-0009-0000-0000-000005000000}">
    <sortState xmlns:xlrd2="http://schemas.microsoft.com/office/spreadsheetml/2017/richdata2" ref="A2:B80">
      <sortCondition descending="1" ref="B1:B80"/>
    </sortState>
  </autoFilter>
  <sortState xmlns:xlrd2="http://schemas.microsoft.com/office/spreadsheetml/2017/richdata2" ref="A2:A80">
    <sortCondition descending="1" ref="A2:A8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 x14ac:dyDescent="0.25"/>
  <cols>
    <col min="1" max="1" width="3.7109375" customWidth="1"/>
    <col min="2" max="2" width="4.5703125" customWidth="1"/>
    <col min="3" max="3" width="3.7109375" customWidth="1"/>
    <col min="4" max="4" width="5.5703125" customWidth="1"/>
    <col min="5" max="5" width="9.28515625" customWidth="1"/>
    <col min="6" max="6" width="9.7109375" customWidth="1"/>
    <col min="7" max="7" width="3" customWidth="1"/>
    <col min="8" max="8" width="16" customWidth="1"/>
    <col min="9" max="9" width="9.28515625" customWidth="1"/>
    <col min="10" max="10" width="9.7109375" customWidth="1"/>
    <col min="11" max="11" width="3" customWidth="1"/>
    <col min="12" max="12" width="6.28515625" customWidth="1"/>
    <col min="13" max="13" width="9.28515625" customWidth="1"/>
    <col min="14" max="14" width="9.7109375" customWidth="1"/>
    <col min="15" max="15" width="2.42578125" customWidth="1"/>
    <col min="16" max="16" width="7.5703125" customWidth="1"/>
    <col min="17" max="17" width="9.28515625" customWidth="1"/>
    <col min="18" max="18" width="10.28515625" customWidth="1"/>
    <col min="19" max="19" width="3.28515625" customWidth="1"/>
    <col min="20" max="20" width="6.28515625" customWidth="1"/>
    <col min="21" max="21" width="9.28515625" customWidth="1"/>
    <col min="22" max="22" width="9.7109375" customWidth="1"/>
    <col min="23" max="26" width="9.28515625" customWidth="1"/>
  </cols>
  <sheetData>
    <row r="1" spans="1:26" ht="14.25" customHeight="1" x14ac:dyDescent="0.25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 spans="1:26" ht="14.25" customHeight="1" x14ac:dyDescent="0.25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spans="1:26" ht="14.25" customHeight="1" x14ac:dyDescent="0.2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</row>
    <row r="4" spans="1:26" ht="14.25" customHeight="1" x14ac:dyDescent="0.3">
      <c r="A4" s="135"/>
      <c r="B4" s="135"/>
      <c r="C4" s="135"/>
      <c r="D4" s="258" t="s">
        <v>258</v>
      </c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60"/>
      <c r="W4" s="135"/>
      <c r="X4" s="135"/>
      <c r="Y4" s="135"/>
      <c r="Z4" s="135"/>
    </row>
    <row r="5" spans="1:26" ht="14.25" customHeight="1" x14ac:dyDescent="0.25">
      <c r="A5" s="135"/>
      <c r="B5" s="135"/>
      <c r="C5" s="135"/>
      <c r="D5" s="136" t="s">
        <v>162</v>
      </c>
      <c r="E5" s="137" t="s">
        <v>259</v>
      </c>
      <c r="F5" s="137" t="s">
        <v>260</v>
      </c>
      <c r="G5" s="138"/>
      <c r="H5" s="139" t="s">
        <v>6</v>
      </c>
      <c r="I5" s="137" t="s">
        <v>261</v>
      </c>
      <c r="J5" s="137" t="s">
        <v>262</v>
      </c>
      <c r="K5" s="138"/>
      <c r="L5" s="139" t="s">
        <v>263</v>
      </c>
      <c r="M5" s="137" t="s">
        <v>264</v>
      </c>
      <c r="N5" s="137" t="s">
        <v>265</v>
      </c>
      <c r="O5" s="138"/>
      <c r="P5" s="139" t="s">
        <v>166</v>
      </c>
      <c r="Q5" s="137" t="s">
        <v>266</v>
      </c>
      <c r="R5" s="137" t="s">
        <v>267</v>
      </c>
      <c r="S5" s="138"/>
      <c r="T5" s="139" t="s">
        <v>167</v>
      </c>
      <c r="U5" s="137" t="s">
        <v>268</v>
      </c>
      <c r="V5" s="140" t="s">
        <v>269</v>
      </c>
      <c r="W5" s="135"/>
      <c r="X5" s="135"/>
      <c r="Y5" s="135"/>
      <c r="Z5" s="135"/>
    </row>
    <row r="6" spans="1:26" ht="14.25" customHeight="1" x14ac:dyDescent="0.25">
      <c r="A6" s="135"/>
      <c r="B6" s="135"/>
      <c r="C6" s="135"/>
      <c r="D6" s="141"/>
      <c r="E6" s="142"/>
      <c r="F6" s="142" t="s">
        <v>270</v>
      </c>
      <c r="G6" s="143"/>
      <c r="H6" s="142"/>
      <c r="I6" s="142" t="s">
        <v>271</v>
      </c>
      <c r="J6" s="142" t="s">
        <v>272</v>
      </c>
      <c r="K6" s="143"/>
      <c r="L6" s="142"/>
      <c r="M6" s="142" t="s">
        <v>273</v>
      </c>
      <c r="N6" s="142" t="s">
        <v>274</v>
      </c>
      <c r="O6" s="143"/>
      <c r="P6" s="142"/>
      <c r="Q6" s="142"/>
      <c r="R6" s="142" t="s">
        <v>275</v>
      </c>
      <c r="S6" s="143"/>
      <c r="T6" s="142"/>
      <c r="U6" s="142"/>
      <c r="V6" s="144" t="s">
        <v>276</v>
      </c>
      <c r="W6" s="135"/>
      <c r="X6" s="135"/>
      <c r="Y6" s="135"/>
      <c r="Z6" s="135"/>
    </row>
    <row r="7" spans="1:26" ht="14.25" customHeight="1" x14ac:dyDescent="0.25">
      <c r="A7" s="135"/>
      <c r="B7" s="135"/>
      <c r="C7" s="135"/>
      <c r="D7" s="141"/>
      <c r="E7" s="142" t="s">
        <v>277</v>
      </c>
      <c r="F7" s="142" t="s">
        <v>278</v>
      </c>
      <c r="G7" s="143"/>
      <c r="H7" s="142"/>
      <c r="I7" s="142"/>
      <c r="J7" s="142" t="s">
        <v>279</v>
      </c>
      <c r="K7" s="143"/>
      <c r="L7" s="142"/>
      <c r="M7" s="142" t="s">
        <v>280</v>
      </c>
      <c r="N7" s="142" t="s">
        <v>281</v>
      </c>
      <c r="O7" s="143"/>
      <c r="P7" s="142"/>
      <c r="Q7" s="142" t="s">
        <v>282</v>
      </c>
      <c r="R7" s="142" t="s">
        <v>283</v>
      </c>
      <c r="S7" s="143"/>
      <c r="T7" s="142"/>
      <c r="U7" s="142" t="s">
        <v>284</v>
      </c>
      <c r="V7" s="144" t="s">
        <v>285</v>
      </c>
      <c r="W7" s="135"/>
      <c r="X7" s="135"/>
      <c r="Y7" s="135"/>
      <c r="Z7" s="135"/>
    </row>
    <row r="8" spans="1:26" ht="14.25" customHeight="1" x14ac:dyDescent="0.25">
      <c r="A8" s="135"/>
      <c r="B8" s="135"/>
      <c r="C8" s="135"/>
      <c r="D8" s="141"/>
      <c r="E8" s="142" t="s">
        <v>286</v>
      </c>
      <c r="F8" s="142" t="s">
        <v>287</v>
      </c>
      <c r="G8" s="143"/>
      <c r="H8" s="142"/>
      <c r="I8" s="142"/>
      <c r="J8" s="142" t="s">
        <v>288</v>
      </c>
      <c r="K8" s="143"/>
      <c r="L8" s="142"/>
      <c r="M8" s="142"/>
      <c r="N8" s="142" t="s">
        <v>289</v>
      </c>
      <c r="O8" s="143"/>
      <c r="P8" s="142"/>
      <c r="Q8" s="142" t="s">
        <v>290</v>
      </c>
      <c r="R8" s="142" t="s">
        <v>291</v>
      </c>
      <c r="S8" s="143"/>
      <c r="T8" s="142"/>
      <c r="U8" s="142"/>
      <c r="V8" s="144" t="s">
        <v>292</v>
      </c>
      <c r="W8" s="135"/>
      <c r="X8" s="135"/>
      <c r="Y8" s="135"/>
      <c r="Z8" s="135"/>
    </row>
    <row r="9" spans="1:26" ht="14.25" customHeight="1" x14ac:dyDescent="0.25">
      <c r="A9" s="135"/>
      <c r="B9" s="135"/>
      <c r="C9" s="135"/>
      <c r="D9" s="141"/>
      <c r="E9" s="142" t="s">
        <v>293</v>
      </c>
      <c r="F9" s="142" t="s">
        <v>294</v>
      </c>
      <c r="G9" s="143"/>
      <c r="H9" s="142"/>
      <c r="I9" s="142"/>
      <c r="J9" s="142" t="s">
        <v>295</v>
      </c>
      <c r="K9" s="143"/>
      <c r="L9" s="142"/>
      <c r="M9" s="142" t="s">
        <v>296</v>
      </c>
      <c r="N9" s="142" t="s">
        <v>297</v>
      </c>
      <c r="O9" s="143"/>
      <c r="P9" s="142"/>
      <c r="Q9" s="142" t="s">
        <v>298</v>
      </c>
      <c r="R9" s="142" t="s">
        <v>299</v>
      </c>
      <c r="S9" s="143"/>
      <c r="T9" s="142"/>
      <c r="U9" s="142" t="s">
        <v>300</v>
      </c>
      <c r="V9" s="144" t="s">
        <v>301</v>
      </c>
      <c r="W9" s="135"/>
      <c r="X9" s="135"/>
      <c r="Y9" s="135"/>
      <c r="Z9" s="135"/>
    </row>
    <row r="10" spans="1:26" ht="14.25" customHeight="1" x14ac:dyDescent="0.25">
      <c r="A10" s="135"/>
      <c r="B10" s="135"/>
      <c r="C10" s="135"/>
      <c r="D10" s="141"/>
      <c r="E10" s="142" t="s">
        <v>302</v>
      </c>
      <c r="F10" s="142" t="s">
        <v>303</v>
      </c>
      <c r="G10" s="143"/>
      <c r="H10" s="142"/>
      <c r="I10" s="142"/>
      <c r="J10" s="142" t="s">
        <v>304</v>
      </c>
      <c r="K10" s="143"/>
      <c r="L10" s="142"/>
      <c r="M10" s="142"/>
      <c r="N10" s="142"/>
      <c r="O10" s="143"/>
      <c r="P10" s="142"/>
      <c r="Q10" s="142" t="s">
        <v>305</v>
      </c>
      <c r="R10" s="142" t="s">
        <v>306</v>
      </c>
      <c r="S10" s="143"/>
      <c r="T10" s="142"/>
      <c r="U10" s="142"/>
      <c r="V10" s="144" t="s">
        <v>307</v>
      </c>
      <c r="W10" s="135"/>
      <c r="X10" s="135"/>
      <c r="Y10" s="135"/>
      <c r="Z10" s="135"/>
    </row>
    <row r="11" spans="1:26" ht="14.25" customHeight="1" x14ac:dyDescent="0.25">
      <c r="A11" s="135"/>
      <c r="B11" s="135"/>
      <c r="C11" s="135"/>
      <c r="D11" s="141"/>
      <c r="E11" s="142"/>
      <c r="F11" s="142" t="s">
        <v>308</v>
      </c>
      <c r="G11" s="143"/>
      <c r="H11" s="142"/>
      <c r="I11" s="142"/>
      <c r="J11" s="142" t="s">
        <v>309</v>
      </c>
      <c r="K11" s="143"/>
      <c r="L11" s="142"/>
      <c r="M11" s="142"/>
      <c r="N11" s="142"/>
      <c r="O11" s="143"/>
      <c r="P11" s="142"/>
      <c r="Q11" s="142" t="s">
        <v>310</v>
      </c>
      <c r="R11" s="142" t="s">
        <v>311</v>
      </c>
      <c r="S11" s="143"/>
      <c r="T11" s="142"/>
      <c r="U11" s="142"/>
      <c r="V11" s="144" t="s">
        <v>312</v>
      </c>
      <c r="W11" s="135"/>
      <c r="X11" s="135"/>
      <c r="Y11" s="135"/>
      <c r="Z11" s="135"/>
    </row>
    <row r="12" spans="1:26" ht="14.25" customHeight="1" x14ac:dyDescent="0.25">
      <c r="A12" s="135"/>
      <c r="B12" s="135"/>
      <c r="C12" s="135"/>
      <c r="D12" s="141"/>
      <c r="E12" s="142"/>
      <c r="F12" s="142"/>
      <c r="G12" s="143"/>
      <c r="H12" s="142"/>
      <c r="I12" s="142"/>
      <c r="J12" s="142" t="s">
        <v>313</v>
      </c>
      <c r="K12" s="143"/>
      <c r="L12" s="142"/>
      <c r="M12" s="142"/>
      <c r="N12" s="142"/>
      <c r="O12" s="143"/>
      <c r="P12" s="142"/>
      <c r="Q12" s="142"/>
      <c r="R12" s="142" t="s">
        <v>314</v>
      </c>
      <c r="S12" s="143"/>
      <c r="T12" s="142"/>
      <c r="U12" s="142"/>
      <c r="V12" s="144" t="s">
        <v>315</v>
      </c>
      <c r="W12" s="135"/>
      <c r="X12" s="135"/>
      <c r="Y12" s="135"/>
      <c r="Z12" s="135"/>
    </row>
    <row r="13" spans="1:26" ht="14.25" customHeight="1" x14ac:dyDescent="0.25">
      <c r="A13" s="135"/>
      <c r="B13" s="135"/>
      <c r="C13" s="135"/>
      <c r="D13" s="141"/>
      <c r="E13" s="142"/>
      <c r="F13" s="142"/>
      <c r="G13" s="143"/>
      <c r="H13" s="142"/>
      <c r="I13" s="142"/>
      <c r="J13" s="142" t="s">
        <v>316</v>
      </c>
      <c r="K13" s="143"/>
      <c r="L13" s="142"/>
      <c r="M13" s="142"/>
      <c r="N13" s="142"/>
      <c r="O13" s="143"/>
      <c r="P13" s="142"/>
      <c r="Q13" s="142"/>
      <c r="R13" s="142" t="s">
        <v>317</v>
      </c>
      <c r="S13" s="143"/>
      <c r="T13" s="142"/>
      <c r="U13" s="142"/>
      <c r="V13" s="144" t="s">
        <v>318</v>
      </c>
      <c r="W13" s="135"/>
      <c r="X13" s="135"/>
      <c r="Y13" s="135"/>
      <c r="Z13" s="135"/>
    </row>
    <row r="14" spans="1:26" ht="14.25" customHeight="1" x14ac:dyDescent="0.25">
      <c r="A14" s="135"/>
      <c r="B14" s="135"/>
      <c r="C14" s="135"/>
      <c r="D14" s="141"/>
      <c r="E14" s="142"/>
      <c r="F14" s="142"/>
      <c r="G14" s="143"/>
      <c r="H14" s="142"/>
      <c r="I14" s="142" t="s">
        <v>319</v>
      </c>
      <c r="J14" s="142" t="s">
        <v>320</v>
      </c>
      <c r="K14" s="143"/>
      <c r="L14" s="142"/>
      <c r="M14" s="142"/>
      <c r="N14" s="142"/>
      <c r="O14" s="143"/>
      <c r="P14" s="142"/>
      <c r="Q14" s="142"/>
      <c r="R14" s="142" t="s">
        <v>321</v>
      </c>
      <c r="S14" s="143"/>
      <c r="T14" s="142"/>
      <c r="U14" s="142"/>
      <c r="V14" s="144" t="s">
        <v>322</v>
      </c>
      <c r="W14" s="135"/>
      <c r="X14" s="135"/>
      <c r="Y14" s="135"/>
      <c r="Z14" s="135"/>
    </row>
    <row r="15" spans="1:26" ht="14.25" customHeight="1" x14ac:dyDescent="0.25">
      <c r="A15" s="135"/>
      <c r="B15" s="135"/>
      <c r="C15" s="135"/>
      <c r="D15" s="141"/>
      <c r="E15" s="142"/>
      <c r="F15" s="142"/>
      <c r="G15" s="143"/>
      <c r="H15" s="142"/>
      <c r="I15" s="142"/>
      <c r="J15" s="142" t="s">
        <v>323</v>
      </c>
      <c r="K15" s="143"/>
      <c r="L15" s="142"/>
      <c r="M15" s="142"/>
      <c r="N15" s="142"/>
      <c r="O15" s="143"/>
      <c r="P15" s="142"/>
      <c r="Q15" s="142"/>
      <c r="R15" s="142"/>
      <c r="S15" s="143"/>
      <c r="T15" s="142"/>
      <c r="U15" s="142" t="s">
        <v>324</v>
      </c>
      <c r="V15" s="144" t="s">
        <v>325</v>
      </c>
      <c r="W15" s="135"/>
      <c r="X15" s="135"/>
      <c r="Y15" s="135"/>
      <c r="Z15" s="135"/>
    </row>
    <row r="16" spans="1:26" ht="14.25" customHeight="1" x14ac:dyDescent="0.25">
      <c r="A16" s="135"/>
      <c r="B16" s="135"/>
      <c r="C16" s="135"/>
      <c r="D16" s="141"/>
      <c r="E16" s="142"/>
      <c r="F16" s="142"/>
      <c r="G16" s="143"/>
      <c r="H16" s="142"/>
      <c r="I16" s="142" t="s">
        <v>326</v>
      </c>
      <c r="J16" s="142" t="s">
        <v>327</v>
      </c>
      <c r="K16" s="143"/>
      <c r="L16" s="142"/>
      <c r="M16" s="142"/>
      <c r="N16" s="142"/>
      <c r="O16" s="143"/>
      <c r="P16" s="142"/>
      <c r="Q16" s="142"/>
      <c r="R16" s="142"/>
      <c r="S16" s="143"/>
      <c r="T16" s="142"/>
      <c r="U16" s="142"/>
      <c r="V16" s="144" t="s">
        <v>328</v>
      </c>
      <c r="W16" s="135"/>
      <c r="X16" s="135"/>
      <c r="Y16" s="135"/>
      <c r="Z16" s="135"/>
    </row>
    <row r="17" spans="1:26" ht="14.25" customHeight="1" x14ac:dyDescent="0.25">
      <c r="A17" s="135"/>
      <c r="B17" s="135"/>
      <c r="C17" s="135"/>
      <c r="D17" s="141"/>
      <c r="E17" s="142"/>
      <c r="F17" s="142"/>
      <c r="G17" s="143"/>
      <c r="H17" s="142"/>
      <c r="I17" s="142"/>
      <c r="J17" s="142" t="s">
        <v>329</v>
      </c>
      <c r="K17" s="143"/>
      <c r="L17" s="142"/>
      <c r="M17" s="142"/>
      <c r="N17" s="142"/>
      <c r="O17" s="143"/>
      <c r="P17" s="142"/>
      <c r="Q17" s="142"/>
      <c r="R17" s="142"/>
      <c r="S17" s="143"/>
      <c r="T17" s="142"/>
      <c r="U17" s="142" t="s">
        <v>330</v>
      </c>
      <c r="V17" s="144" t="s">
        <v>331</v>
      </c>
      <c r="W17" s="135"/>
      <c r="X17" s="135"/>
      <c r="Y17" s="135"/>
      <c r="Z17" s="135"/>
    </row>
    <row r="18" spans="1:26" ht="14.25" customHeight="1" x14ac:dyDescent="0.25">
      <c r="A18" s="135"/>
      <c r="B18" s="135"/>
      <c r="C18" s="135"/>
      <c r="D18" s="141"/>
      <c r="E18" s="142"/>
      <c r="F18" s="142"/>
      <c r="G18" s="143"/>
      <c r="H18" s="142"/>
      <c r="I18" s="142" t="s">
        <v>332</v>
      </c>
      <c r="J18" s="142" t="s">
        <v>333</v>
      </c>
      <c r="K18" s="143"/>
      <c r="L18" s="142"/>
      <c r="M18" s="142"/>
      <c r="N18" s="142"/>
      <c r="O18" s="143"/>
      <c r="P18" s="142"/>
      <c r="Q18" s="142"/>
      <c r="R18" s="142"/>
      <c r="S18" s="143"/>
      <c r="T18" s="142"/>
      <c r="U18" s="142"/>
      <c r="V18" s="144" t="s">
        <v>334</v>
      </c>
      <c r="W18" s="135"/>
      <c r="X18" s="135"/>
      <c r="Y18" s="135"/>
      <c r="Z18" s="135"/>
    </row>
    <row r="19" spans="1:26" ht="14.25" customHeight="1" x14ac:dyDescent="0.25">
      <c r="A19" s="135"/>
      <c r="B19" s="135"/>
      <c r="C19" s="135"/>
      <c r="D19" s="141"/>
      <c r="E19" s="142"/>
      <c r="F19" s="142"/>
      <c r="G19" s="143"/>
      <c r="H19" s="142"/>
      <c r="I19" s="142"/>
      <c r="J19" s="142" t="s">
        <v>335</v>
      </c>
      <c r="K19" s="143"/>
      <c r="L19" s="142"/>
      <c r="M19" s="142"/>
      <c r="N19" s="142"/>
      <c r="O19" s="143"/>
      <c r="P19" s="142"/>
      <c r="Q19" s="142"/>
      <c r="R19" s="142"/>
      <c r="S19" s="143"/>
      <c r="T19" s="142"/>
      <c r="U19" s="142" t="s">
        <v>336</v>
      </c>
      <c r="V19" s="144" t="s">
        <v>337</v>
      </c>
      <c r="W19" s="135"/>
      <c r="X19" s="135"/>
      <c r="Y19" s="135"/>
      <c r="Z19" s="135"/>
    </row>
    <row r="20" spans="1:26" ht="14.25" customHeight="1" x14ac:dyDescent="0.25">
      <c r="A20" s="135"/>
      <c r="B20" s="135"/>
      <c r="C20" s="135"/>
      <c r="D20" s="141"/>
      <c r="E20" s="142"/>
      <c r="F20" s="142"/>
      <c r="G20" s="143"/>
      <c r="H20" s="142"/>
      <c r="I20" s="142" t="s">
        <v>338</v>
      </c>
      <c r="J20" s="142" t="s">
        <v>339</v>
      </c>
      <c r="K20" s="143"/>
      <c r="L20" s="142"/>
      <c r="M20" s="142"/>
      <c r="N20" s="142"/>
      <c r="O20" s="143"/>
      <c r="P20" s="142"/>
      <c r="Q20" s="142"/>
      <c r="R20" s="142"/>
      <c r="S20" s="143"/>
      <c r="T20" s="142"/>
      <c r="U20" s="142"/>
      <c r="V20" s="144" t="s">
        <v>340</v>
      </c>
      <c r="W20" s="135"/>
      <c r="X20" s="135"/>
      <c r="Y20" s="135"/>
      <c r="Z20" s="135"/>
    </row>
    <row r="21" spans="1:26" ht="14.25" customHeight="1" x14ac:dyDescent="0.25">
      <c r="A21" s="135"/>
      <c r="B21" s="135"/>
      <c r="C21" s="135"/>
      <c r="D21" s="145"/>
      <c r="E21" s="146"/>
      <c r="F21" s="146"/>
      <c r="G21" s="147"/>
      <c r="H21" s="146"/>
      <c r="I21" s="146"/>
      <c r="J21" s="146" t="s">
        <v>341</v>
      </c>
      <c r="K21" s="147"/>
      <c r="L21" s="146"/>
      <c r="M21" s="146"/>
      <c r="N21" s="146"/>
      <c r="O21" s="147"/>
      <c r="P21" s="146"/>
      <c r="Q21" s="146"/>
      <c r="R21" s="146"/>
      <c r="S21" s="147"/>
      <c r="T21" s="146"/>
      <c r="U21" s="146"/>
      <c r="V21" s="148"/>
      <c r="W21" s="135"/>
      <c r="X21" s="135"/>
      <c r="Y21" s="135"/>
      <c r="Z21" s="135"/>
    </row>
    <row r="22" spans="1:26" ht="14.25" customHeight="1" x14ac:dyDescent="0.25">
      <c r="A22" s="135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spans="1:26" ht="14.25" customHeight="1" x14ac:dyDescent="0.25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 spans="1:26" ht="14.25" customHeight="1" x14ac:dyDescent="0.25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 spans="1:26" ht="14.25" customHeight="1" x14ac:dyDescent="0.25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 spans="1:26" ht="14.25" customHeight="1" x14ac:dyDescent="0.25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 spans="1:26" ht="14.25" customHeight="1" x14ac:dyDescent="0.25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</row>
    <row r="28" spans="1:26" ht="14.25" customHeight="1" x14ac:dyDescent="0.25">
      <c r="A28" s="135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 spans="1:26" ht="14.25" customHeight="1" x14ac:dyDescent="0.25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 spans="1:26" ht="14.25" customHeight="1" x14ac:dyDescent="0.25">
      <c r="A30" s="135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</row>
    <row r="31" spans="1:26" ht="14.25" customHeight="1" x14ac:dyDescent="0.25">
      <c r="A31" s="135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</row>
    <row r="32" spans="1:26" ht="14.25" customHeight="1" x14ac:dyDescent="0.25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 spans="1:26" ht="14.25" customHeight="1" x14ac:dyDescent="0.25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 spans="1:26" ht="14.25" customHeight="1" x14ac:dyDescent="0.25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</row>
    <row r="35" spans="1:26" ht="14.25" customHeight="1" x14ac:dyDescent="0.25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</row>
    <row r="36" spans="1:26" ht="14.25" customHeigh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</row>
    <row r="37" spans="1:26" ht="14.25" customHeight="1" x14ac:dyDescent="0.25">
      <c r="A37" s="135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 spans="1:26" ht="14.25" customHeight="1" x14ac:dyDescent="0.25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 spans="1:26" ht="14.25" customHeight="1" x14ac:dyDescent="0.25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 spans="1:26" ht="14.25" customHeight="1" x14ac:dyDescent="0.25">
      <c r="A40" s="135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 spans="1:26" ht="14.25" customHeight="1" x14ac:dyDescent="0.25">
      <c r="A41" s="135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 spans="1:26" ht="14.25" customHeight="1" x14ac:dyDescent="0.25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 spans="1:26" ht="14.25" customHeight="1" x14ac:dyDescent="0.25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 spans="1:26" ht="14.25" customHeight="1" x14ac:dyDescent="0.25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 spans="1:26" ht="14.25" customHeight="1" x14ac:dyDescent="0.25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 spans="1:26" ht="14.25" customHeight="1" x14ac:dyDescent="0.25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 spans="1:26" ht="14.25" customHeight="1" x14ac:dyDescent="0.25">
      <c r="A47" s="135"/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 spans="1:26" ht="14.25" customHeight="1" x14ac:dyDescent="0.25">
      <c r="A48" s="135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 spans="1:26" ht="14.25" customHeight="1" x14ac:dyDescent="0.25">
      <c r="A49" s="135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 spans="1:26" ht="14.25" customHeight="1" x14ac:dyDescent="0.25">
      <c r="A50" s="135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 spans="1:26" ht="14.25" customHeight="1" x14ac:dyDescent="0.25">
      <c r="A51" s="135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 spans="1:26" ht="14.25" customHeight="1" x14ac:dyDescent="0.25">
      <c r="A52" s="135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 spans="1:26" ht="14.25" customHeight="1" x14ac:dyDescent="0.25">
      <c r="A53" s="135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 spans="1:26" ht="14.25" customHeight="1" x14ac:dyDescent="0.25">
      <c r="A54" s="135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 spans="1:26" ht="14.25" customHeight="1" x14ac:dyDescent="0.25">
      <c r="A55" s="135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</row>
    <row r="56" spans="1:26" ht="14.25" customHeight="1" x14ac:dyDescent="0.25">
      <c r="A56" s="135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ht="14.25" customHeight="1" x14ac:dyDescent="0.25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4.25" customHeight="1" x14ac:dyDescent="0.25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ht="14.25" customHeight="1" x14ac:dyDescent="0.25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4.25" customHeight="1" x14ac:dyDescent="0.25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4.25" customHeight="1" x14ac:dyDescent="0.25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4.25" customHeight="1" x14ac:dyDescent="0.25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</row>
    <row r="63" spans="1:26" ht="14.25" customHeight="1" x14ac:dyDescent="0.25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ht="14.25" customHeight="1" x14ac:dyDescent="0.25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</row>
    <row r="65" spans="1:26" ht="14.25" customHeight="1" x14ac:dyDescent="0.25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</row>
    <row r="66" spans="1:26" ht="14.25" customHeight="1" x14ac:dyDescent="0.25">
      <c r="A66" s="135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</row>
    <row r="67" spans="1:26" ht="14.25" customHeight="1" x14ac:dyDescent="0.25">
      <c r="A67" s="135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</row>
    <row r="68" spans="1:26" ht="14.25" customHeight="1" x14ac:dyDescent="0.25">
      <c r="A68" s="135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</row>
    <row r="69" spans="1:26" ht="14.25" customHeight="1" x14ac:dyDescent="0.25">
      <c r="A69" s="135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</row>
    <row r="70" spans="1:26" ht="14.25" customHeight="1" x14ac:dyDescent="0.25">
      <c r="A70" s="135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</row>
    <row r="71" spans="1:26" ht="14.25" customHeight="1" x14ac:dyDescent="0.25">
      <c r="A71" s="135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</row>
    <row r="72" spans="1:26" ht="14.25" customHeight="1" x14ac:dyDescent="0.25">
      <c r="A72" s="135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</row>
    <row r="73" spans="1:26" ht="14.25" customHeight="1" x14ac:dyDescent="0.25">
      <c r="A73" s="135"/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 spans="1:26" ht="14.25" customHeight="1" x14ac:dyDescent="0.25">
      <c r="A74" s="135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 spans="1:26" ht="14.25" customHeight="1" x14ac:dyDescent="0.25">
      <c r="A75" s="135"/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</row>
    <row r="76" spans="1:26" ht="14.25" customHeight="1" x14ac:dyDescent="0.25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</row>
    <row r="77" spans="1:26" ht="14.25" customHeight="1" x14ac:dyDescent="0.25">
      <c r="A77" s="135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ht="14.25" customHeight="1" x14ac:dyDescent="0.25">
      <c r="A78" s="135"/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ht="14.25" customHeight="1" x14ac:dyDescent="0.25">
      <c r="A79" s="135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ht="14.25" customHeight="1" x14ac:dyDescent="0.25">
      <c r="A80" s="135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ht="14.25" customHeight="1" x14ac:dyDescent="0.25">
      <c r="A81" s="135"/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</row>
    <row r="82" spans="1:26" ht="14.25" customHeight="1" x14ac:dyDescent="0.25">
      <c r="A82" s="135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</row>
    <row r="83" spans="1:26" ht="14.25" customHeight="1" x14ac:dyDescent="0.25">
      <c r="A83" s="135"/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</row>
    <row r="84" spans="1:26" ht="14.25" customHeight="1" x14ac:dyDescent="0.25">
      <c r="A84" s="135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</row>
    <row r="85" spans="1:26" ht="14.25" customHeight="1" x14ac:dyDescent="0.25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</row>
    <row r="86" spans="1:26" ht="14.25" customHeight="1" x14ac:dyDescent="0.25">
      <c r="A86" s="135"/>
      <c r="B86" s="135"/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</row>
    <row r="87" spans="1:26" ht="14.25" customHeight="1" x14ac:dyDescent="0.25">
      <c r="A87" s="135"/>
      <c r="B87" s="135"/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</row>
    <row r="88" spans="1:26" ht="14.25" customHeight="1" x14ac:dyDescent="0.25">
      <c r="A88" s="135"/>
      <c r="B88" s="135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</row>
    <row r="89" spans="1:26" ht="14.25" customHeight="1" x14ac:dyDescent="0.25">
      <c r="A89" s="135"/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</row>
    <row r="90" spans="1:26" ht="14.25" customHeight="1" x14ac:dyDescent="0.25">
      <c r="A90" s="135"/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</row>
    <row r="91" spans="1:26" ht="14.25" customHeight="1" x14ac:dyDescent="0.25">
      <c r="A91" s="135"/>
      <c r="B91" s="135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</row>
    <row r="92" spans="1:26" ht="14.25" customHeight="1" x14ac:dyDescent="0.25">
      <c r="A92" s="135"/>
      <c r="B92" s="135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</row>
    <row r="93" spans="1:26" ht="14.25" customHeight="1" x14ac:dyDescent="0.25">
      <c r="A93" s="135"/>
      <c r="B93" s="135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</row>
    <row r="94" spans="1:26" ht="14.25" customHeight="1" x14ac:dyDescent="0.25">
      <c r="A94" s="135"/>
      <c r="B94" s="135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</row>
    <row r="95" spans="1:26" ht="14.25" customHeight="1" x14ac:dyDescent="0.25">
      <c r="A95" s="135"/>
      <c r="B95" s="135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</row>
    <row r="96" spans="1:26" ht="14.25" customHeight="1" x14ac:dyDescent="0.25">
      <c r="A96" s="135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</row>
    <row r="97" spans="1:26" ht="14.25" customHeight="1" x14ac:dyDescent="0.25">
      <c r="A97" s="135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</row>
    <row r="98" spans="1:26" ht="14.25" customHeight="1" x14ac:dyDescent="0.25">
      <c r="A98" s="135"/>
      <c r="B98" s="135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</row>
    <row r="99" spans="1:26" ht="14.25" customHeight="1" x14ac:dyDescent="0.25">
      <c r="A99" s="135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</row>
    <row r="100" spans="1:26" ht="14.25" customHeight="1" x14ac:dyDescent="0.25">
      <c r="A100" s="135"/>
      <c r="B100" s="135"/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</row>
    <row r="101" spans="1:26" ht="14.25" customHeight="1" x14ac:dyDescent="0.25">
      <c r="A101" s="135"/>
      <c r="B101" s="135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</row>
    <row r="102" spans="1:26" ht="14.25" customHeight="1" x14ac:dyDescent="0.25">
      <c r="A102" s="135"/>
      <c r="B102" s="135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</row>
    <row r="103" spans="1:26" ht="14.25" customHeight="1" x14ac:dyDescent="0.25">
      <c r="A103" s="135"/>
      <c r="B103" s="135"/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</row>
    <row r="104" spans="1:26" ht="14.25" customHeight="1" x14ac:dyDescent="0.25">
      <c r="A104" s="135"/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</row>
    <row r="105" spans="1:26" ht="14.25" customHeight="1" x14ac:dyDescent="0.25">
      <c r="A105" s="135"/>
      <c r="B105" s="135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</row>
    <row r="106" spans="1:26" ht="14.25" customHeight="1" x14ac:dyDescent="0.25">
      <c r="A106" s="135"/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</row>
    <row r="107" spans="1:26" ht="14.25" customHeight="1" x14ac:dyDescent="0.25">
      <c r="A107" s="135"/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</row>
    <row r="108" spans="1:26" ht="14.25" customHeight="1" x14ac:dyDescent="0.25">
      <c r="A108" s="135"/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</row>
    <row r="109" spans="1:26" ht="14.25" customHeight="1" x14ac:dyDescent="0.25">
      <c r="A109" s="135"/>
      <c r="B109" s="135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</row>
    <row r="110" spans="1:26" ht="14.25" customHeight="1" x14ac:dyDescent="0.25">
      <c r="A110" s="135"/>
      <c r="B110" s="135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</row>
    <row r="111" spans="1:26" ht="14.25" customHeight="1" x14ac:dyDescent="0.25">
      <c r="A111" s="135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</row>
    <row r="112" spans="1:26" ht="14.25" customHeight="1" x14ac:dyDescent="0.25">
      <c r="A112" s="135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 spans="1:26" ht="14.25" customHeight="1" x14ac:dyDescent="0.25">
      <c r="A113" s="135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 spans="1:26" ht="14.25" customHeight="1" x14ac:dyDescent="0.25">
      <c r="A114" s="135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 spans="1:26" ht="14.25" customHeight="1" x14ac:dyDescent="0.25">
      <c r="A115" s="135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 spans="1:26" ht="14.25" customHeight="1" x14ac:dyDescent="0.25">
      <c r="A116" s="135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 spans="1:26" ht="14.25" customHeight="1" x14ac:dyDescent="0.25">
      <c r="A117" s="135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 spans="1:26" ht="14.25" customHeight="1" x14ac:dyDescent="0.25">
      <c r="A118" s="135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 spans="1:26" ht="14.25" customHeight="1" x14ac:dyDescent="0.25">
      <c r="A119" s="135"/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 spans="1:26" ht="14.25" customHeight="1" x14ac:dyDescent="0.25">
      <c r="A120" s="135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 spans="1:26" ht="14.25" customHeight="1" x14ac:dyDescent="0.25">
      <c r="A121" s="135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 spans="1:26" ht="14.25" customHeight="1" x14ac:dyDescent="0.25">
      <c r="A122" s="135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 spans="1:26" ht="14.25" customHeight="1" x14ac:dyDescent="0.25">
      <c r="A123" s="135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 spans="1:26" ht="14.25" customHeight="1" x14ac:dyDescent="0.25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 spans="1:26" ht="14.25" customHeight="1" x14ac:dyDescent="0.25">
      <c r="A125" s="135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 spans="1:26" ht="14.25" customHeight="1" x14ac:dyDescent="0.25">
      <c r="A126" s="135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 spans="1:26" ht="14.25" customHeight="1" x14ac:dyDescent="0.25">
      <c r="A127" s="135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 spans="1:26" ht="14.25" customHeight="1" x14ac:dyDescent="0.25">
      <c r="A128" s="135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 spans="1:26" ht="14.25" customHeight="1" x14ac:dyDescent="0.25">
      <c r="A129" s="135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</row>
    <row r="130" spans="1:26" ht="14.25" customHeight="1" x14ac:dyDescent="0.25">
      <c r="A130" s="135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 spans="1:26" ht="14.25" customHeight="1" x14ac:dyDescent="0.25">
      <c r="A131" s="135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</row>
    <row r="132" spans="1:26" ht="14.25" customHeight="1" x14ac:dyDescent="0.25">
      <c r="A132" s="135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 spans="1:26" ht="14.25" customHeight="1" x14ac:dyDescent="0.25">
      <c r="A133" s="135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 spans="1:26" ht="14.25" customHeight="1" x14ac:dyDescent="0.25">
      <c r="A134" s="135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 spans="1:26" ht="14.25" customHeight="1" x14ac:dyDescent="0.25">
      <c r="A135" s="135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 spans="1:26" ht="14.25" customHeight="1" x14ac:dyDescent="0.25">
      <c r="A136" s="135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 spans="1:26" ht="14.25" customHeight="1" x14ac:dyDescent="0.25">
      <c r="A137" s="135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</row>
    <row r="138" spans="1:26" ht="14.25" customHeight="1" x14ac:dyDescent="0.25">
      <c r="A138" s="135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</row>
    <row r="139" spans="1:26" ht="14.25" customHeight="1" x14ac:dyDescent="0.25">
      <c r="A139" s="135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 spans="1:26" ht="14.25" customHeight="1" x14ac:dyDescent="0.25">
      <c r="A140" s="135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 spans="1:26" ht="14.25" customHeight="1" x14ac:dyDescent="0.25">
      <c r="A141" s="135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 spans="1:26" ht="14.25" customHeight="1" x14ac:dyDescent="0.25">
      <c r="A142" s="135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 spans="1:26" ht="14.25" customHeight="1" x14ac:dyDescent="0.25">
      <c r="A143" s="135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 spans="1:26" ht="14.25" customHeight="1" x14ac:dyDescent="0.25">
      <c r="A144" s="135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 spans="1:26" ht="14.25" customHeight="1" x14ac:dyDescent="0.25">
      <c r="A145" s="135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 spans="1:26" ht="14.25" customHeight="1" x14ac:dyDescent="0.25">
      <c r="A146" s="135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 spans="1:26" ht="14.25" customHeight="1" x14ac:dyDescent="0.25">
      <c r="A147" s="135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 spans="1:26" ht="14.25" customHeight="1" x14ac:dyDescent="0.25">
      <c r="A148" s="135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 spans="1:26" ht="14.25" customHeight="1" x14ac:dyDescent="0.25">
      <c r="A149" s="135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 spans="1:26" ht="14.25" customHeight="1" x14ac:dyDescent="0.25">
      <c r="A150" s="135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 spans="1:26" ht="14.25" customHeight="1" x14ac:dyDescent="0.25">
      <c r="A151" s="135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 spans="1:26" ht="14.25" customHeight="1" x14ac:dyDescent="0.25">
      <c r="A152" s="135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 spans="1:26" ht="14.25" customHeight="1" x14ac:dyDescent="0.25">
      <c r="A153" s="135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 spans="1:26" ht="14.25" customHeight="1" x14ac:dyDescent="0.25">
      <c r="A154" s="135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 spans="1:26" ht="14.25" customHeight="1" x14ac:dyDescent="0.25">
      <c r="A155" s="135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 spans="1:26" ht="14.25" customHeight="1" x14ac:dyDescent="0.25">
      <c r="A156" s="135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 spans="1:26" ht="14.25" customHeight="1" x14ac:dyDescent="0.25">
      <c r="A157" s="135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 spans="1:26" ht="14.25" customHeight="1" x14ac:dyDescent="0.25">
      <c r="A158" s="13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 spans="1:26" ht="14.25" customHeight="1" x14ac:dyDescent="0.25">
      <c r="A159" s="13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 spans="1:26" ht="14.25" customHeight="1" x14ac:dyDescent="0.25">
      <c r="A160" s="13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 spans="1:26" ht="14.25" customHeight="1" x14ac:dyDescent="0.25">
      <c r="A161" s="13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 spans="1:26" ht="14.25" customHeight="1" x14ac:dyDescent="0.25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 spans="1:26" ht="14.25" customHeight="1" x14ac:dyDescent="0.25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 spans="1:26" ht="14.25" customHeight="1" x14ac:dyDescent="0.25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 spans="1:26" ht="14.25" customHeight="1" x14ac:dyDescent="0.25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</row>
    <row r="166" spans="1:26" ht="14.25" customHeight="1" x14ac:dyDescent="0.25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 spans="1:26" ht="14.25" customHeight="1" x14ac:dyDescent="0.25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 spans="1:26" ht="14.25" customHeight="1" x14ac:dyDescent="0.25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 spans="1:26" ht="14.25" customHeight="1" x14ac:dyDescent="0.25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 spans="1:26" ht="14.25" customHeight="1" x14ac:dyDescent="0.25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 spans="1:26" ht="14.25" customHeight="1" x14ac:dyDescent="0.25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 spans="1:26" ht="14.25" customHeight="1" x14ac:dyDescent="0.25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 spans="1:26" ht="14.25" customHeight="1" x14ac:dyDescent="0.25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 spans="1:26" ht="14.25" customHeight="1" x14ac:dyDescent="0.25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</row>
    <row r="175" spans="1:26" ht="14.25" customHeight="1" x14ac:dyDescent="0.25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 spans="1:26" ht="14.25" customHeight="1" x14ac:dyDescent="0.25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 spans="1:26" ht="14.25" customHeight="1" x14ac:dyDescent="0.25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 spans="1:26" ht="14.25" customHeight="1" x14ac:dyDescent="0.25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 spans="1:26" ht="14.25" customHeight="1" x14ac:dyDescent="0.25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 spans="1:26" ht="14.25" customHeight="1" x14ac:dyDescent="0.25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 spans="1:26" ht="14.25" customHeight="1" x14ac:dyDescent="0.25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 spans="1:26" ht="14.25" customHeight="1" x14ac:dyDescent="0.25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 spans="1:26" ht="14.25" customHeight="1" x14ac:dyDescent="0.25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 spans="1:26" ht="14.25" customHeight="1" x14ac:dyDescent="0.25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</row>
    <row r="185" spans="1:26" ht="14.25" customHeight="1" x14ac:dyDescent="0.25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 spans="1:26" ht="14.25" customHeight="1" x14ac:dyDescent="0.25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 spans="1:26" ht="14.25" customHeight="1" x14ac:dyDescent="0.25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 spans="1:26" ht="14.25" customHeight="1" x14ac:dyDescent="0.25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 spans="1:26" ht="14.25" customHeight="1" x14ac:dyDescent="0.25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 spans="1:26" ht="14.25" customHeight="1" x14ac:dyDescent="0.25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 spans="1:26" ht="14.25" customHeight="1" x14ac:dyDescent="0.25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 spans="1:26" ht="14.25" customHeight="1" x14ac:dyDescent="0.25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 spans="1:26" ht="14.25" customHeight="1" x14ac:dyDescent="0.25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 spans="1:26" ht="14.25" customHeight="1" x14ac:dyDescent="0.25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 spans="1:26" ht="14.25" customHeight="1" x14ac:dyDescent="0.25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 spans="1:26" ht="14.25" customHeight="1" x14ac:dyDescent="0.25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 spans="1:26" ht="14.25" customHeight="1" x14ac:dyDescent="0.25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 spans="1:26" ht="14.25" customHeight="1" x14ac:dyDescent="0.25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 spans="1:26" ht="14.25" customHeight="1" x14ac:dyDescent="0.25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 spans="1:26" ht="14.25" customHeight="1" x14ac:dyDescent="0.25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 spans="1:26" ht="14.25" customHeight="1" x14ac:dyDescent="0.25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 spans="1:26" ht="14.25" customHeight="1" x14ac:dyDescent="0.25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 spans="1:26" ht="14.25" customHeight="1" x14ac:dyDescent="0.25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 spans="1:26" ht="14.25" customHeight="1" x14ac:dyDescent="0.25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 spans="1:26" ht="14.25" customHeight="1" x14ac:dyDescent="0.25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 spans="1:26" ht="14.25" customHeight="1" x14ac:dyDescent="0.25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 spans="1:26" ht="14.25" customHeight="1" x14ac:dyDescent="0.25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 spans="1:26" ht="14.25" customHeight="1" x14ac:dyDescent="0.25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 spans="1:26" ht="14.25" customHeight="1" x14ac:dyDescent="0.25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 spans="1:26" ht="14.25" customHeight="1" x14ac:dyDescent="0.25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 spans="1:26" ht="14.25" customHeight="1" x14ac:dyDescent="0.25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 spans="1:26" ht="14.25" customHeight="1" x14ac:dyDescent="0.25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 spans="1:26" ht="14.25" customHeight="1" x14ac:dyDescent="0.25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 spans="1:26" ht="14.25" customHeight="1" x14ac:dyDescent="0.25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 spans="1:26" ht="14.25" customHeight="1" x14ac:dyDescent="0.25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 spans="1:26" ht="14.25" customHeight="1" x14ac:dyDescent="0.25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 spans="1:26" ht="14.25" customHeight="1" x14ac:dyDescent="0.25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 spans="1:26" ht="14.25" customHeight="1" x14ac:dyDescent="0.25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 spans="1:26" ht="14.25" customHeight="1" x14ac:dyDescent="0.25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 spans="1:26" ht="14.25" customHeight="1" x14ac:dyDescent="0.25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 spans="1:26" ht="14.25" customHeight="1" x14ac:dyDescent="0.25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 spans="1:26" ht="14.25" customHeight="1" x14ac:dyDescent="0.25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 spans="1:26" ht="14.25" customHeight="1" x14ac:dyDescent="0.25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 spans="1:26" ht="14.25" customHeight="1" x14ac:dyDescent="0.25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 spans="1:26" ht="14.25" customHeight="1" x14ac:dyDescent="0.25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 spans="1:26" ht="14.25" customHeight="1" x14ac:dyDescent="0.25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 spans="1:26" ht="14.25" customHeight="1" x14ac:dyDescent="0.25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 spans="1:26" ht="14.25" customHeight="1" x14ac:dyDescent="0.25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 spans="1:26" ht="14.25" customHeight="1" x14ac:dyDescent="0.25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 spans="1:26" ht="14.25" customHeight="1" x14ac:dyDescent="0.25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 spans="1:26" ht="14.25" customHeight="1" x14ac:dyDescent="0.25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 spans="1:26" ht="14.25" customHeight="1" x14ac:dyDescent="0.25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 spans="1:26" ht="14.25" customHeight="1" x14ac:dyDescent="0.25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 spans="1:26" ht="14.25" customHeight="1" x14ac:dyDescent="0.25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 spans="1:26" ht="14.25" customHeight="1" x14ac:dyDescent="0.25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 spans="1:26" ht="14.25" customHeight="1" x14ac:dyDescent="0.25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</row>
    <row r="237" spans="1:26" ht="14.25" customHeight="1" x14ac:dyDescent="0.25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</row>
    <row r="238" spans="1:26" ht="14.25" customHeight="1" x14ac:dyDescent="0.25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</row>
    <row r="239" spans="1:26" ht="14.25" customHeight="1" x14ac:dyDescent="0.25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</row>
    <row r="240" spans="1:26" ht="14.25" customHeight="1" x14ac:dyDescent="0.25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</row>
    <row r="241" spans="1:26" ht="14.25" customHeight="1" x14ac:dyDescent="0.25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</row>
    <row r="242" spans="1:26" ht="14.25" customHeight="1" x14ac:dyDescent="0.25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</row>
    <row r="243" spans="1:26" ht="14.25" customHeight="1" x14ac:dyDescent="0.25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</row>
    <row r="244" spans="1:26" ht="14.25" customHeight="1" x14ac:dyDescent="0.25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</row>
    <row r="245" spans="1:26" ht="14.25" customHeight="1" x14ac:dyDescent="0.25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</row>
    <row r="246" spans="1:26" ht="14.25" customHeight="1" x14ac:dyDescent="0.25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</row>
    <row r="247" spans="1:26" ht="14.25" customHeight="1" x14ac:dyDescent="0.25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 spans="1:26" ht="14.25" customHeight="1" x14ac:dyDescent="0.25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 spans="1:26" ht="14.25" customHeight="1" x14ac:dyDescent="0.25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 spans="1:26" ht="14.25" customHeight="1" x14ac:dyDescent="0.25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 spans="1:26" ht="14.25" customHeight="1" x14ac:dyDescent="0.25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 spans="1:26" ht="14.25" customHeight="1" x14ac:dyDescent="0.25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 spans="1:26" ht="14.25" customHeight="1" x14ac:dyDescent="0.25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 spans="1:26" ht="14.25" customHeight="1" x14ac:dyDescent="0.25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 spans="1:26" ht="14.25" customHeight="1" x14ac:dyDescent="0.25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 spans="1:26" ht="14.25" customHeight="1" x14ac:dyDescent="0.25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 spans="1:26" ht="14.25" customHeight="1" x14ac:dyDescent="0.25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 spans="1:26" ht="14.25" customHeight="1" x14ac:dyDescent="0.25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 spans="1:26" ht="14.25" customHeight="1" x14ac:dyDescent="0.25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 spans="1:26" ht="14.25" customHeight="1" x14ac:dyDescent="0.25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 spans="1:26" ht="14.25" customHeight="1" x14ac:dyDescent="0.25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 spans="1:26" ht="14.25" customHeight="1" x14ac:dyDescent="0.25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</row>
    <row r="263" spans="1:26" ht="14.25" customHeight="1" x14ac:dyDescent="0.25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</row>
    <row r="264" spans="1:26" ht="14.25" customHeight="1" x14ac:dyDescent="0.25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</row>
    <row r="265" spans="1:26" ht="14.25" customHeight="1" x14ac:dyDescent="0.25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</row>
    <row r="266" spans="1:26" ht="14.25" customHeight="1" x14ac:dyDescent="0.25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</row>
    <row r="267" spans="1:26" ht="14.25" customHeight="1" x14ac:dyDescent="0.25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</row>
    <row r="268" spans="1:26" ht="14.25" customHeight="1" x14ac:dyDescent="0.25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</row>
    <row r="269" spans="1:26" ht="14.25" customHeight="1" x14ac:dyDescent="0.25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</row>
    <row r="270" spans="1:26" ht="14.25" customHeight="1" x14ac:dyDescent="0.25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 spans="1:26" ht="14.25" customHeight="1" x14ac:dyDescent="0.25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 spans="1:26" ht="14.25" customHeight="1" x14ac:dyDescent="0.25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 spans="1:26" ht="14.25" customHeight="1" x14ac:dyDescent="0.25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 spans="1:26" ht="14.25" customHeight="1" x14ac:dyDescent="0.25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 spans="1:26" ht="14.25" customHeight="1" x14ac:dyDescent="0.25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</row>
    <row r="276" spans="1:26" ht="14.25" customHeight="1" x14ac:dyDescent="0.25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</row>
    <row r="277" spans="1:26" ht="14.25" customHeight="1" x14ac:dyDescent="0.25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</row>
    <row r="278" spans="1:26" ht="14.25" customHeight="1" x14ac:dyDescent="0.25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</row>
    <row r="279" spans="1:26" ht="14.25" customHeight="1" x14ac:dyDescent="0.25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</row>
    <row r="280" spans="1:26" ht="14.25" customHeight="1" x14ac:dyDescent="0.25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</row>
    <row r="281" spans="1:26" ht="14.25" customHeight="1" x14ac:dyDescent="0.25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</row>
    <row r="282" spans="1:26" ht="14.25" customHeight="1" x14ac:dyDescent="0.25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</row>
    <row r="283" spans="1:26" ht="14.25" customHeight="1" x14ac:dyDescent="0.25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</row>
    <row r="284" spans="1:26" ht="14.25" customHeight="1" x14ac:dyDescent="0.25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</row>
    <row r="285" spans="1:26" ht="14.25" customHeight="1" x14ac:dyDescent="0.25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</row>
    <row r="286" spans="1:26" ht="14.25" customHeight="1" x14ac:dyDescent="0.25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</row>
    <row r="287" spans="1:26" ht="14.25" customHeight="1" x14ac:dyDescent="0.25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</row>
    <row r="288" spans="1:26" ht="14.25" customHeight="1" x14ac:dyDescent="0.25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</row>
    <row r="289" spans="1:26" ht="14.25" customHeight="1" x14ac:dyDescent="0.25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</row>
    <row r="290" spans="1:26" ht="14.25" customHeight="1" x14ac:dyDescent="0.25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</row>
    <row r="291" spans="1:26" ht="14.25" customHeight="1" x14ac:dyDescent="0.25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</row>
    <row r="292" spans="1:26" ht="14.25" customHeight="1" x14ac:dyDescent="0.25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</row>
    <row r="293" spans="1:26" ht="14.25" customHeight="1" x14ac:dyDescent="0.25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</row>
    <row r="294" spans="1:26" ht="14.25" customHeight="1" x14ac:dyDescent="0.25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</row>
    <row r="295" spans="1:26" ht="14.25" customHeight="1" x14ac:dyDescent="0.25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</row>
    <row r="296" spans="1:26" ht="14.25" customHeight="1" x14ac:dyDescent="0.25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</row>
    <row r="297" spans="1:26" ht="14.25" customHeight="1" x14ac:dyDescent="0.25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</row>
    <row r="298" spans="1:26" ht="14.25" customHeight="1" x14ac:dyDescent="0.25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</row>
    <row r="299" spans="1:26" ht="14.25" customHeight="1" x14ac:dyDescent="0.25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</row>
    <row r="300" spans="1:26" ht="14.25" customHeight="1" x14ac:dyDescent="0.25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</row>
    <row r="301" spans="1:26" ht="14.25" customHeight="1" x14ac:dyDescent="0.25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</row>
    <row r="302" spans="1:26" ht="14.25" customHeight="1" x14ac:dyDescent="0.25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</row>
    <row r="303" spans="1:26" ht="14.25" customHeight="1" x14ac:dyDescent="0.25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</row>
    <row r="304" spans="1:26" ht="14.25" customHeight="1" x14ac:dyDescent="0.25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</row>
    <row r="305" spans="1:26" ht="14.25" customHeight="1" x14ac:dyDescent="0.25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 spans="1:26" ht="14.25" customHeight="1" x14ac:dyDescent="0.25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 spans="1:26" ht="14.25" customHeight="1" x14ac:dyDescent="0.25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 spans="1:26" ht="14.25" customHeight="1" x14ac:dyDescent="0.25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 spans="1:26" ht="14.25" customHeight="1" x14ac:dyDescent="0.25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 spans="1:26" ht="14.25" customHeight="1" x14ac:dyDescent="0.25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 spans="1:26" ht="14.25" customHeight="1" x14ac:dyDescent="0.25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 spans="1:26" ht="14.25" customHeight="1" x14ac:dyDescent="0.25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 spans="1:26" ht="14.25" customHeight="1" x14ac:dyDescent="0.25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 spans="1:26" ht="14.25" customHeight="1" x14ac:dyDescent="0.25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 spans="1:26" ht="14.25" customHeight="1" x14ac:dyDescent="0.25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 spans="1:26" ht="14.25" customHeight="1" x14ac:dyDescent="0.25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 spans="1:26" ht="14.25" customHeight="1" x14ac:dyDescent="0.25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 spans="1:26" ht="14.25" customHeight="1" x14ac:dyDescent="0.25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 spans="1:26" ht="14.25" customHeight="1" x14ac:dyDescent="0.25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 spans="1:26" ht="14.25" customHeight="1" x14ac:dyDescent="0.25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 spans="1:26" ht="14.25" customHeight="1" x14ac:dyDescent="0.25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 spans="1:26" ht="14.25" customHeight="1" x14ac:dyDescent="0.25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 spans="1:26" ht="14.25" customHeight="1" x14ac:dyDescent="0.25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 spans="1:26" ht="14.25" customHeight="1" x14ac:dyDescent="0.25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 spans="1:26" ht="14.25" customHeight="1" x14ac:dyDescent="0.25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 spans="1:26" ht="14.25" customHeight="1" x14ac:dyDescent="0.25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 spans="1:26" ht="14.25" customHeight="1" x14ac:dyDescent="0.25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 spans="1:26" ht="14.25" customHeight="1" x14ac:dyDescent="0.25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 spans="1:26" ht="14.25" customHeight="1" x14ac:dyDescent="0.25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 spans="1:26" ht="14.25" customHeight="1" x14ac:dyDescent="0.25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 spans="1:26" ht="14.25" customHeight="1" x14ac:dyDescent="0.25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 spans="1:26" ht="14.25" customHeight="1" x14ac:dyDescent="0.25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 spans="1:26" ht="14.25" customHeight="1" x14ac:dyDescent="0.25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</row>
    <row r="334" spans="1:26" ht="14.25" customHeight="1" x14ac:dyDescent="0.25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</row>
    <row r="335" spans="1:26" ht="14.25" customHeight="1" x14ac:dyDescent="0.25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</row>
    <row r="336" spans="1:26" ht="14.25" customHeight="1" x14ac:dyDescent="0.25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</row>
    <row r="337" spans="1:26" ht="14.25" customHeight="1" x14ac:dyDescent="0.25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</row>
    <row r="338" spans="1:26" ht="14.25" customHeight="1" x14ac:dyDescent="0.25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</row>
    <row r="339" spans="1:26" ht="14.25" customHeight="1" x14ac:dyDescent="0.25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</row>
    <row r="340" spans="1:26" ht="14.25" customHeight="1" x14ac:dyDescent="0.25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</row>
    <row r="341" spans="1:26" ht="14.25" customHeight="1" x14ac:dyDescent="0.25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</row>
    <row r="342" spans="1:26" ht="14.25" customHeight="1" x14ac:dyDescent="0.25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</row>
    <row r="343" spans="1:26" ht="14.25" customHeight="1" x14ac:dyDescent="0.25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</row>
    <row r="344" spans="1:26" ht="14.25" customHeight="1" x14ac:dyDescent="0.25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</row>
    <row r="345" spans="1:26" ht="14.25" customHeight="1" x14ac:dyDescent="0.25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</row>
    <row r="346" spans="1:26" ht="14.25" customHeight="1" x14ac:dyDescent="0.25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</row>
    <row r="347" spans="1:26" ht="14.25" customHeight="1" x14ac:dyDescent="0.25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</row>
    <row r="348" spans="1:26" ht="14.25" customHeight="1" x14ac:dyDescent="0.25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</row>
    <row r="349" spans="1:26" ht="14.25" customHeight="1" x14ac:dyDescent="0.25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</row>
    <row r="350" spans="1:26" ht="14.25" customHeight="1" x14ac:dyDescent="0.25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</row>
    <row r="351" spans="1:26" ht="14.25" customHeight="1" x14ac:dyDescent="0.25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</row>
    <row r="352" spans="1:26" ht="14.25" customHeight="1" x14ac:dyDescent="0.25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</row>
    <row r="353" spans="1:26" ht="14.25" customHeight="1" x14ac:dyDescent="0.25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</row>
    <row r="354" spans="1:26" ht="14.25" customHeight="1" x14ac:dyDescent="0.25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</row>
    <row r="355" spans="1:26" ht="14.25" customHeight="1" x14ac:dyDescent="0.25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</row>
    <row r="356" spans="1:26" ht="14.25" customHeight="1" x14ac:dyDescent="0.25">
      <c r="A356" s="135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</row>
    <row r="357" spans="1:26" ht="14.25" customHeight="1" x14ac:dyDescent="0.25">
      <c r="A357" s="135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</row>
    <row r="358" spans="1:26" ht="14.25" customHeight="1" x14ac:dyDescent="0.25">
      <c r="A358" s="135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</row>
    <row r="359" spans="1:26" ht="14.25" customHeight="1" x14ac:dyDescent="0.25">
      <c r="A359" s="135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</row>
    <row r="360" spans="1:26" ht="14.25" customHeight="1" x14ac:dyDescent="0.25">
      <c r="A360" s="135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</row>
    <row r="361" spans="1:26" ht="14.25" customHeight="1" x14ac:dyDescent="0.25">
      <c r="A361" s="135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</row>
    <row r="362" spans="1:26" ht="14.25" customHeight="1" x14ac:dyDescent="0.25">
      <c r="A362" s="135"/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</row>
    <row r="363" spans="1:26" ht="14.25" customHeight="1" x14ac:dyDescent="0.25">
      <c r="A363" s="135"/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</row>
    <row r="364" spans="1:26" ht="14.25" customHeight="1" x14ac:dyDescent="0.25">
      <c r="A364" s="135"/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</row>
    <row r="365" spans="1:26" ht="14.25" customHeight="1" x14ac:dyDescent="0.25">
      <c r="A365" s="135"/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</row>
    <row r="366" spans="1:26" ht="14.25" customHeight="1" x14ac:dyDescent="0.25">
      <c r="A366" s="135"/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</row>
    <row r="367" spans="1:26" ht="14.25" customHeight="1" x14ac:dyDescent="0.25">
      <c r="A367" s="135"/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</row>
    <row r="368" spans="1:26" ht="14.25" customHeight="1" x14ac:dyDescent="0.25">
      <c r="A368" s="135"/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</row>
    <row r="369" spans="1:26" ht="14.25" customHeight="1" x14ac:dyDescent="0.25">
      <c r="A369" s="135"/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</row>
    <row r="370" spans="1:26" ht="14.25" customHeight="1" x14ac:dyDescent="0.25">
      <c r="A370" s="135"/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</row>
    <row r="371" spans="1:26" ht="14.25" customHeight="1" x14ac:dyDescent="0.25">
      <c r="A371" s="135"/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</row>
    <row r="372" spans="1:26" ht="14.25" customHeight="1" x14ac:dyDescent="0.25">
      <c r="A372" s="135"/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</row>
    <row r="373" spans="1:26" ht="14.25" customHeight="1" x14ac:dyDescent="0.25">
      <c r="A373" s="135"/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</row>
    <row r="374" spans="1:26" ht="14.25" customHeight="1" x14ac:dyDescent="0.25">
      <c r="A374" s="135"/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</row>
    <row r="375" spans="1:26" ht="14.25" customHeight="1" x14ac:dyDescent="0.25">
      <c r="A375" s="135"/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</row>
    <row r="376" spans="1:26" ht="14.25" customHeight="1" x14ac:dyDescent="0.25">
      <c r="A376" s="135"/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</row>
    <row r="377" spans="1:26" ht="14.25" customHeight="1" x14ac:dyDescent="0.25">
      <c r="A377" s="135"/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</row>
    <row r="378" spans="1:26" ht="14.25" customHeight="1" x14ac:dyDescent="0.25">
      <c r="A378" s="135"/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</row>
    <row r="379" spans="1:26" ht="14.25" customHeight="1" x14ac:dyDescent="0.25">
      <c r="A379" s="135"/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</row>
    <row r="380" spans="1:26" ht="14.25" customHeight="1" x14ac:dyDescent="0.25">
      <c r="A380" s="135"/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</row>
    <row r="381" spans="1:26" ht="14.25" customHeight="1" x14ac:dyDescent="0.25">
      <c r="A381" s="135"/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</row>
    <row r="382" spans="1:26" ht="14.25" customHeight="1" x14ac:dyDescent="0.25">
      <c r="A382" s="135"/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</row>
    <row r="383" spans="1:26" ht="14.25" customHeight="1" x14ac:dyDescent="0.25">
      <c r="A383" s="135"/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</row>
    <row r="384" spans="1:26" ht="14.25" customHeight="1" x14ac:dyDescent="0.25">
      <c r="A384" s="135"/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</row>
    <row r="385" spans="1:26" ht="14.25" customHeight="1" x14ac:dyDescent="0.25">
      <c r="A385" s="135"/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</row>
    <row r="386" spans="1:26" ht="14.25" customHeight="1" x14ac:dyDescent="0.25">
      <c r="A386" s="135"/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</row>
    <row r="387" spans="1:26" ht="14.25" customHeight="1" x14ac:dyDescent="0.25">
      <c r="A387" s="135"/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</row>
    <row r="388" spans="1:26" ht="14.25" customHeight="1" x14ac:dyDescent="0.25">
      <c r="A388" s="135"/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</row>
    <row r="389" spans="1:26" ht="14.25" customHeight="1" x14ac:dyDescent="0.25">
      <c r="A389" s="135"/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</row>
    <row r="390" spans="1:26" ht="14.25" customHeight="1" x14ac:dyDescent="0.25">
      <c r="A390" s="135"/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</row>
    <row r="391" spans="1:26" ht="14.25" customHeight="1" x14ac:dyDescent="0.25">
      <c r="A391" s="135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</row>
    <row r="392" spans="1:26" ht="14.25" customHeight="1" x14ac:dyDescent="0.25">
      <c r="A392" s="135"/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</row>
    <row r="393" spans="1:26" ht="14.25" customHeight="1" x14ac:dyDescent="0.25">
      <c r="A393" s="135"/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</row>
    <row r="394" spans="1:26" ht="14.25" customHeight="1" x14ac:dyDescent="0.25">
      <c r="A394" s="135"/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</row>
    <row r="395" spans="1:26" ht="14.25" customHeight="1" x14ac:dyDescent="0.25">
      <c r="A395" s="135"/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</row>
    <row r="396" spans="1:26" ht="14.25" customHeight="1" x14ac:dyDescent="0.25">
      <c r="A396" s="135"/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</row>
    <row r="397" spans="1:26" ht="14.25" customHeight="1" x14ac:dyDescent="0.25">
      <c r="A397" s="135"/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</row>
    <row r="398" spans="1:26" ht="14.25" customHeight="1" x14ac:dyDescent="0.25">
      <c r="A398" s="135"/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</row>
    <row r="399" spans="1:26" ht="14.25" customHeight="1" x14ac:dyDescent="0.25">
      <c r="A399" s="135"/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</row>
    <row r="400" spans="1:26" ht="14.25" customHeight="1" x14ac:dyDescent="0.25">
      <c r="A400" s="135"/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</row>
    <row r="401" spans="1:26" ht="14.25" customHeight="1" x14ac:dyDescent="0.25">
      <c r="A401" s="135"/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</row>
    <row r="402" spans="1:26" ht="14.25" customHeight="1" x14ac:dyDescent="0.25">
      <c r="A402" s="135"/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</row>
    <row r="403" spans="1:26" ht="14.25" customHeight="1" x14ac:dyDescent="0.25">
      <c r="A403" s="135"/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</row>
    <row r="404" spans="1:26" ht="14.25" customHeight="1" x14ac:dyDescent="0.25">
      <c r="A404" s="135"/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</row>
    <row r="405" spans="1:26" ht="14.25" customHeight="1" x14ac:dyDescent="0.25">
      <c r="A405" s="135"/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</row>
    <row r="406" spans="1:26" ht="14.25" customHeight="1" x14ac:dyDescent="0.25">
      <c r="A406" s="135"/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</row>
    <row r="407" spans="1:26" ht="14.25" customHeight="1" x14ac:dyDescent="0.25">
      <c r="A407" s="135"/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</row>
    <row r="408" spans="1:26" ht="14.25" customHeight="1" x14ac:dyDescent="0.25">
      <c r="A408" s="135"/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</row>
    <row r="409" spans="1:26" ht="14.25" customHeight="1" x14ac:dyDescent="0.25">
      <c r="A409" s="135"/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</row>
    <row r="410" spans="1:26" ht="14.25" customHeight="1" x14ac:dyDescent="0.25">
      <c r="A410" s="135"/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</row>
    <row r="411" spans="1:26" ht="14.25" customHeight="1" x14ac:dyDescent="0.25">
      <c r="A411" s="135"/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</row>
    <row r="412" spans="1:26" ht="14.25" customHeight="1" x14ac:dyDescent="0.25">
      <c r="A412" s="135"/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</row>
    <row r="413" spans="1:26" ht="14.25" customHeight="1" x14ac:dyDescent="0.25">
      <c r="A413" s="135"/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</row>
    <row r="414" spans="1:26" ht="14.25" customHeight="1" x14ac:dyDescent="0.25">
      <c r="A414" s="135"/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</row>
    <row r="415" spans="1:26" ht="14.25" customHeight="1" x14ac:dyDescent="0.25">
      <c r="A415" s="135"/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</row>
    <row r="416" spans="1:26" ht="14.25" customHeight="1" x14ac:dyDescent="0.25">
      <c r="A416" s="135"/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</row>
    <row r="417" spans="1:26" ht="14.25" customHeight="1" x14ac:dyDescent="0.25">
      <c r="A417" s="135"/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</row>
    <row r="418" spans="1:26" ht="14.25" customHeight="1" x14ac:dyDescent="0.25">
      <c r="A418" s="135"/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</row>
    <row r="419" spans="1:26" ht="14.25" customHeight="1" x14ac:dyDescent="0.25">
      <c r="A419" s="135"/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</row>
    <row r="420" spans="1:26" ht="14.25" customHeight="1" x14ac:dyDescent="0.25">
      <c r="A420" s="135"/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</row>
    <row r="421" spans="1:26" ht="14.25" customHeight="1" x14ac:dyDescent="0.25">
      <c r="A421" s="135"/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</row>
    <row r="422" spans="1:26" ht="14.25" customHeight="1" x14ac:dyDescent="0.25">
      <c r="A422" s="135"/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</row>
    <row r="423" spans="1:26" ht="14.25" customHeight="1" x14ac:dyDescent="0.25">
      <c r="A423" s="135"/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</row>
    <row r="424" spans="1:26" ht="14.25" customHeight="1" x14ac:dyDescent="0.25">
      <c r="A424" s="135"/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</row>
    <row r="425" spans="1:26" ht="14.25" customHeight="1" x14ac:dyDescent="0.25">
      <c r="A425" s="135"/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</row>
    <row r="426" spans="1:26" ht="14.25" customHeight="1" x14ac:dyDescent="0.25">
      <c r="A426" s="135"/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</row>
    <row r="427" spans="1:26" ht="14.25" customHeight="1" x14ac:dyDescent="0.25">
      <c r="A427" s="135"/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</row>
    <row r="428" spans="1:26" ht="14.25" customHeight="1" x14ac:dyDescent="0.25">
      <c r="A428" s="135"/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</row>
    <row r="429" spans="1:26" ht="14.25" customHeight="1" x14ac:dyDescent="0.25">
      <c r="A429" s="135"/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</row>
    <row r="430" spans="1:26" ht="14.25" customHeight="1" x14ac:dyDescent="0.25">
      <c r="A430" s="135"/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</row>
    <row r="431" spans="1:26" ht="14.25" customHeight="1" x14ac:dyDescent="0.25">
      <c r="A431" s="135"/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</row>
    <row r="432" spans="1:26" ht="14.25" customHeight="1" x14ac:dyDescent="0.25">
      <c r="A432" s="135"/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</row>
    <row r="433" spans="1:26" ht="14.25" customHeight="1" x14ac:dyDescent="0.25">
      <c r="A433" s="135"/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</row>
    <row r="434" spans="1:26" ht="14.25" customHeight="1" x14ac:dyDescent="0.25">
      <c r="A434" s="135"/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</row>
    <row r="435" spans="1:26" ht="14.25" customHeight="1" x14ac:dyDescent="0.25">
      <c r="A435" s="135"/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</row>
    <row r="436" spans="1:26" ht="14.25" customHeight="1" x14ac:dyDescent="0.25">
      <c r="A436" s="135"/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</row>
    <row r="437" spans="1:26" ht="14.25" customHeight="1" x14ac:dyDescent="0.25">
      <c r="A437" s="135"/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</row>
    <row r="438" spans="1:26" ht="14.25" customHeight="1" x14ac:dyDescent="0.25">
      <c r="A438" s="135"/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</row>
    <row r="439" spans="1:26" ht="14.25" customHeight="1" x14ac:dyDescent="0.25">
      <c r="A439" s="135"/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</row>
    <row r="440" spans="1:26" ht="14.25" customHeight="1" x14ac:dyDescent="0.25">
      <c r="A440" s="135"/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</row>
    <row r="441" spans="1:26" ht="14.25" customHeight="1" x14ac:dyDescent="0.25">
      <c r="A441" s="135"/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</row>
    <row r="442" spans="1:26" ht="14.25" customHeight="1" x14ac:dyDescent="0.25">
      <c r="A442" s="135"/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</row>
    <row r="443" spans="1:26" ht="14.25" customHeight="1" x14ac:dyDescent="0.25">
      <c r="A443" s="135"/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</row>
    <row r="444" spans="1:26" ht="14.25" customHeight="1" x14ac:dyDescent="0.25">
      <c r="A444" s="135"/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</row>
    <row r="445" spans="1:26" ht="14.25" customHeight="1" x14ac:dyDescent="0.25">
      <c r="A445" s="135"/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</row>
    <row r="446" spans="1:26" ht="14.25" customHeight="1" x14ac:dyDescent="0.25">
      <c r="A446" s="135"/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</row>
    <row r="447" spans="1:26" ht="14.25" customHeight="1" x14ac:dyDescent="0.25">
      <c r="A447" s="135"/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</row>
    <row r="448" spans="1:26" ht="14.25" customHeight="1" x14ac:dyDescent="0.25">
      <c r="A448" s="135"/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</row>
    <row r="449" spans="1:26" ht="14.25" customHeight="1" x14ac:dyDescent="0.25">
      <c r="A449" s="135"/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</row>
    <row r="450" spans="1:26" ht="14.25" customHeight="1" x14ac:dyDescent="0.25">
      <c r="A450" s="135"/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</row>
    <row r="451" spans="1:26" ht="14.25" customHeight="1" x14ac:dyDescent="0.25">
      <c r="A451" s="135"/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</row>
    <row r="452" spans="1:26" ht="14.25" customHeight="1" x14ac:dyDescent="0.25">
      <c r="A452" s="135"/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</row>
    <row r="453" spans="1:26" ht="14.25" customHeight="1" x14ac:dyDescent="0.25">
      <c r="A453" s="135"/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</row>
    <row r="454" spans="1:26" ht="14.25" customHeight="1" x14ac:dyDescent="0.25">
      <c r="A454" s="135"/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</row>
    <row r="455" spans="1:26" ht="14.25" customHeight="1" x14ac:dyDescent="0.25">
      <c r="A455" s="135"/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</row>
    <row r="456" spans="1:26" ht="14.25" customHeight="1" x14ac:dyDescent="0.25">
      <c r="A456" s="135"/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</row>
    <row r="457" spans="1:26" ht="14.25" customHeight="1" x14ac:dyDescent="0.25">
      <c r="A457" s="135"/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</row>
    <row r="458" spans="1:26" ht="14.25" customHeight="1" x14ac:dyDescent="0.25">
      <c r="A458" s="135"/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</row>
    <row r="459" spans="1:26" ht="14.25" customHeight="1" x14ac:dyDescent="0.25">
      <c r="A459" s="135"/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</row>
    <row r="460" spans="1:26" ht="14.25" customHeight="1" x14ac:dyDescent="0.25">
      <c r="A460" s="135"/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</row>
    <row r="461" spans="1:26" ht="14.25" customHeight="1" x14ac:dyDescent="0.25">
      <c r="A461" s="135"/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</row>
    <row r="462" spans="1:26" ht="14.25" customHeight="1" x14ac:dyDescent="0.25">
      <c r="A462" s="135"/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</row>
    <row r="463" spans="1:26" ht="14.25" customHeight="1" x14ac:dyDescent="0.25">
      <c r="A463" s="135"/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</row>
    <row r="464" spans="1:26" ht="14.25" customHeight="1" x14ac:dyDescent="0.25">
      <c r="A464" s="135"/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</row>
    <row r="465" spans="1:26" ht="14.25" customHeight="1" x14ac:dyDescent="0.25">
      <c r="A465" s="135"/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</row>
    <row r="466" spans="1:26" ht="14.25" customHeight="1" x14ac:dyDescent="0.25">
      <c r="A466" s="135"/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</row>
    <row r="467" spans="1:26" ht="14.25" customHeight="1" x14ac:dyDescent="0.25">
      <c r="A467" s="135"/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</row>
    <row r="468" spans="1:26" ht="14.25" customHeight="1" x14ac:dyDescent="0.25">
      <c r="A468" s="135"/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</row>
    <row r="469" spans="1:26" ht="14.25" customHeight="1" x14ac:dyDescent="0.25">
      <c r="A469" s="135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</row>
    <row r="470" spans="1:26" ht="14.25" customHeight="1" x14ac:dyDescent="0.25">
      <c r="A470" s="135"/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</row>
    <row r="471" spans="1:26" ht="14.25" customHeight="1" x14ac:dyDescent="0.25">
      <c r="A471" s="135"/>
      <c r="B471" s="135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</row>
    <row r="472" spans="1:26" ht="14.25" customHeight="1" x14ac:dyDescent="0.25">
      <c r="A472" s="135"/>
      <c r="B472" s="135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</row>
    <row r="473" spans="1:26" ht="14.25" customHeight="1" x14ac:dyDescent="0.25">
      <c r="A473" s="135"/>
      <c r="B473" s="135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</row>
    <row r="474" spans="1:26" ht="14.25" customHeight="1" x14ac:dyDescent="0.25">
      <c r="A474" s="135"/>
      <c r="B474" s="135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</row>
    <row r="475" spans="1:26" ht="14.25" customHeight="1" x14ac:dyDescent="0.25">
      <c r="A475" s="135"/>
      <c r="B475" s="135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</row>
    <row r="476" spans="1:26" ht="14.25" customHeight="1" x14ac:dyDescent="0.25">
      <c r="A476" s="135"/>
      <c r="B476" s="135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</row>
    <row r="477" spans="1:26" ht="14.25" customHeight="1" x14ac:dyDescent="0.25">
      <c r="A477" s="135"/>
      <c r="B477" s="135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</row>
    <row r="478" spans="1:26" ht="14.25" customHeight="1" x14ac:dyDescent="0.25">
      <c r="A478" s="135"/>
      <c r="B478" s="135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</row>
    <row r="479" spans="1:26" ht="14.25" customHeight="1" x14ac:dyDescent="0.25">
      <c r="A479" s="135"/>
      <c r="B479" s="135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</row>
    <row r="480" spans="1:26" ht="14.25" customHeight="1" x14ac:dyDescent="0.25">
      <c r="A480" s="135"/>
      <c r="B480" s="135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</row>
    <row r="481" spans="1:26" ht="14.25" customHeight="1" x14ac:dyDescent="0.25">
      <c r="A481" s="135"/>
      <c r="B481" s="135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</row>
    <row r="482" spans="1:26" ht="14.25" customHeight="1" x14ac:dyDescent="0.25">
      <c r="A482" s="135"/>
      <c r="B482" s="135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</row>
    <row r="483" spans="1:26" ht="14.25" customHeight="1" x14ac:dyDescent="0.25">
      <c r="A483" s="135"/>
      <c r="B483" s="135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</row>
    <row r="484" spans="1:26" ht="14.25" customHeight="1" x14ac:dyDescent="0.25">
      <c r="A484" s="135"/>
      <c r="B484" s="135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</row>
    <row r="485" spans="1:26" ht="14.25" customHeight="1" x14ac:dyDescent="0.25">
      <c r="A485" s="135"/>
      <c r="B485" s="135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</row>
    <row r="486" spans="1:26" ht="14.25" customHeight="1" x14ac:dyDescent="0.25">
      <c r="A486" s="135"/>
      <c r="B486" s="135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</row>
    <row r="487" spans="1:26" ht="14.25" customHeight="1" x14ac:dyDescent="0.25">
      <c r="A487" s="135"/>
      <c r="B487" s="135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</row>
    <row r="488" spans="1:26" ht="14.25" customHeight="1" x14ac:dyDescent="0.25">
      <c r="A488" s="135"/>
      <c r="B488" s="135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</row>
    <row r="489" spans="1:26" ht="14.25" customHeight="1" x14ac:dyDescent="0.25">
      <c r="A489" s="135"/>
      <c r="B489" s="135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</row>
    <row r="490" spans="1:26" ht="14.25" customHeight="1" x14ac:dyDescent="0.25">
      <c r="A490" s="135"/>
      <c r="B490" s="135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</row>
    <row r="491" spans="1:26" ht="14.25" customHeight="1" x14ac:dyDescent="0.25">
      <c r="A491" s="135"/>
      <c r="B491" s="135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</row>
    <row r="492" spans="1:26" ht="14.25" customHeight="1" x14ac:dyDescent="0.25">
      <c r="A492" s="135"/>
      <c r="B492" s="135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</row>
    <row r="493" spans="1:26" ht="14.25" customHeight="1" x14ac:dyDescent="0.25">
      <c r="A493" s="135"/>
      <c r="B493" s="135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</row>
    <row r="494" spans="1:26" ht="14.25" customHeight="1" x14ac:dyDescent="0.25">
      <c r="A494" s="135"/>
      <c r="B494" s="135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</row>
    <row r="495" spans="1:26" ht="14.25" customHeight="1" x14ac:dyDescent="0.25">
      <c r="A495" s="135"/>
      <c r="B495" s="135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</row>
    <row r="496" spans="1:26" ht="14.25" customHeight="1" x14ac:dyDescent="0.25">
      <c r="A496" s="135"/>
      <c r="B496" s="135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</row>
    <row r="497" spans="1:26" ht="14.25" customHeight="1" x14ac:dyDescent="0.25">
      <c r="A497" s="135"/>
      <c r="B497" s="135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</row>
    <row r="498" spans="1:26" ht="14.25" customHeight="1" x14ac:dyDescent="0.25">
      <c r="A498" s="135"/>
      <c r="B498" s="135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</row>
    <row r="499" spans="1:26" ht="14.25" customHeight="1" x14ac:dyDescent="0.25">
      <c r="A499" s="135"/>
      <c r="B499" s="135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</row>
    <row r="500" spans="1:26" ht="14.25" customHeight="1" x14ac:dyDescent="0.25">
      <c r="A500" s="135"/>
      <c r="B500" s="135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</row>
    <row r="501" spans="1:26" ht="14.25" customHeight="1" x14ac:dyDescent="0.25">
      <c r="A501" s="135"/>
      <c r="B501" s="135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</row>
    <row r="502" spans="1:26" ht="14.25" customHeight="1" x14ac:dyDescent="0.25">
      <c r="A502" s="135"/>
      <c r="B502" s="135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</row>
    <row r="503" spans="1:26" ht="14.25" customHeight="1" x14ac:dyDescent="0.25">
      <c r="A503" s="135"/>
      <c r="B503" s="135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</row>
    <row r="504" spans="1:26" ht="14.25" customHeight="1" x14ac:dyDescent="0.25">
      <c r="A504" s="135"/>
      <c r="B504" s="135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</row>
    <row r="505" spans="1:26" ht="14.25" customHeight="1" x14ac:dyDescent="0.25">
      <c r="A505" s="135"/>
      <c r="B505" s="135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</row>
    <row r="506" spans="1:26" ht="14.25" customHeight="1" x14ac:dyDescent="0.25">
      <c r="A506" s="135"/>
      <c r="B506" s="135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</row>
    <row r="507" spans="1:26" ht="14.25" customHeight="1" x14ac:dyDescent="0.25">
      <c r="A507" s="135"/>
      <c r="B507" s="135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</row>
    <row r="508" spans="1:26" ht="14.25" customHeight="1" x14ac:dyDescent="0.25">
      <c r="A508" s="135"/>
      <c r="B508" s="135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</row>
    <row r="509" spans="1:26" ht="14.25" customHeight="1" x14ac:dyDescent="0.25">
      <c r="A509" s="135"/>
      <c r="B509" s="135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</row>
    <row r="510" spans="1:26" ht="14.25" customHeight="1" x14ac:dyDescent="0.25">
      <c r="A510" s="135"/>
      <c r="B510" s="135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</row>
    <row r="511" spans="1:26" ht="14.25" customHeight="1" x14ac:dyDescent="0.25">
      <c r="A511" s="135"/>
      <c r="B511" s="135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</row>
    <row r="512" spans="1:26" ht="14.25" customHeight="1" x14ac:dyDescent="0.25">
      <c r="A512" s="135"/>
      <c r="B512" s="135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</row>
    <row r="513" spans="1:26" ht="14.25" customHeight="1" x14ac:dyDescent="0.25">
      <c r="A513" s="135"/>
      <c r="B513" s="135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</row>
    <row r="514" spans="1:26" ht="14.25" customHeight="1" x14ac:dyDescent="0.25">
      <c r="A514" s="135"/>
      <c r="B514" s="135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</row>
    <row r="515" spans="1:26" ht="14.25" customHeight="1" x14ac:dyDescent="0.25">
      <c r="A515" s="135"/>
      <c r="B515" s="135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</row>
    <row r="516" spans="1:26" ht="14.25" customHeight="1" x14ac:dyDescent="0.25">
      <c r="A516" s="135"/>
      <c r="B516" s="135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</row>
    <row r="517" spans="1:26" ht="14.25" customHeight="1" x14ac:dyDescent="0.25">
      <c r="A517" s="135"/>
      <c r="B517" s="135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</row>
    <row r="518" spans="1:26" ht="14.25" customHeight="1" x14ac:dyDescent="0.25">
      <c r="A518" s="135"/>
      <c r="B518" s="135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</row>
    <row r="519" spans="1:26" ht="14.25" customHeight="1" x14ac:dyDescent="0.25">
      <c r="A519" s="135"/>
      <c r="B519" s="135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</row>
    <row r="520" spans="1:26" ht="14.25" customHeight="1" x14ac:dyDescent="0.25">
      <c r="A520" s="135"/>
      <c r="B520" s="135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</row>
    <row r="521" spans="1:26" ht="14.25" customHeight="1" x14ac:dyDescent="0.25">
      <c r="A521" s="135"/>
      <c r="B521" s="135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</row>
    <row r="522" spans="1:26" ht="14.25" customHeight="1" x14ac:dyDescent="0.25">
      <c r="A522" s="135"/>
      <c r="B522" s="135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</row>
    <row r="523" spans="1:26" ht="14.25" customHeight="1" x14ac:dyDescent="0.25">
      <c r="A523" s="135"/>
      <c r="B523" s="135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</row>
    <row r="524" spans="1:26" ht="14.25" customHeight="1" x14ac:dyDescent="0.25">
      <c r="A524" s="135"/>
      <c r="B524" s="135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</row>
    <row r="525" spans="1:26" ht="14.25" customHeight="1" x14ac:dyDescent="0.25">
      <c r="A525" s="135"/>
      <c r="B525" s="135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</row>
    <row r="526" spans="1:26" ht="14.25" customHeight="1" x14ac:dyDescent="0.25">
      <c r="A526" s="135"/>
      <c r="B526" s="135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</row>
    <row r="527" spans="1:26" ht="14.25" customHeight="1" x14ac:dyDescent="0.25">
      <c r="A527" s="135"/>
      <c r="B527" s="135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</row>
    <row r="528" spans="1:26" ht="14.25" customHeight="1" x14ac:dyDescent="0.25">
      <c r="A528" s="135"/>
      <c r="B528" s="135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</row>
    <row r="529" spans="1:26" ht="14.25" customHeight="1" x14ac:dyDescent="0.25">
      <c r="A529" s="135"/>
      <c r="B529" s="135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</row>
    <row r="530" spans="1:26" ht="14.25" customHeight="1" x14ac:dyDescent="0.25">
      <c r="A530" s="135"/>
      <c r="B530" s="135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</row>
    <row r="531" spans="1:26" ht="14.25" customHeight="1" x14ac:dyDescent="0.25">
      <c r="A531" s="135"/>
      <c r="B531" s="135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</row>
    <row r="532" spans="1:26" ht="14.25" customHeight="1" x14ac:dyDescent="0.25">
      <c r="A532" s="135"/>
      <c r="B532" s="135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</row>
    <row r="533" spans="1:26" ht="14.25" customHeight="1" x14ac:dyDescent="0.25">
      <c r="A533" s="135"/>
      <c r="B533" s="135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</row>
    <row r="534" spans="1:26" ht="14.25" customHeight="1" x14ac:dyDescent="0.25">
      <c r="A534" s="135"/>
      <c r="B534" s="135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</row>
    <row r="535" spans="1:26" ht="14.25" customHeight="1" x14ac:dyDescent="0.25">
      <c r="A535" s="135"/>
      <c r="B535" s="135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</row>
    <row r="536" spans="1:26" ht="14.25" customHeight="1" x14ac:dyDescent="0.25">
      <c r="A536" s="135"/>
      <c r="B536" s="135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</row>
    <row r="537" spans="1:26" ht="14.25" customHeight="1" x14ac:dyDescent="0.25">
      <c r="A537" s="135"/>
      <c r="B537" s="135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</row>
    <row r="538" spans="1:26" ht="14.25" customHeight="1" x14ac:dyDescent="0.25">
      <c r="A538" s="135"/>
      <c r="B538" s="135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</row>
    <row r="539" spans="1:26" ht="14.25" customHeight="1" x14ac:dyDescent="0.25">
      <c r="A539" s="135"/>
      <c r="B539" s="135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</row>
    <row r="540" spans="1:26" ht="14.25" customHeight="1" x14ac:dyDescent="0.25">
      <c r="A540" s="135"/>
      <c r="B540" s="135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</row>
    <row r="541" spans="1:26" ht="14.25" customHeight="1" x14ac:dyDescent="0.25">
      <c r="A541" s="135"/>
      <c r="B541" s="135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</row>
    <row r="542" spans="1:26" ht="14.25" customHeight="1" x14ac:dyDescent="0.25">
      <c r="A542" s="135"/>
      <c r="B542" s="135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</row>
    <row r="543" spans="1:26" ht="14.25" customHeight="1" x14ac:dyDescent="0.25">
      <c r="A543" s="135"/>
      <c r="B543" s="135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</row>
    <row r="544" spans="1:26" ht="14.25" customHeight="1" x14ac:dyDescent="0.25">
      <c r="A544" s="135"/>
      <c r="B544" s="135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</row>
    <row r="545" spans="1:26" ht="14.25" customHeight="1" x14ac:dyDescent="0.25">
      <c r="A545" s="135"/>
      <c r="B545" s="135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</row>
    <row r="546" spans="1:26" ht="14.25" customHeight="1" x14ac:dyDescent="0.25">
      <c r="A546" s="135"/>
      <c r="B546" s="135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</row>
    <row r="547" spans="1:26" ht="14.25" customHeight="1" x14ac:dyDescent="0.25">
      <c r="A547" s="135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</row>
    <row r="548" spans="1:26" ht="14.25" customHeight="1" x14ac:dyDescent="0.25">
      <c r="A548" s="135"/>
      <c r="B548" s="135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</row>
    <row r="549" spans="1:26" ht="14.25" customHeight="1" x14ac:dyDescent="0.25">
      <c r="A549" s="135"/>
      <c r="B549" s="135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</row>
    <row r="550" spans="1:26" ht="14.25" customHeight="1" x14ac:dyDescent="0.25">
      <c r="A550" s="135"/>
      <c r="B550" s="135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</row>
    <row r="551" spans="1:26" ht="14.25" customHeight="1" x14ac:dyDescent="0.25">
      <c r="A551" s="135"/>
      <c r="B551" s="135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</row>
    <row r="552" spans="1:26" ht="14.25" customHeight="1" x14ac:dyDescent="0.25">
      <c r="A552" s="135"/>
      <c r="B552" s="135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</row>
    <row r="553" spans="1:26" ht="14.25" customHeight="1" x14ac:dyDescent="0.25">
      <c r="A553" s="135"/>
      <c r="B553" s="135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</row>
    <row r="554" spans="1:26" ht="14.25" customHeight="1" x14ac:dyDescent="0.25">
      <c r="A554" s="135"/>
      <c r="B554" s="135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</row>
    <row r="555" spans="1:26" ht="14.25" customHeight="1" x14ac:dyDescent="0.25">
      <c r="A555" s="135"/>
      <c r="B555" s="135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</row>
    <row r="556" spans="1:26" ht="14.25" customHeight="1" x14ac:dyDescent="0.25">
      <c r="A556" s="135"/>
      <c r="B556" s="135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</row>
    <row r="557" spans="1:26" ht="14.25" customHeight="1" x14ac:dyDescent="0.25">
      <c r="A557" s="135"/>
      <c r="B557" s="135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</row>
    <row r="558" spans="1:26" ht="14.25" customHeight="1" x14ac:dyDescent="0.25">
      <c r="A558" s="135"/>
      <c r="B558" s="135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</row>
    <row r="559" spans="1:26" ht="14.25" customHeight="1" x14ac:dyDescent="0.25">
      <c r="A559" s="135"/>
      <c r="B559" s="135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</row>
    <row r="560" spans="1:26" ht="14.25" customHeight="1" x14ac:dyDescent="0.25">
      <c r="A560" s="135"/>
      <c r="B560" s="135"/>
      <c r="C560" s="135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</row>
    <row r="561" spans="1:26" ht="14.25" customHeight="1" x14ac:dyDescent="0.25">
      <c r="A561" s="135"/>
      <c r="B561" s="135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</row>
    <row r="562" spans="1:26" ht="14.25" customHeight="1" x14ac:dyDescent="0.25">
      <c r="A562" s="135"/>
      <c r="B562" s="135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</row>
    <row r="563" spans="1:26" ht="14.25" customHeight="1" x14ac:dyDescent="0.25">
      <c r="A563" s="135"/>
      <c r="B563" s="135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</row>
    <row r="564" spans="1:26" ht="14.25" customHeight="1" x14ac:dyDescent="0.25">
      <c r="A564" s="135"/>
      <c r="B564" s="135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</row>
    <row r="565" spans="1:26" ht="14.25" customHeight="1" x14ac:dyDescent="0.25">
      <c r="A565" s="135"/>
      <c r="B565" s="135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</row>
    <row r="566" spans="1:26" ht="14.25" customHeight="1" x14ac:dyDescent="0.25">
      <c r="A566" s="135"/>
      <c r="B566" s="135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</row>
    <row r="567" spans="1:26" ht="14.25" customHeight="1" x14ac:dyDescent="0.25">
      <c r="A567" s="135"/>
      <c r="B567" s="135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</row>
    <row r="568" spans="1:26" ht="14.25" customHeight="1" x14ac:dyDescent="0.25">
      <c r="A568" s="135"/>
      <c r="B568" s="135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</row>
    <row r="569" spans="1:26" ht="14.25" customHeight="1" x14ac:dyDescent="0.25">
      <c r="A569" s="135"/>
      <c r="B569" s="135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</row>
    <row r="570" spans="1:26" ht="14.25" customHeight="1" x14ac:dyDescent="0.25">
      <c r="A570" s="135"/>
      <c r="B570" s="135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</row>
    <row r="571" spans="1:26" ht="14.25" customHeight="1" x14ac:dyDescent="0.25">
      <c r="A571" s="135"/>
      <c r="B571" s="135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</row>
    <row r="572" spans="1:26" ht="14.25" customHeight="1" x14ac:dyDescent="0.25">
      <c r="A572" s="135"/>
      <c r="B572" s="135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</row>
    <row r="573" spans="1:26" ht="14.25" customHeight="1" x14ac:dyDescent="0.25">
      <c r="A573" s="135"/>
      <c r="B573" s="135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</row>
    <row r="574" spans="1:26" ht="14.25" customHeight="1" x14ac:dyDescent="0.25">
      <c r="A574" s="135"/>
      <c r="B574" s="135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</row>
    <row r="575" spans="1:26" ht="14.25" customHeight="1" x14ac:dyDescent="0.25">
      <c r="A575" s="135"/>
      <c r="B575" s="135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</row>
    <row r="576" spans="1:26" ht="14.25" customHeight="1" x14ac:dyDescent="0.25">
      <c r="A576" s="135"/>
      <c r="B576" s="135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</row>
    <row r="577" spans="1:26" ht="14.25" customHeight="1" x14ac:dyDescent="0.25">
      <c r="A577" s="135"/>
      <c r="B577" s="135"/>
      <c r="C577" s="135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</row>
    <row r="578" spans="1:26" ht="14.25" customHeight="1" x14ac:dyDescent="0.25">
      <c r="A578" s="135"/>
      <c r="B578" s="135"/>
      <c r="C578" s="135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</row>
    <row r="579" spans="1:26" ht="14.25" customHeight="1" x14ac:dyDescent="0.25">
      <c r="A579" s="135"/>
      <c r="B579" s="135"/>
      <c r="C579" s="135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</row>
    <row r="580" spans="1:26" ht="14.25" customHeight="1" x14ac:dyDescent="0.25">
      <c r="A580" s="135"/>
      <c r="B580" s="135"/>
      <c r="C580" s="135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</row>
    <row r="581" spans="1:26" ht="14.25" customHeight="1" x14ac:dyDescent="0.25">
      <c r="A581" s="135"/>
      <c r="B581" s="135"/>
      <c r="C581" s="135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</row>
    <row r="582" spans="1:26" ht="14.25" customHeight="1" x14ac:dyDescent="0.25">
      <c r="A582" s="135"/>
      <c r="B582" s="135"/>
      <c r="C582" s="135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</row>
    <row r="583" spans="1:26" ht="14.25" customHeight="1" x14ac:dyDescent="0.25">
      <c r="A583" s="135"/>
      <c r="B583" s="135"/>
      <c r="C583" s="135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</row>
    <row r="584" spans="1:26" ht="14.25" customHeight="1" x14ac:dyDescent="0.25">
      <c r="A584" s="135"/>
      <c r="B584" s="135"/>
      <c r="C584" s="135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</row>
    <row r="585" spans="1:26" ht="14.25" customHeight="1" x14ac:dyDescent="0.25">
      <c r="A585" s="135"/>
      <c r="B585" s="135"/>
      <c r="C585" s="135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</row>
    <row r="586" spans="1:26" ht="14.25" customHeight="1" x14ac:dyDescent="0.25">
      <c r="A586" s="135"/>
      <c r="B586" s="135"/>
      <c r="C586" s="135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</row>
    <row r="587" spans="1:26" ht="14.25" customHeight="1" x14ac:dyDescent="0.25">
      <c r="A587" s="135"/>
      <c r="B587" s="135"/>
      <c r="C587" s="135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</row>
    <row r="588" spans="1:26" ht="14.25" customHeight="1" x14ac:dyDescent="0.25">
      <c r="A588" s="135"/>
      <c r="B588" s="135"/>
      <c r="C588" s="135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</row>
    <row r="589" spans="1:26" ht="14.25" customHeight="1" x14ac:dyDescent="0.25">
      <c r="A589" s="135"/>
      <c r="B589" s="135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</row>
    <row r="590" spans="1:26" ht="14.25" customHeight="1" x14ac:dyDescent="0.25">
      <c r="A590" s="135"/>
      <c r="B590" s="135"/>
      <c r="C590" s="135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</row>
    <row r="591" spans="1:26" ht="14.25" customHeight="1" x14ac:dyDescent="0.25">
      <c r="A591" s="135"/>
      <c r="B591" s="135"/>
      <c r="C591" s="135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</row>
    <row r="592" spans="1:26" ht="14.25" customHeight="1" x14ac:dyDescent="0.25">
      <c r="A592" s="135"/>
      <c r="B592" s="135"/>
      <c r="C592" s="135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</row>
    <row r="593" spans="1:26" ht="14.25" customHeight="1" x14ac:dyDescent="0.25">
      <c r="A593" s="135"/>
      <c r="B593" s="135"/>
      <c r="C593" s="135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</row>
    <row r="594" spans="1:26" ht="14.25" customHeight="1" x14ac:dyDescent="0.25">
      <c r="A594" s="135"/>
      <c r="B594" s="135"/>
      <c r="C594" s="135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</row>
    <row r="595" spans="1:26" ht="14.25" customHeight="1" x14ac:dyDescent="0.25">
      <c r="A595" s="135"/>
      <c r="B595" s="135"/>
      <c r="C595" s="135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</row>
    <row r="596" spans="1:26" ht="14.25" customHeight="1" x14ac:dyDescent="0.25">
      <c r="A596" s="135"/>
      <c r="B596" s="135"/>
      <c r="C596" s="135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</row>
    <row r="597" spans="1:26" ht="14.25" customHeight="1" x14ac:dyDescent="0.25">
      <c r="A597" s="135"/>
      <c r="B597" s="135"/>
      <c r="C597" s="135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</row>
    <row r="598" spans="1:26" ht="14.25" customHeight="1" x14ac:dyDescent="0.25">
      <c r="A598" s="135"/>
      <c r="B598" s="135"/>
      <c r="C598" s="135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</row>
    <row r="599" spans="1:26" ht="14.25" customHeight="1" x14ac:dyDescent="0.25">
      <c r="A599" s="135"/>
      <c r="B599" s="135"/>
      <c r="C599" s="135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</row>
    <row r="600" spans="1:26" ht="14.25" customHeight="1" x14ac:dyDescent="0.25">
      <c r="A600" s="135"/>
      <c r="B600" s="135"/>
      <c r="C600" s="135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</row>
    <row r="601" spans="1:26" ht="14.25" customHeight="1" x14ac:dyDescent="0.25">
      <c r="A601" s="135"/>
      <c r="B601" s="135"/>
      <c r="C601" s="135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</row>
    <row r="602" spans="1:26" ht="14.25" customHeight="1" x14ac:dyDescent="0.25">
      <c r="A602" s="135"/>
      <c r="B602" s="135"/>
      <c r="C602" s="135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</row>
    <row r="603" spans="1:26" ht="14.25" customHeight="1" x14ac:dyDescent="0.25">
      <c r="A603" s="135"/>
      <c r="B603" s="135"/>
      <c r="C603" s="135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</row>
    <row r="604" spans="1:26" ht="14.25" customHeight="1" x14ac:dyDescent="0.25">
      <c r="A604" s="135"/>
      <c r="B604" s="135"/>
      <c r="C604" s="135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</row>
    <row r="605" spans="1:26" ht="14.25" customHeight="1" x14ac:dyDescent="0.25">
      <c r="A605" s="135"/>
      <c r="B605" s="135"/>
      <c r="C605" s="135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</row>
    <row r="606" spans="1:26" ht="14.25" customHeight="1" x14ac:dyDescent="0.25">
      <c r="A606" s="135"/>
      <c r="B606" s="135"/>
      <c r="C606" s="135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</row>
    <row r="607" spans="1:26" ht="14.25" customHeight="1" x14ac:dyDescent="0.25">
      <c r="A607" s="135"/>
      <c r="B607" s="135"/>
      <c r="C607" s="135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</row>
    <row r="608" spans="1:26" ht="14.25" customHeight="1" x14ac:dyDescent="0.25">
      <c r="A608" s="135"/>
      <c r="B608" s="135"/>
      <c r="C608" s="135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</row>
    <row r="609" spans="1:26" ht="14.25" customHeight="1" x14ac:dyDescent="0.25">
      <c r="A609" s="135"/>
      <c r="B609" s="135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</row>
    <row r="610" spans="1:26" ht="14.25" customHeight="1" x14ac:dyDescent="0.25">
      <c r="A610" s="135"/>
      <c r="B610" s="135"/>
      <c r="C610" s="135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</row>
    <row r="611" spans="1:26" ht="14.25" customHeight="1" x14ac:dyDescent="0.25">
      <c r="A611" s="135"/>
      <c r="B611" s="135"/>
      <c r="C611" s="135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</row>
    <row r="612" spans="1:26" ht="14.25" customHeight="1" x14ac:dyDescent="0.25">
      <c r="A612" s="135"/>
      <c r="B612" s="135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</row>
    <row r="613" spans="1:26" ht="14.25" customHeight="1" x14ac:dyDescent="0.25">
      <c r="A613" s="135"/>
      <c r="B613" s="135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</row>
    <row r="614" spans="1:26" ht="14.25" customHeight="1" x14ac:dyDescent="0.25">
      <c r="A614" s="135"/>
      <c r="B614" s="135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</row>
    <row r="615" spans="1:26" ht="14.25" customHeight="1" x14ac:dyDescent="0.25">
      <c r="A615" s="135"/>
      <c r="B615" s="135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</row>
    <row r="616" spans="1:26" ht="14.25" customHeight="1" x14ac:dyDescent="0.25">
      <c r="A616" s="135"/>
      <c r="B616" s="135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</row>
    <row r="617" spans="1:26" ht="14.25" customHeight="1" x14ac:dyDescent="0.25">
      <c r="A617" s="135"/>
      <c r="B617" s="135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</row>
    <row r="618" spans="1:26" ht="14.25" customHeight="1" x14ac:dyDescent="0.25">
      <c r="A618" s="135"/>
      <c r="B618" s="135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</row>
    <row r="619" spans="1:26" ht="14.25" customHeight="1" x14ac:dyDescent="0.25">
      <c r="A619" s="135"/>
      <c r="B619" s="135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</row>
    <row r="620" spans="1:26" ht="14.25" customHeight="1" x14ac:dyDescent="0.25">
      <c r="A620" s="135"/>
      <c r="B620" s="135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</row>
    <row r="621" spans="1:26" ht="14.25" customHeight="1" x14ac:dyDescent="0.25">
      <c r="A621" s="135"/>
      <c r="B621" s="135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</row>
    <row r="622" spans="1:26" ht="14.25" customHeight="1" x14ac:dyDescent="0.25">
      <c r="A622" s="135"/>
      <c r="B622" s="135"/>
      <c r="C622" s="135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</row>
    <row r="623" spans="1:26" ht="14.25" customHeight="1" x14ac:dyDescent="0.25">
      <c r="A623" s="135"/>
      <c r="B623" s="135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</row>
    <row r="624" spans="1:26" ht="14.25" customHeight="1" x14ac:dyDescent="0.25">
      <c r="A624" s="135"/>
      <c r="B624" s="135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</row>
    <row r="625" spans="1:26" ht="14.25" customHeight="1" x14ac:dyDescent="0.25">
      <c r="A625" s="135"/>
      <c r="B625" s="135"/>
      <c r="C625" s="135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</row>
    <row r="626" spans="1:26" ht="14.25" customHeight="1" x14ac:dyDescent="0.25">
      <c r="A626" s="135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</row>
    <row r="627" spans="1:26" ht="14.25" customHeight="1" x14ac:dyDescent="0.25">
      <c r="A627" s="135"/>
      <c r="B627" s="135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</row>
    <row r="628" spans="1:26" ht="14.25" customHeight="1" x14ac:dyDescent="0.25">
      <c r="A628" s="135"/>
      <c r="B628" s="135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</row>
    <row r="629" spans="1:26" ht="14.25" customHeight="1" x14ac:dyDescent="0.25">
      <c r="A629" s="135"/>
      <c r="B629" s="135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</row>
    <row r="630" spans="1:26" ht="14.25" customHeight="1" x14ac:dyDescent="0.25">
      <c r="A630" s="135"/>
      <c r="B630" s="135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</row>
    <row r="631" spans="1:26" ht="14.25" customHeight="1" x14ac:dyDescent="0.25">
      <c r="A631" s="135"/>
      <c r="B631" s="135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</row>
    <row r="632" spans="1:26" ht="14.25" customHeight="1" x14ac:dyDescent="0.25">
      <c r="A632" s="135"/>
      <c r="B632" s="135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</row>
    <row r="633" spans="1:26" ht="14.25" customHeight="1" x14ac:dyDescent="0.25">
      <c r="A633" s="135"/>
      <c r="B633" s="135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</row>
    <row r="634" spans="1:26" ht="14.25" customHeight="1" x14ac:dyDescent="0.25">
      <c r="A634" s="135"/>
      <c r="B634" s="135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</row>
    <row r="635" spans="1:26" ht="14.25" customHeight="1" x14ac:dyDescent="0.25">
      <c r="A635" s="135"/>
      <c r="B635" s="135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</row>
    <row r="636" spans="1:26" ht="14.25" customHeight="1" x14ac:dyDescent="0.25">
      <c r="A636" s="135"/>
      <c r="B636" s="135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</row>
    <row r="637" spans="1:26" ht="14.25" customHeight="1" x14ac:dyDescent="0.25">
      <c r="A637" s="135"/>
      <c r="B637" s="135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</row>
    <row r="638" spans="1:26" ht="14.25" customHeight="1" x14ac:dyDescent="0.25">
      <c r="A638" s="135"/>
      <c r="B638" s="135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</row>
    <row r="639" spans="1:26" ht="14.25" customHeight="1" x14ac:dyDescent="0.25">
      <c r="A639" s="135"/>
      <c r="B639" s="135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</row>
    <row r="640" spans="1:26" ht="14.25" customHeight="1" x14ac:dyDescent="0.25">
      <c r="A640" s="135"/>
      <c r="B640" s="135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</row>
    <row r="641" spans="1:26" ht="14.25" customHeight="1" x14ac:dyDescent="0.25">
      <c r="A641" s="135"/>
      <c r="B641" s="135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</row>
    <row r="642" spans="1:26" ht="14.25" customHeight="1" x14ac:dyDescent="0.25">
      <c r="A642" s="135"/>
      <c r="B642" s="135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</row>
    <row r="643" spans="1:26" ht="14.25" customHeight="1" x14ac:dyDescent="0.25">
      <c r="A643" s="135"/>
      <c r="B643" s="135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</row>
    <row r="644" spans="1:26" ht="14.25" customHeight="1" x14ac:dyDescent="0.25">
      <c r="A644" s="135"/>
      <c r="B644" s="135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</row>
    <row r="645" spans="1:26" ht="14.25" customHeight="1" x14ac:dyDescent="0.25">
      <c r="A645" s="135"/>
      <c r="B645" s="135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</row>
    <row r="646" spans="1:26" ht="14.25" customHeight="1" x14ac:dyDescent="0.25">
      <c r="A646" s="135"/>
      <c r="B646" s="135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</row>
    <row r="647" spans="1:26" ht="14.25" customHeight="1" x14ac:dyDescent="0.25">
      <c r="A647" s="135"/>
      <c r="B647" s="135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</row>
    <row r="648" spans="1:26" ht="14.25" customHeight="1" x14ac:dyDescent="0.25">
      <c r="A648" s="135"/>
      <c r="B648" s="135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</row>
    <row r="649" spans="1:26" ht="14.25" customHeight="1" x14ac:dyDescent="0.25">
      <c r="A649" s="135"/>
      <c r="B649" s="135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</row>
    <row r="650" spans="1:26" ht="14.25" customHeight="1" x14ac:dyDescent="0.25">
      <c r="A650" s="135"/>
      <c r="B650" s="135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</row>
    <row r="651" spans="1:26" ht="14.25" customHeight="1" x14ac:dyDescent="0.25">
      <c r="A651" s="135"/>
      <c r="B651" s="135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</row>
    <row r="652" spans="1:26" ht="14.25" customHeight="1" x14ac:dyDescent="0.25">
      <c r="A652" s="135"/>
      <c r="B652" s="135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</row>
    <row r="653" spans="1:26" ht="14.25" customHeight="1" x14ac:dyDescent="0.25">
      <c r="A653" s="135"/>
      <c r="B653" s="135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</row>
    <row r="654" spans="1:26" ht="14.25" customHeight="1" x14ac:dyDescent="0.25">
      <c r="A654" s="135"/>
      <c r="B654" s="135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</row>
    <row r="655" spans="1:26" ht="14.25" customHeight="1" x14ac:dyDescent="0.25">
      <c r="A655" s="135"/>
      <c r="B655" s="135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</row>
    <row r="656" spans="1:26" ht="14.25" customHeight="1" x14ac:dyDescent="0.25">
      <c r="A656" s="135"/>
      <c r="B656" s="135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</row>
    <row r="657" spans="1:26" ht="14.25" customHeight="1" x14ac:dyDescent="0.25">
      <c r="A657" s="135"/>
      <c r="B657" s="135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</row>
    <row r="658" spans="1:26" ht="14.25" customHeight="1" x14ac:dyDescent="0.25">
      <c r="A658" s="135"/>
      <c r="B658" s="135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</row>
    <row r="659" spans="1:26" ht="14.25" customHeight="1" x14ac:dyDescent="0.25">
      <c r="A659" s="135"/>
      <c r="B659" s="135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</row>
    <row r="660" spans="1:26" ht="14.25" customHeight="1" x14ac:dyDescent="0.25">
      <c r="A660" s="135"/>
      <c r="B660" s="135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</row>
    <row r="661" spans="1:26" ht="14.25" customHeight="1" x14ac:dyDescent="0.25">
      <c r="A661" s="135"/>
      <c r="B661" s="135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</row>
    <row r="662" spans="1:26" ht="14.25" customHeight="1" x14ac:dyDescent="0.25">
      <c r="A662" s="135"/>
      <c r="B662" s="135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</row>
    <row r="663" spans="1:26" ht="14.25" customHeight="1" x14ac:dyDescent="0.25">
      <c r="A663" s="135"/>
      <c r="B663" s="135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</row>
    <row r="664" spans="1:26" ht="14.25" customHeight="1" x14ac:dyDescent="0.25">
      <c r="A664" s="135"/>
      <c r="B664" s="135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</row>
    <row r="665" spans="1:26" ht="14.25" customHeight="1" x14ac:dyDescent="0.25">
      <c r="A665" s="135"/>
      <c r="B665" s="135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</row>
    <row r="666" spans="1:26" ht="14.25" customHeight="1" x14ac:dyDescent="0.25">
      <c r="A666" s="135"/>
      <c r="B666" s="135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</row>
    <row r="667" spans="1:26" ht="14.25" customHeight="1" x14ac:dyDescent="0.25">
      <c r="A667" s="135"/>
      <c r="B667" s="135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</row>
    <row r="668" spans="1:26" ht="14.25" customHeight="1" x14ac:dyDescent="0.25">
      <c r="A668" s="135"/>
      <c r="B668" s="135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</row>
    <row r="669" spans="1:26" ht="14.25" customHeight="1" x14ac:dyDescent="0.25">
      <c r="A669" s="135"/>
      <c r="B669" s="135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</row>
    <row r="670" spans="1:26" ht="14.25" customHeight="1" x14ac:dyDescent="0.25">
      <c r="A670" s="135"/>
      <c r="B670" s="135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</row>
    <row r="671" spans="1:26" ht="14.25" customHeight="1" x14ac:dyDescent="0.25">
      <c r="A671" s="135"/>
      <c r="B671" s="135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</row>
    <row r="672" spans="1:26" ht="14.25" customHeight="1" x14ac:dyDescent="0.25">
      <c r="A672" s="135"/>
      <c r="B672" s="135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</row>
    <row r="673" spans="1:26" ht="14.25" customHeight="1" x14ac:dyDescent="0.25">
      <c r="A673" s="135"/>
      <c r="B673" s="135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</row>
    <row r="674" spans="1:26" ht="14.25" customHeight="1" x14ac:dyDescent="0.25">
      <c r="A674" s="135"/>
      <c r="B674" s="135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</row>
    <row r="675" spans="1:26" ht="14.25" customHeight="1" x14ac:dyDescent="0.25">
      <c r="A675" s="135"/>
      <c r="B675" s="135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</row>
    <row r="676" spans="1:26" ht="14.25" customHeight="1" x14ac:dyDescent="0.25">
      <c r="A676" s="135"/>
      <c r="B676" s="135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</row>
    <row r="677" spans="1:26" ht="14.25" customHeight="1" x14ac:dyDescent="0.25">
      <c r="A677" s="135"/>
      <c r="B677" s="135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</row>
    <row r="678" spans="1:26" ht="14.25" customHeight="1" x14ac:dyDescent="0.25">
      <c r="A678" s="135"/>
      <c r="B678" s="135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</row>
    <row r="679" spans="1:26" ht="14.25" customHeight="1" x14ac:dyDescent="0.25">
      <c r="A679" s="135"/>
      <c r="B679" s="135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</row>
    <row r="680" spans="1:26" ht="14.25" customHeight="1" x14ac:dyDescent="0.25">
      <c r="A680" s="135"/>
      <c r="B680" s="135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</row>
    <row r="681" spans="1:26" ht="14.25" customHeight="1" x14ac:dyDescent="0.25">
      <c r="A681" s="135"/>
      <c r="B681" s="135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</row>
    <row r="682" spans="1:26" ht="14.25" customHeight="1" x14ac:dyDescent="0.25">
      <c r="A682" s="135"/>
      <c r="B682" s="135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</row>
    <row r="683" spans="1:26" ht="14.25" customHeight="1" x14ac:dyDescent="0.25">
      <c r="A683" s="135"/>
      <c r="B683" s="135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</row>
    <row r="684" spans="1:26" ht="14.25" customHeight="1" x14ac:dyDescent="0.25">
      <c r="A684" s="135"/>
      <c r="B684" s="135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</row>
    <row r="685" spans="1:26" ht="14.25" customHeight="1" x14ac:dyDescent="0.25">
      <c r="A685" s="135"/>
      <c r="B685" s="135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</row>
    <row r="686" spans="1:26" ht="14.25" customHeight="1" x14ac:dyDescent="0.25">
      <c r="A686" s="135"/>
      <c r="B686" s="135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</row>
    <row r="687" spans="1:26" ht="14.25" customHeight="1" x14ac:dyDescent="0.25">
      <c r="A687" s="135"/>
      <c r="B687" s="135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</row>
    <row r="688" spans="1:26" ht="14.25" customHeight="1" x14ac:dyDescent="0.25">
      <c r="A688" s="135"/>
      <c r="B688" s="135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</row>
    <row r="689" spans="1:26" ht="14.25" customHeight="1" x14ac:dyDescent="0.25">
      <c r="A689" s="135"/>
      <c r="B689" s="135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</row>
    <row r="690" spans="1:26" ht="14.25" customHeight="1" x14ac:dyDescent="0.25">
      <c r="A690" s="135"/>
      <c r="B690" s="135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</row>
    <row r="691" spans="1:26" ht="14.25" customHeight="1" x14ac:dyDescent="0.25">
      <c r="A691" s="135"/>
      <c r="B691" s="135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</row>
    <row r="692" spans="1:26" ht="14.25" customHeight="1" x14ac:dyDescent="0.25">
      <c r="A692" s="135"/>
      <c r="B692" s="135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</row>
    <row r="693" spans="1:26" ht="14.25" customHeight="1" x14ac:dyDescent="0.25">
      <c r="A693" s="135"/>
      <c r="B693" s="135"/>
      <c r="C693" s="135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</row>
    <row r="694" spans="1:26" ht="14.25" customHeight="1" x14ac:dyDescent="0.25">
      <c r="A694" s="135"/>
      <c r="B694" s="135"/>
      <c r="C694" s="135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</row>
    <row r="695" spans="1:26" ht="14.25" customHeight="1" x14ac:dyDescent="0.25">
      <c r="A695" s="135"/>
      <c r="B695" s="135"/>
      <c r="C695" s="135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</row>
    <row r="696" spans="1:26" ht="14.25" customHeight="1" x14ac:dyDescent="0.25">
      <c r="A696" s="135"/>
      <c r="B696" s="135"/>
      <c r="C696" s="135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</row>
    <row r="697" spans="1:26" ht="14.25" customHeight="1" x14ac:dyDescent="0.25">
      <c r="A697" s="135"/>
      <c r="B697" s="135"/>
      <c r="C697" s="135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</row>
    <row r="698" spans="1:26" ht="14.25" customHeight="1" x14ac:dyDescent="0.25">
      <c r="A698" s="135"/>
      <c r="B698" s="135"/>
      <c r="C698" s="135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</row>
    <row r="699" spans="1:26" ht="14.25" customHeight="1" x14ac:dyDescent="0.25">
      <c r="A699" s="135"/>
      <c r="B699" s="135"/>
      <c r="C699" s="135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</row>
    <row r="700" spans="1:26" ht="14.25" customHeight="1" x14ac:dyDescent="0.25">
      <c r="A700" s="135"/>
      <c r="B700" s="135"/>
      <c r="C700" s="135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</row>
    <row r="701" spans="1:26" ht="14.25" customHeight="1" x14ac:dyDescent="0.25">
      <c r="A701" s="135"/>
      <c r="B701" s="135"/>
      <c r="C701" s="135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</row>
    <row r="702" spans="1:26" ht="14.25" customHeight="1" x14ac:dyDescent="0.25">
      <c r="A702" s="135"/>
      <c r="B702" s="135"/>
      <c r="C702" s="135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</row>
    <row r="703" spans="1:26" ht="14.25" customHeight="1" x14ac:dyDescent="0.25">
      <c r="A703" s="135"/>
      <c r="B703" s="135"/>
      <c r="C703" s="135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</row>
    <row r="704" spans="1:26" ht="14.25" customHeight="1" x14ac:dyDescent="0.25">
      <c r="A704" s="135"/>
      <c r="B704" s="135"/>
      <c r="C704" s="135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</row>
    <row r="705" spans="1:26" ht="14.25" customHeight="1" x14ac:dyDescent="0.25">
      <c r="A705" s="135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</row>
    <row r="706" spans="1:26" ht="14.25" customHeight="1" x14ac:dyDescent="0.25">
      <c r="A706" s="135"/>
      <c r="B706" s="135"/>
      <c r="C706" s="135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</row>
    <row r="707" spans="1:26" ht="14.25" customHeight="1" x14ac:dyDescent="0.25">
      <c r="A707" s="135"/>
      <c r="B707" s="135"/>
      <c r="C707" s="135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</row>
    <row r="708" spans="1:26" ht="14.25" customHeight="1" x14ac:dyDescent="0.25">
      <c r="A708" s="135"/>
      <c r="B708" s="135"/>
      <c r="C708" s="135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</row>
    <row r="709" spans="1:26" ht="14.25" customHeight="1" x14ac:dyDescent="0.25">
      <c r="A709" s="135"/>
      <c r="B709" s="135"/>
      <c r="C709" s="135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</row>
    <row r="710" spans="1:26" ht="14.25" customHeight="1" x14ac:dyDescent="0.25">
      <c r="A710" s="135"/>
      <c r="B710" s="135"/>
      <c r="C710" s="135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</row>
    <row r="711" spans="1:26" ht="14.25" customHeight="1" x14ac:dyDescent="0.25">
      <c r="A711" s="135"/>
      <c r="B711" s="135"/>
      <c r="C711" s="135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</row>
    <row r="712" spans="1:26" ht="14.25" customHeight="1" x14ac:dyDescent="0.25">
      <c r="A712" s="135"/>
      <c r="B712" s="135"/>
      <c r="C712" s="135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</row>
    <row r="713" spans="1:26" ht="14.25" customHeight="1" x14ac:dyDescent="0.25">
      <c r="A713" s="135"/>
      <c r="B713" s="135"/>
      <c r="C713" s="135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</row>
    <row r="714" spans="1:26" ht="14.25" customHeight="1" x14ac:dyDescent="0.25">
      <c r="A714" s="135"/>
      <c r="B714" s="135"/>
      <c r="C714" s="135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</row>
    <row r="715" spans="1:26" ht="14.25" customHeight="1" x14ac:dyDescent="0.25">
      <c r="A715" s="135"/>
      <c r="B715" s="135"/>
      <c r="C715" s="135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</row>
    <row r="716" spans="1:26" ht="14.25" customHeight="1" x14ac:dyDescent="0.25">
      <c r="A716" s="135"/>
      <c r="B716" s="135"/>
      <c r="C716" s="135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</row>
    <row r="717" spans="1:26" ht="14.25" customHeight="1" x14ac:dyDescent="0.25">
      <c r="A717" s="135"/>
      <c r="B717" s="135"/>
      <c r="C717" s="135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</row>
    <row r="718" spans="1:26" ht="14.25" customHeight="1" x14ac:dyDescent="0.25">
      <c r="A718" s="135"/>
      <c r="B718" s="135"/>
      <c r="C718" s="135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</row>
    <row r="719" spans="1:26" ht="14.25" customHeight="1" x14ac:dyDescent="0.25">
      <c r="A719" s="135"/>
      <c r="B719" s="135"/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</row>
    <row r="720" spans="1:26" ht="14.25" customHeight="1" x14ac:dyDescent="0.25">
      <c r="A720" s="135"/>
      <c r="B720" s="135"/>
      <c r="C720" s="135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</row>
    <row r="721" spans="1:26" ht="14.25" customHeight="1" x14ac:dyDescent="0.25">
      <c r="A721" s="135"/>
      <c r="B721" s="135"/>
      <c r="C721" s="135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</row>
    <row r="722" spans="1:26" ht="14.25" customHeight="1" x14ac:dyDescent="0.25">
      <c r="A722" s="135"/>
      <c r="B722" s="135"/>
      <c r="C722" s="135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</row>
    <row r="723" spans="1:26" ht="14.25" customHeight="1" x14ac:dyDescent="0.25">
      <c r="A723" s="135"/>
      <c r="B723" s="135"/>
      <c r="C723" s="135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</row>
    <row r="724" spans="1:26" ht="14.25" customHeight="1" x14ac:dyDescent="0.25">
      <c r="A724" s="135"/>
      <c r="B724" s="135"/>
      <c r="C724" s="135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</row>
    <row r="725" spans="1:26" ht="14.25" customHeight="1" x14ac:dyDescent="0.25">
      <c r="A725" s="135"/>
      <c r="B725" s="135"/>
      <c r="C725" s="135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</row>
    <row r="726" spans="1:26" ht="14.25" customHeight="1" x14ac:dyDescent="0.25">
      <c r="A726" s="135"/>
      <c r="B726" s="135"/>
      <c r="C726" s="135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</row>
    <row r="727" spans="1:26" ht="14.25" customHeight="1" x14ac:dyDescent="0.25">
      <c r="A727" s="135"/>
      <c r="B727" s="135"/>
      <c r="C727" s="135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</row>
    <row r="728" spans="1:26" ht="14.25" customHeight="1" x14ac:dyDescent="0.25">
      <c r="A728" s="135"/>
      <c r="B728" s="135"/>
      <c r="C728" s="135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</row>
    <row r="729" spans="1:26" ht="14.25" customHeight="1" x14ac:dyDescent="0.25">
      <c r="A729" s="135"/>
      <c r="B729" s="135"/>
      <c r="C729" s="135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</row>
    <row r="730" spans="1:26" ht="14.25" customHeight="1" x14ac:dyDescent="0.25">
      <c r="A730" s="135"/>
      <c r="B730" s="135"/>
      <c r="C730" s="135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</row>
    <row r="731" spans="1:26" ht="14.25" customHeight="1" x14ac:dyDescent="0.25">
      <c r="A731" s="135"/>
      <c r="B731" s="135"/>
      <c r="C731" s="135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</row>
    <row r="732" spans="1:26" ht="14.25" customHeight="1" x14ac:dyDescent="0.25">
      <c r="A732" s="135"/>
      <c r="B732" s="135"/>
      <c r="C732" s="135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</row>
    <row r="733" spans="1:26" ht="14.25" customHeight="1" x14ac:dyDescent="0.25">
      <c r="A733" s="135"/>
      <c r="B733" s="135"/>
      <c r="C733" s="135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</row>
    <row r="734" spans="1:26" ht="14.25" customHeight="1" x14ac:dyDescent="0.25">
      <c r="A734" s="135"/>
      <c r="B734" s="135"/>
      <c r="C734" s="135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</row>
    <row r="735" spans="1:26" ht="14.25" customHeight="1" x14ac:dyDescent="0.25">
      <c r="A735" s="135"/>
      <c r="B735" s="135"/>
      <c r="C735" s="135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</row>
    <row r="736" spans="1:26" ht="14.25" customHeight="1" x14ac:dyDescent="0.25">
      <c r="A736" s="135"/>
      <c r="B736" s="135"/>
      <c r="C736" s="135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</row>
    <row r="737" spans="1:26" ht="14.25" customHeight="1" x14ac:dyDescent="0.25">
      <c r="A737" s="135"/>
      <c r="B737" s="135"/>
      <c r="C737" s="135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</row>
    <row r="738" spans="1:26" ht="14.25" customHeight="1" x14ac:dyDescent="0.25">
      <c r="A738" s="135"/>
      <c r="B738" s="135"/>
      <c r="C738" s="135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</row>
    <row r="739" spans="1:26" ht="14.25" customHeight="1" x14ac:dyDescent="0.25">
      <c r="A739" s="135"/>
      <c r="B739" s="135"/>
      <c r="C739" s="135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</row>
    <row r="740" spans="1:26" ht="14.25" customHeight="1" x14ac:dyDescent="0.25">
      <c r="A740" s="135"/>
      <c r="B740" s="135"/>
      <c r="C740" s="135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</row>
    <row r="741" spans="1:26" ht="14.25" customHeight="1" x14ac:dyDescent="0.25">
      <c r="A741" s="135"/>
      <c r="B741" s="135"/>
      <c r="C741" s="135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</row>
    <row r="742" spans="1:26" ht="14.25" customHeight="1" x14ac:dyDescent="0.25">
      <c r="A742" s="135"/>
      <c r="B742" s="135"/>
      <c r="C742" s="135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</row>
    <row r="743" spans="1:26" ht="14.25" customHeight="1" x14ac:dyDescent="0.25">
      <c r="A743" s="135"/>
      <c r="B743" s="135"/>
      <c r="C743" s="135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</row>
    <row r="744" spans="1:26" ht="14.25" customHeight="1" x14ac:dyDescent="0.25">
      <c r="A744" s="135"/>
      <c r="B744" s="135"/>
      <c r="C744" s="135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</row>
    <row r="745" spans="1:26" ht="14.25" customHeight="1" x14ac:dyDescent="0.25">
      <c r="A745" s="135"/>
      <c r="B745" s="135"/>
      <c r="C745" s="135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</row>
    <row r="746" spans="1:26" ht="14.25" customHeight="1" x14ac:dyDescent="0.25">
      <c r="A746" s="135"/>
      <c r="B746" s="135"/>
      <c r="C746" s="135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</row>
    <row r="747" spans="1:26" ht="14.25" customHeight="1" x14ac:dyDescent="0.25">
      <c r="A747" s="135"/>
      <c r="B747" s="135"/>
      <c r="C747" s="135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</row>
    <row r="748" spans="1:26" ht="14.25" customHeight="1" x14ac:dyDescent="0.25">
      <c r="A748" s="135"/>
      <c r="B748" s="135"/>
      <c r="C748" s="135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</row>
    <row r="749" spans="1:26" ht="14.25" customHeight="1" x14ac:dyDescent="0.25">
      <c r="A749" s="135"/>
      <c r="B749" s="135"/>
      <c r="C749" s="135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</row>
    <row r="750" spans="1:26" ht="14.25" customHeight="1" x14ac:dyDescent="0.25">
      <c r="A750" s="135"/>
      <c r="B750" s="135"/>
      <c r="C750" s="135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</row>
    <row r="751" spans="1:26" ht="14.25" customHeight="1" x14ac:dyDescent="0.25">
      <c r="A751" s="135"/>
      <c r="B751" s="135"/>
      <c r="C751" s="135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</row>
    <row r="752" spans="1:26" ht="14.25" customHeight="1" x14ac:dyDescent="0.25">
      <c r="A752" s="135"/>
      <c r="B752" s="135"/>
      <c r="C752" s="135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</row>
    <row r="753" spans="1:26" ht="14.25" customHeight="1" x14ac:dyDescent="0.25">
      <c r="A753" s="135"/>
      <c r="B753" s="135"/>
      <c r="C753" s="135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</row>
    <row r="754" spans="1:26" ht="14.25" customHeight="1" x14ac:dyDescent="0.25">
      <c r="A754" s="135"/>
      <c r="B754" s="135"/>
      <c r="C754" s="135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</row>
    <row r="755" spans="1:26" ht="14.25" customHeight="1" x14ac:dyDescent="0.25">
      <c r="A755" s="135"/>
      <c r="B755" s="135"/>
      <c r="C755" s="135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</row>
    <row r="756" spans="1:26" ht="14.25" customHeight="1" x14ac:dyDescent="0.25">
      <c r="A756" s="135"/>
      <c r="B756" s="135"/>
      <c r="C756" s="135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</row>
    <row r="757" spans="1:26" ht="14.25" customHeight="1" x14ac:dyDescent="0.25">
      <c r="A757" s="135"/>
      <c r="B757" s="135"/>
      <c r="C757" s="135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</row>
    <row r="758" spans="1:26" ht="14.25" customHeight="1" x14ac:dyDescent="0.25">
      <c r="A758" s="135"/>
      <c r="B758" s="135"/>
      <c r="C758" s="135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</row>
    <row r="759" spans="1:26" ht="14.25" customHeight="1" x14ac:dyDescent="0.25">
      <c r="A759" s="135"/>
      <c r="B759" s="135"/>
      <c r="C759" s="135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</row>
    <row r="760" spans="1:26" ht="14.25" customHeight="1" x14ac:dyDescent="0.25">
      <c r="A760" s="135"/>
      <c r="B760" s="135"/>
      <c r="C760" s="135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</row>
    <row r="761" spans="1:26" ht="14.25" customHeight="1" x14ac:dyDescent="0.25">
      <c r="A761" s="135"/>
      <c r="B761" s="135"/>
      <c r="C761" s="135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</row>
    <row r="762" spans="1:26" ht="14.25" customHeight="1" x14ac:dyDescent="0.25">
      <c r="A762" s="135"/>
      <c r="B762" s="135"/>
      <c r="C762" s="135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</row>
    <row r="763" spans="1:26" ht="14.25" customHeight="1" x14ac:dyDescent="0.25">
      <c r="A763" s="135"/>
      <c r="B763" s="135"/>
      <c r="C763" s="135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</row>
    <row r="764" spans="1:26" ht="14.25" customHeight="1" x14ac:dyDescent="0.25">
      <c r="A764" s="135"/>
      <c r="B764" s="135"/>
      <c r="C764" s="135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</row>
    <row r="765" spans="1:26" ht="14.25" customHeight="1" x14ac:dyDescent="0.25">
      <c r="A765" s="135"/>
      <c r="B765" s="135"/>
      <c r="C765" s="135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</row>
    <row r="766" spans="1:26" ht="14.25" customHeight="1" x14ac:dyDescent="0.25">
      <c r="A766" s="135"/>
      <c r="B766" s="135"/>
      <c r="C766" s="135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</row>
    <row r="767" spans="1:26" ht="14.25" customHeight="1" x14ac:dyDescent="0.25">
      <c r="A767" s="135"/>
      <c r="B767" s="135"/>
      <c r="C767" s="135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</row>
    <row r="768" spans="1:26" ht="14.25" customHeight="1" x14ac:dyDescent="0.25">
      <c r="A768" s="135"/>
      <c r="B768" s="135"/>
      <c r="C768" s="135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</row>
    <row r="769" spans="1:26" ht="14.25" customHeight="1" x14ac:dyDescent="0.25">
      <c r="A769" s="135"/>
      <c r="B769" s="135"/>
      <c r="C769" s="135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</row>
    <row r="770" spans="1:26" ht="14.25" customHeight="1" x14ac:dyDescent="0.25">
      <c r="A770" s="135"/>
      <c r="B770" s="135"/>
      <c r="C770" s="135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</row>
    <row r="771" spans="1:26" ht="14.25" customHeight="1" x14ac:dyDescent="0.25">
      <c r="A771" s="135"/>
      <c r="B771" s="135"/>
      <c r="C771" s="135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</row>
    <row r="772" spans="1:26" ht="14.25" customHeight="1" x14ac:dyDescent="0.25">
      <c r="A772" s="135"/>
      <c r="B772" s="135"/>
      <c r="C772" s="135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</row>
    <row r="773" spans="1:26" ht="14.25" customHeight="1" x14ac:dyDescent="0.25">
      <c r="A773" s="135"/>
      <c r="B773" s="135"/>
      <c r="C773" s="135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</row>
    <row r="774" spans="1:26" ht="14.25" customHeight="1" x14ac:dyDescent="0.25">
      <c r="A774" s="135"/>
      <c r="B774" s="135"/>
      <c r="C774" s="135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</row>
    <row r="775" spans="1:26" ht="14.25" customHeight="1" x14ac:dyDescent="0.25">
      <c r="A775" s="135"/>
      <c r="B775" s="135"/>
      <c r="C775" s="135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</row>
    <row r="776" spans="1:26" ht="14.25" customHeight="1" x14ac:dyDescent="0.25">
      <c r="A776" s="135"/>
      <c r="B776" s="135"/>
      <c r="C776" s="135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</row>
    <row r="777" spans="1:26" ht="14.25" customHeight="1" x14ac:dyDescent="0.25">
      <c r="A777" s="135"/>
      <c r="B777" s="135"/>
      <c r="C777" s="135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</row>
    <row r="778" spans="1:26" ht="14.25" customHeight="1" x14ac:dyDescent="0.25">
      <c r="A778" s="135"/>
      <c r="B778" s="135"/>
      <c r="C778" s="135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</row>
    <row r="779" spans="1:26" ht="14.25" customHeight="1" x14ac:dyDescent="0.25">
      <c r="A779" s="135"/>
      <c r="B779" s="135"/>
      <c r="C779" s="135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</row>
    <row r="780" spans="1:26" ht="14.25" customHeight="1" x14ac:dyDescent="0.25">
      <c r="A780" s="135"/>
      <c r="B780" s="135"/>
      <c r="C780" s="135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</row>
    <row r="781" spans="1:26" ht="14.25" customHeight="1" x14ac:dyDescent="0.25">
      <c r="A781" s="135"/>
      <c r="B781" s="135"/>
      <c r="C781" s="135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</row>
    <row r="782" spans="1:26" ht="14.25" customHeight="1" x14ac:dyDescent="0.25">
      <c r="A782" s="135"/>
      <c r="B782" s="135"/>
      <c r="C782" s="135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</row>
    <row r="783" spans="1:26" ht="14.25" customHeight="1" x14ac:dyDescent="0.25">
      <c r="A783" s="135"/>
      <c r="B783" s="135"/>
      <c r="C783" s="135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</row>
    <row r="784" spans="1:26" ht="14.25" customHeight="1" x14ac:dyDescent="0.25">
      <c r="A784" s="135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</row>
    <row r="785" spans="1:26" ht="14.25" customHeight="1" x14ac:dyDescent="0.25">
      <c r="A785" s="135"/>
      <c r="B785" s="135"/>
      <c r="C785" s="135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</row>
    <row r="786" spans="1:26" ht="14.25" customHeight="1" x14ac:dyDescent="0.25">
      <c r="A786" s="135"/>
      <c r="B786" s="135"/>
      <c r="C786" s="135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</row>
    <row r="787" spans="1:26" ht="14.25" customHeight="1" x14ac:dyDescent="0.25">
      <c r="A787" s="135"/>
      <c r="B787" s="135"/>
      <c r="C787" s="135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</row>
    <row r="788" spans="1:26" ht="14.25" customHeight="1" x14ac:dyDescent="0.25">
      <c r="A788" s="135"/>
      <c r="B788" s="135"/>
      <c r="C788" s="135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</row>
    <row r="789" spans="1:26" ht="14.25" customHeight="1" x14ac:dyDescent="0.25">
      <c r="A789" s="135"/>
      <c r="B789" s="135"/>
      <c r="C789" s="135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</row>
    <row r="790" spans="1:26" ht="14.25" customHeight="1" x14ac:dyDescent="0.25">
      <c r="A790" s="135"/>
      <c r="B790" s="135"/>
      <c r="C790" s="135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</row>
    <row r="791" spans="1:26" ht="14.25" customHeight="1" x14ac:dyDescent="0.25">
      <c r="A791" s="135"/>
      <c r="B791" s="135"/>
      <c r="C791" s="135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</row>
    <row r="792" spans="1:26" ht="14.25" customHeight="1" x14ac:dyDescent="0.25">
      <c r="A792" s="135"/>
      <c r="B792" s="135"/>
      <c r="C792" s="135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</row>
    <row r="793" spans="1:26" ht="14.25" customHeight="1" x14ac:dyDescent="0.25">
      <c r="A793" s="135"/>
      <c r="B793" s="135"/>
      <c r="C793" s="135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</row>
    <row r="794" spans="1:26" ht="14.25" customHeight="1" x14ac:dyDescent="0.25">
      <c r="A794" s="135"/>
      <c r="B794" s="135"/>
      <c r="C794" s="135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</row>
    <row r="795" spans="1:26" ht="14.25" customHeight="1" x14ac:dyDescent="0.25">
      <c r="A795" s="135"/>
      <c r="B795" s="135"/>
      <c r="C795" s="135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</row>
    <row r="796" spans="1:26" ht="14.25" customHeight="1" x14ac:dyDescent="0.25">
      <c r="A796" s="135"/>
      <c r="B796" s="135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</row>
    <row r="797" spans="1:26" ht="14.25" customHeight="1" x14ac:dyDescent="0.25">
      <c r="A797" s="135"/>
      <c r="B797" s="135"/>
      <c r="C797" s="135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</row>
    <row r="798" spans="1:26" ht="14.25" customHeight="1" x14ac:dyDescent="0.25">
      <c r="A798" s="135"/>
      <c r="B798" s="135"/>
      <c r="C798" s="135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</row>
    <row r="799" spans="1:26" ht="14.25" customHeight="1" x14ac:dyDescent="0.25">
      <c r="A799" s="135"/>
      <c r="B799" s="135"/>
      <c r="C799" s="135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</row>
    <row r="800" spans="1:26" ht="14.25" customHeight="1" x14ac:dyDescent="0.25">
      <c r="A800" s="135"/>
      <c r="B800" s="135"/>
      <c r="C800" s="135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</row>
    <row r="801" spans="1:26" ht="14.25" customHeight="1" x14ac:dyDescent="0.25">
      <c r="A801" s="135"/>
      <c r="B801" s="135"/>
      <c r="C801" s="135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</row>
    <row r="802" spans="1:26" ht="14.25" customHeight="1" x14ac:dyDescent="0.25">
      <c r="A802" s="135"/>
      <c r="B802" s="135"/>
      <c r="C802" s="135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</row>
    <row r="803" spans="1:26" ht="14.25" customHeight="1" x14ac:dyDescent="0.25">
      <c r="A803" s="135"/>
      <c r="B803" s="135"/>
      <c r="C803" s="135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</row>
    <row r="804" spans="1:26" ht="14.25" customHeight="1" x14ac:dyDescent="0.25">
      <c r="A804" s="135"/>
      <c r="B804" s="135"/>
      <c r="C804" s="135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</row>
    <row r="805" spans="1:26" ht="14.25" customHeight="1" x14ac:dyDescent="0.25">
      <c r="A805" s="135"/>
      <c r="B805" s="135"/>
      <c r="C805" s="135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</row>
    <row r="806" spans="1:26" ht="14.25" customHeight="1" x14ac:dyDescent="0.25">
      <c r="A806" s="135"/>
      <c r="B806" s="135"/>
      <c r="C806" s="135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</row>
    <row r="807" spans="1:26" ht="14.25" customHeight="1" x14ac:dyDescent="0.25">
      <c r="A807" s="135"/>
      <c r="B807" s="135"/>
      <c r="C807" s="135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</row>
    <row r="808" spans="1:26" ht="14.25" customHeight="1" x14ac:dyDescent="0.25">
      <c r="A808" s="135"/>
      <c r="B808" s="135"/>
      <c r="C808" s="135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</row>
    <row r="809" spans="1:26" ht="14.25" customHeight="1" x14ac:dyDescent="0.25">
      <c r="A809" s="135"/>
      <c r="B809" s="135"/>
      <c r="C809" s="135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</row>
    <row r="810" spans="1:26" ht="14.25" customHeight="1" x14ac:dyDescent="0.25">
      <c r="A810" s="135"/>
      <c r="B810" s="135"/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</row>
    <row r="811" spans="1:26" ht="14.25" customHeight="1" x14ac:dyDescent="0.25">
      <c r="A811" s="135"/>
      <c r="B811" s="135"/>
      <c r="C811" s="135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</row>
    <row r="812" spans="1:26" ht="14.25" customHeight="1" x14ac:dyDescent="0.25">
      <c r="A812" s="135"/>
      <c r="B812" s="135"/>
      <c r="C812" s="135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</row>
    <row r="813" spans="1:26" ht="14.25" customHeight="1" x14ac:dyDescent="0.25">
      <c r="A813" s="135"/>
      <c r="B813" s="135"/>
      <c r="C813" s="135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</row>
    <row r="814" spans="1:26" ht="14.25" customHeight="1" x14ac:dyDescent="0.25">
      <c r="A814" s="135"/>
      <c r="B814" s="135"/>
      <c r="C814" s="135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</row>
    <row r="815" spans="1:26" ht="14.25" customHeight="1" x14ac:dyDescent="0.25">
      <c r="A815" s="135"/>
      <c r="B815" s="135"/>
      <c r="C815" s="135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</row>
    <row r="816" spans="1:26" ht="14.25" customHeight="1" x14ac:dyDescent="0.25">
      <c r="A816" s="135"/>
      <c r="B816" s="135"/>
      <c r="C816" s="135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</row>
    <row r="817" spans="1:26" ht="14.25" customHeight="1" x14ac:dyDescent="0.25">
      <c r="A817" s="135"/>
      <c r="B817" s="135"/>
      <c r="C817" s="135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</row>
    <row r="818" spans="1:26" ht="14.25" customHeight="1" x14ac:dyDescent="0.25">
      <c r="A818" s="135"/>
      <c r="B818" s="135"/>
      <c r="C818" s="135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</row>
    <row r="819" spans="1:26" ht="14.25" customHeight="1" x14ac:dyDescent="0.25">
      <c r="A819" s="135"/>
      <c r="B819" s="135"/>
      <c r="C819" s="135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</row>
    <row r="820" spans="1:26" ht="14.25" customHeight="1" x14ac:dyDescent="0.25">
      <c r="A820" s="135"/>
      <c r="B820" s="135"/>
      <c r="C820" s="135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</row>
    <row r="821" spans="1:26" ht="14.25" customHeight="1" x14ac:dyDescent="0.25">
      <c r="A821" s="135"/>
      <c r="B821" s="135"/>
      <c r="C821" s="135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</row>
    <row r="822" spans="1:26" ht="14.25" customHeight="1" x14ac:dyDescent="0.25">
      <c r="A822" s="135"/>
      <c r="B822" s="135"/>
      <c r="C822" s="135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</row>
    <row r="823" spans="1:26" ht="14.25" customHeight="1" x14ac:dyDescent="0.25">
      <c r="A823" s="135"/>
      <c r="B823" s="135"/>
      <c r="C823" s="135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</row>
    <row r="824" spans="1:26" ht="14.25" customHeight="1" x14ac:dyDescent="0.25">
      <c r="A824" s="135"/>
      <c r="B824" s="135"/>
      <c r="C824" s="135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</row>
    <row r="825" spans="1:26" ht="14.25" customHeight="1" x14ac:dyDescent="0.25">
      <c r="A825" s="135"/>
      <c r="B825" s="135"/>
      <c r="C825" s="135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</row>
    <row r="826" spans="1:26" ht="14.25" customHeight="1" x14ac:dyDescent="0.25">
      <c r="A826" s="135"/>
      <c r="B826" s="135"/>
      <c r="C826" s="135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</row>
    <row r="827" spans="1:26" ht="14.25" customHeight="1" x14ac:dyDescent="0.25">
      <c r="A827" s="135"/>
      <c r="B827" s="135"/>
      <c r="C827" s="135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</row>
    <row r="828" spans="1:26" ht="14.25" customHeight="1" x14ac:dyDescent="0.25">
      <c r="A828" s="135"/>
      <c r="B828" s="135"/>
      <c r="C828" s="135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</row>
    <row r="829" spans="1:26" ht="14.25" customHeight="1" x14ac:dyDescent="0.25">
      <c r="A829" s="135"/>
      <c r="B829" s="135"/>
      <c r="C829" s="135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</row>
    <row r="830" spans="1:26" ht="14.25" customHeight="1" x14ac:dyDescent="0.25">
      <c r="A830" s="135"/>
      <c r="B830" s="135"/>
      <c r="C830" s="135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</row>
    <row r="831" spans="1:26" ht="14.25" customHeight="1" x14ac:dyDescent="0.25">
      <c r="A831" s="135"/>
      <c r="B831" s="135"/>
      <c r="C831" s="135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</row>
    <row r="832" spans="1:26" ht="14.25" customHeight="1" x14ac:dyDescent="0.25">
      <c r="A832" s="135"/>
      <c r="B832" s="135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</row>
    <row r="833" spans="1:26" ht="14.25" customHeight="1" x14ac:dyDescent="0.25">
      <c r="A833" s="135"/>
      <c r="B833" s="135"/>
      <c r="C833" s="135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</row>
    <row r="834" spans="1:26" ht="14.25" customHeight="1" x14ac:dyDescent="0.25">
      <c r="A834" s="135"/>
      <c r="B834" s="135"/>
      <c r="C834" s="135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</row>
    <row r="835" spans="1:26" ht="14.25" customHeight="1" x14ac:dyDescent="0.25">
      <c r="A835" s="135"/>
      <c r="B835" s="135"/>
      <c r="C835" s="135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</row>
    <row r="836" spans="1:26" ht="14.25" customHeight="1" x14ac:dyDescent="0.25">
      <c r="A836" s="135"/>
      <c r="B836" s="135"/>
      <c r="C836" s="135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</row>
    <row r="837" spans="1:26" ht="14.25" customHeight="1" x14ac:dyDescent="0.25">
      <c r="A837" s="135"/>
      <c r="B837" s="135"/>
      <c r="C837" s="135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</row>
    <row r="838" spans="1:26" ht="14.25" customHeight="1" x14ac:dyDescent="0.25">
      <c r="A838" s="135"/>
      <c r="B838" s="135"/>
      <c r="C838" s="135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</row>
    <row r="839" spans="1:26" ht="14.25" customHeight="1" x14ac:dyDescent="0.25">
      <c r="A839" s="135"/>
      <c r="B839" s="135"/>
      <c r="C839" s="135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</row>
    <row r="840" spans="1:26" ht="14.25" customHeight="1" x14ac:dyDescent="0.25">
      <c r="A840" s="135"/>
      <c r="B840" s="135"/>
      <c r="C840" s="135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</row>
    <row r="841" spans="1:26" ht="14.25" customHeight="1" x14ac:dyDescent="0.25">
      <c r="A841" s="135"/>
      <c r="B841" s="135"/>
      <c r="C841" s="135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</row>
    <row r="842" spans="1:26" ht="14.25" customHeight="1" x14ac:dyDescent="0.25">
      <c r="A842" s="135"/>
      <c r="B842" s="135"/>
      <c r="C842" s="135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</row>
    <row r="843" spans="1:26" ht="14.25" customHeight="1" x14ac:dyDescent="0.25">
      <c r="A843" s="135"/>
      <c r="B843" s="135"/>
      <c r="C843" s="135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</row>
    <row r="844" spans="1:26" ht="14.25" customHeight="1" x14ac:dyDescent="0.25">
      <c r="A844" s="135"/>
      <c r="B844" s="135"/>
      <c r="C844" s="135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</row>
    <row r="845" spans="1:26" ht="14.25" customHeight="1" x14ac:dyDescent="0.25">
      <c r="A845" s="135"/>
      <c r="B845" s="135"/>
      <c r="C845" s="135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</row>
    <row r="846" spans="1:26" ht="14.25" customHeight="1" x14ac:dyDescent="0.25">
      <c r="A846" s="135"/>
      <c r="B846" s="135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</row>
    <row r="847" spans="1:26" ht="14.25" customHeight="1" x14ac:dyDescent="0.25">
      <c r="A847" s="135"/>
      <c r="B847" s="135"/>
      <c r="C847" s="135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</row>
    <row r="848" spans="1:26" ht="14.25" customHeight="1" x14ac:dyDescent="0.25">
      <c r="A848" s="135"/>
      <c r="B848" s="135"/>
      <c r="C848" s="135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</row>
    <row r="849" spans="1:26" ht="14.25" customHeight="1" x14ac:dyDescent="0.25">
      <c r="A849" s="135"/>
      <c r="B849" s="135"/>
      <c r="C849" s="135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</row>
    <row r="850" spans="1:26" ht="14.25" customHeight="1" x14ac:dyDescent="0.25">
      <c r="A850" s="135"/>
      <c r="B850" s="135"/>
      <c r="C850" s="135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</row>
    <row r="851" spans="1:26" ht="14.25" customHeight="1" x14ac:dyDescent="0.25">
      <c r="A851" s="135"/>
      <c r="B851" s="135"/>
      <c r="C851" s="135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</row>
    <row r="852" spans="1:26" ht="14.25" customHeight="1" x14ac:dyDescent="0.25">
      <c r="A852" s="135"/>
      <c r="B852" s="135"/>
      <c r="C852" s="135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</row>
    <row r="853" spans="1:26" ht="14.25" customHeight="1" x14ac:dyDescent="0.25">
      <c r="A853" s="135"/>
      <c r="B853" s="135"/>
      <c r="C853" s="135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</row>
    <row r="854" spans="1:26" ht="14.25" customHeight="1" x14ac:dyDescent="0.25">
      <c r="A854" s="135"/>
      <c r="B854" s="135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</row>
    <row r="855" spans="1:26" ht="14.25" customHeight="1" x14ac:dyDescent="0.25">
      <c r="A855" s="135"/>
      <c r="B855" s="135"/>
      <c r="C855" s="135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</row>
    <row r="856" spans="1:26" ht="14.25" customHeight="1" x14ac:dyDescent="0.25">
      <c r="A856" s="135"/>
      <c r="B856" s="135"/>
      <c r="C856" s="135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</row>
    <row r="857" spans="1:26" ht="14.25" customHeight="1" x14ac:dyDescent="0.25">
      <c r="A857" s="135"/>
      <c r="B857" s="135"/>
      <c r="C857" s="135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</row>
    <row r="858" spans="1:26" ht="14.25" customHeight="1" x14ac:dyDescent="0.25">
      <c r="A858" s="135"/>
      <c r="B858" s="135"/>
      <c r="C858" s="135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</row>
    <row r="859" spans="1:26" ht="14.25" customHeight="1" x14ac:dyDescent="0.25">
      <c r="A859" s="135"/>
      <c r="B859" s="135"/>
      <c r="C859" s="135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</row>
    <row r="860" spans="1:26" ht="14.25" customHeight="1" x14ac:dyDescent="0.25">
      <c r="A860" s="135"/>
      <c r="B860" s="135"/>
      <c r="C860" s="135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</row>
    <row r="861" spans="1:26" ht="14.25" customHeight="1" x14ac:dyDescent="0.25">
      <c r="A861" s="135"/>
      <c r="B861" s="135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</row>
    <row r="862" spans="1:26" ht="14.25" customHeight="1" x14ac:dyDescent="0.25">
      <c r="A862" s="135"/>
      <c r="B862" s="135"/>
      <c r="C862" s="135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</row>
    <row r="863" spans="1:26" ht="14.25" customHeight="1" x14ac:dyDescent="0.25">
      <c r="A863" s="135"/>
      <c r="B863" s="135"/>
      <c r="C863" s="135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</row>
    <row r="864" spans="1:26" ht="14.25" customHeight="1" x14ac:dyDescent="0.25">
      <c r="A864" s="135"/>
      <c r="B864" s="135"/>
      <c r="C864" s="135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</row>
    <row r="865" spans="1:26" ht="14.25" customHeight="1" x14ac:dyDescent="0.25">
      <c r="A865" s="135"/>
      <c r="B865" s="135"/>
      <c r="C865" s="135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</row>
    <row r="866" spans="1:26" ht="14.25" customHeight="1" x14ac:dyDescent="0.25">
      <c r="A866" s="135"/>
      <c r="B866" s="135"/>
      <c r="C866" s="135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</row>
    <row r="867" spans="1:26" ht="14.25" customHeight="1" x14ac:dyDescent="0.25">
      <c r="A867" s="135"/>
      <c r="B867" s="135"/>
      <c r="C867" s="135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</row>
    <row r="868" spans="1:26" ht="14.25" customHeight="1" x14ac:dyDescent="0.25">
      <c r="A868" s="135"/>
      <c r="B868" s="135"/>
      <c r="C868" s="135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</row>
    <row r="869" spans="1:26" ht="14.25" customHeight="1" x14ac:dyDescent="0.25">
      <c r="A869" s="135"/>
      <c r="B869" s="135"/>
      <c r="C869" s="135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</row>
    <row r="870" spans="1:26" ht="14.25" customHeight="1" x14ac:dyDescent="0.25">
      <c r="A870" s="135"/>
      <c r="B870" s="135"/>
      <c r="C870" s="135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</row>
    <row r="871" spans="1:26" ht="14.25" customHeight="1" x14ac:dyDescent="0.25">
      <c r="A871" s="135"/>
      <c r="B871" s="135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</row>
    <row r="872" spans="1:26" ht="14.25" customHeight="1" x14ac:dyDescent="0.25">
      <c r="A872" s="135"/>
      <c r="B872" s="135"/>
      <c r="C872" s="135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</row>
    <row r="873" spans="1:26" ht="14.25" customHeight="1" x14ac:dyDescent="0.25">
      <c r="A873" s="135"/>
      <c r="B873" s="135"/>
      <c r="C873" s="135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</row>
    <row r="874" spans="1:26" ht="14.25" customHeight="1" x14ac:dyDescent="0.25">
      <c r="A874" s="135"/>
      <c r="B874" s="135"/>
      <c r="C874" s="135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</row>
    <row r="875" spans="1:26" ht="14.25" customHeight="1" x14ac:dyDescent="0.25">
      <c r="A875" s="135"/>
      <c r="B875" s="135"/>
      <c r="C875" s="135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</row>
    <row r="876" spans="1:26" ht="14.25" customHeight="1" x14ac:dyDescent="0.25">
      <c r="A876" s="135"/>
      <c r="B876" s="135"/>
      <c r="C876" s="135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</row>
    <row r="877" spans="1:26" ht="14.25" customHeight="1" x14ac:dyDescent="0.25">
      <c r="A877" s="135"/>
      <c r="B877" s="135"/>
      <c r="C877" s="135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</row>
    <row r="878" spans="1:26" ht="14.25" customHeight="1" x14ac:dyDescent="0.25">
      <c r="A878" s="135"/>
      <c r="B878" s="135"/>
      <c r="C878" s="135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</row>
    <row r="879" spans="1:26" ht="14.25" customHeight="1" x14ac:dyDescent="0.25">
      <c r="A879" s="135"/>
      <c r="B879" s="135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</row>
    <row r="880" spans="1:26" ht="14.25" customHeight="1" x14ac:dyDescent="0.25">
      <c r="A880" s="135"/>
      <c r="B880" s="135"/>
      <c r="C880" s="135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</row>
    <row r="881" spans="1:26" ht="14.25" customHeight="1" x14ac:dyDescent="0.25">
      <c r="A881" s="135"/>
      <c r="B881" s="135"/>
      <c r="C881" s="135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</row>
    <row r="882" spans="1:26" ht="14.25" customHeight="1" x14ac:dyDescent="0.25">
      <c r="A882" s="135"/>
      <c r="B882" s="135"/>
      <c r="C882" s="135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</row>
    <row r="883" spans="1:26" ht="14.25" customHeight="1" x14ac:dyDescent="0.25">
      <c r="A883" s="135"/>
      <c r="B883" s="135"/>
      <c r="C883" s="135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</row>
    <row r="884" spans="1:26" ht="14.25" customHeight="1" x14ac:dyDescent="0.25">
      <c r="A884" s="135"/>
      <c r="B884" s="135"/>
      <c r="C884" s="135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</row>
    <row r="885" spans="1:26" ht="14.25" customHeight="1" x14ac:dyDescent="0.25">
      <c r="A885" s="135"/>
      <c r="B885" s="135"/>
      <c r="C885" s="135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</row>
    <row r="886" spans="1:26" ht="14.25" customHeight="1" x14ac:dyDescent="0.25">
      <c r="A886" s="135"/>
      <c r="B886" s="135"/>
      <c r="C886" s="135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</row>
    <row r="887" spans="1:26" ht="14.25" customHeight="1" x14ac:dyDescent="0.25">
      <c r="A887" s="135"/>
      <c r="B887" s="135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</row>
    <row r="888" spans="1:26" ht="14.25" customHeight="1" x14ac:dyDescent="0.25">
      <c r="A888" s="135"/>
      <c r="B888" s="135"/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</row>
    <row r="889" spans="1:26" ht="14.25" customHeight="1" x14ac:dyDescent="0.25">
      <c r="A889" s="135"/>
      <c r="B889" s="135"/>
      <c r="C889" s="135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</row>
    <row r="890" spans="1:26" ht="14.25" customHeight="1" x14ac:dyDescent="0.25">
      <c r="A890" s="135"/>
      <c r="B890" s="135"/>
      <c r="C890" s="135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</row>
    <row r="891" spans="1:26" ht="14.25" customHeight="1" x14ac:dyDescent="0.25">
      <c r="A891" s="135"/>
      <c r="B891" s="135"/>
      <c r="C891" s="135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</row>
    <row r="892" spans="1:26" ht="14.25" customHeight="1" x14ac:dyDescent="0.25">
      <c r="A892" s="135"/>
      <c r="B892" s="135"/>
      <c r="C892" s="135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</row>
    <row r="893" spans="1:26" ht="14.25" customHeight="1" x14ac:dyDescent="0.25">
      <c r="A893" s="135"/>
      <c r="B893" s="135"/>
      <c r="C893" s="135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</row>
    <row r="894" spans="1:26" ht="14.25" customHeight="1" x14ac:dyDescent="0.25">
      <c r="A894" s="135"/>
      <c r="B894" s="135"/>
      <c r="C894" s="135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</row>
    <row r="895" spans="1:26" ht="14.25" customHeight="1" x14ac:dyDescent="0.25">
      <c r="A895" s="135"/>
      <c r="B895" s="135"/>
      <c r="C895" s="135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</row>
    <row r="896" spans="1:26" ht="14.25" customHeight="1" x14ac:dyDescent="0.25">
      <c r="A896" s="135"/>
      <c r="B896" s="135"/>
      <c r="C896" s="135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</row>
    <row r="897" spans="1:26" ht="14.25" customHeight="1" x14ac:dyDescent="0.25">
      <c r="A897" s="135"/>
      <c r="B897" s="135"/>
      <c r="C897" s="135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</row>
    <row r="898" spans="1:26" ht="14.25" customHeight="1" x14ac:dyDescent="0.25">
      <c r="A898" s="135"/>
      <c r="B898" s="135"/>
      <c r="C898" s="135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</row>
    <row r="899" spans="1:26" ht="14.25" customHeight="1" x14ac:dyDescent="0.25">
      <c r="A899" s="135"/>
      <c r="B899" s="135"/>
      <c r="C899" s="135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</row>
    <row r="900" spans="1:26" ht="14.25" customHeight="1" x14ac:dyDescent="0.25">
      <c r="A900" s="135"/>
      <c r="B900" s="135"/>
      <c r="C900" s="135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</row>
    <row r="901" spans="1:26" ht="14.25" customHeight="1" x14ac:dyDescent="0.25">
      <c r="A901" s="135"/>
      <c r="B901" s="135"/>
      <c r="C901" s="135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</row>
    <row r="902" spans="1:26" ht="14.25" customHeight="1" x14ac:dyDescent="0.25">
      <c r="A902" s="135"/>
      <c r="B902" s="135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</row>
    <row r="903" spans="1:26" ht="14.25" customHeight="1" x14ac:dyDescent="0.25">
      <c r="A903" s="135"/>
      <c r="B903" s="135"/>
      <c r="C903" s="135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</row>
    <row r="904" spans="1:26" ht="14.25" customHeight="1" x14ac:dyDescent="0.25">
      <c r="A904" s="135"/>
      <c r="B904" s="135"/>
      <c r="C904" s="135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</row>
    <row r="905" spans="1:26" ht="14.25" customHeight="1" x14ac:dyDescent="0.25">
      <c r="A905" s="135"/>
      <c r="B905" s="135"/>
      <c r="C905" s="135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</row>
    <row r="906" spans="1:26" ht="14.25" customHeight="1" x14ac:dyDescent="0.25">
      <c r="A906" s="135"/>
      <c r="B906" s="135"/>
      <c r="C906" s="135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</row>
    <row r="907" spans="1:26" ht="14.25" customHeight="1" x14ac:dyDescent="0.25">
      <c r="A907" s="135"/>
      <c r="B907" s="135"/>
      <c r="C907" s="135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</row>
    <row r="908" spans="1:26" ht="14.25" customHeight="1" x14ac:dyDescent="0.25">
      <c r="A908" s="135"/>
      <c r="B908" s="135"/>
      <c r="C908" s="135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</row>
    <row r="909" spans="1:26" ht="14.25" customHeight="1" x14ac:dyDescent="0.25">
      <c r="A909" s="135"/>
      <c r="B909" s="135"/>
      <c r="C909" s="135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</row>
    <row r="910" spans="1:26" ht="14.25" customHeight="1" x14ac:dyDescent="0.25">
      <c r="A910" s="135"/>
      <c r="B910" s="135"/>
      <c r="C910" s="135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</row>
    <row r="911" spans="1:26" ht="14.25" customHeight="1" x14ac:dyDescent="0.25">
      <c r="A911" s="135"/>
      <c r="B911" s="135"/>
      <c r="C911" s="135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</row>
    <row r="912" spans="1:26" ht="14.25" customHeight="1" x14ac:dyDescent="0.25">
      <c r="A912" s="135"/>
      <c r="B912" s="135"/>
      <c r="C912" s="135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</row>
    <row r="913" spans="1:26" ht="14.25" customHeight="1" x14ac:dyDescent="0.25">
      <c r="A913" s="135"/>
      <c r="B913" s="135"/>
      <c r="C913" s="135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</row>
    <row r="914" spans="1:26" ht="14.25" customHeight="1" x14ac:dyDescent="0.25">
      <c r="A914" s="135"/>
      <c r="B914" s="135"/>
      <c r="C914" s="135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</row>
    <row r="915" spans="1:26" ht="14.25" customHeight="1" x14ac:dyDescent="0.25">
      <c r="A915" s="135"/>
      <c r="B915" s="135"/>
      <c r="C915" s="135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</row>
    <row r="916" spans="1:26" ht="14.25" customHeight="1" x14ac:dyDescent="0.25">
      <c r="A916" s="135"/>
      <c r="B916" s="135"/>
      <c r="C916" s="135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</row>
    <row r="917" spans="1:26" ht="14.25" customHeight="1" x14ac:dyDescent="0.25">
      <c r="A917" s="135"/>
      <c r="B917" s="135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</row>
    <row r="918" spans="1:26" ht="14.25" customHeight="1" x14ac:dyDescent="0.25">
      <c r="A918" s="135"/>
      <c r="B918" s="135"/>
      <c r="C918" s="135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</row>
    <row r="919" spans="1:26" ht="14.25" customHeight="1" x14ac:dyDescent="0.25">
      <c r="A919" s="135"/>
      <c r="B919" s="135"/>
      <c r="C919" s="135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</row>
    <row r="920" spans="1:26" ht="14.25" customHeight="1" x14ac:dyDescent="0.25">
      <c r="A920" s="135"/>
      <c r="B920" s="135"/>
      <c r="C920" s="135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</row>
    <row r="921" spans="1:26" ht="14.25" customHeight="1" x14ac:dyDescent="0.25">
      <c r="A921" s="135"/>
      <c r="B921" s="135"/>
      <c r="C921" s="135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</row>
    <row r="922" spans="1:26" ht="14.25" customHeight="1" x14ac:dyDescent="0.25">
      <c r="A922" s="135"/>
      <c r="B922" s="135"/>
      <c r="C922" s="135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</row>
    <row r="923" spans="1:26" ht="14.25" customHeight="1" x14ac:dyDescent="0.25">
      <c r="A923" s="135"/>
      <c r="B923" s="135"/>
      <c r="C923" s="135"/>
      <c r="D923" s="135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</row>
    <row r="924" spans="1:26" ht="14.25" customHeight="1" x14ac:dyDescent="0.25">
      <c r="A924" s="135"/>
      <c r="B924" s="135"/>
      <c r="C924" s="135"/>
      <c r="D924" s="135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</row>
    <row r="925" spans="1:26" ht="14.25" customHeight="1" x14ac:dyDescent="0.25">
      <c r="A925" s="135"/>
      <c r="B925" s="135"/>
      <c r="C925" s="135"/>
      <c r="D925" s="135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</row>
    <row r="926" spans="1:26" ht="14.25" customHeight="1" x14ac:dyDescent="0.25">
      <c r="A926" s="135"/>
      <c r="B926" s="135"/>
      <c r="C926" s="135"/>
      <c r="D926" s="135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</row>
    <row r="927" spans="1:26" ht="14.25" customHeight="1" x14ac:dyDescent="0.25">
      <c r="A927" s="135"/>
      <c r="B927" s="135"/>
      <c r="C927" s="135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</row>
    <row r="928" spans="1:26" ht="14.25" customHeight="1" x14ac:dyDescent="0.25">
      <c r="A928" s="135"/>
      <c r="B928" s="135"/>
      <c r="C928" s="135"/>
      <c r="D928" s="135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</row>
    <row r="929" spans="1:26" ht="14.25" customHeight="1" x14ac:dyDescent="0.25">
      <c r="A929" s="135"/>
      <c r="B929" s="135"/>
      <c r="C929" s="135"/>
      <c r="D929" s="135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</row>
    <row r="930" spans="1:26" ht="14.25" customHeight="1" x14ac:dyDescent="0.25">
      <c r="A930" s="135"/>
      <c r="B930" s="135"/>
      <c r="C930" s="135"/>
      <c r="D930" s="135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</row>
    <row r="931" spans="1:26" ht="14.25" customHeight="1" x14ac:dyDescent="0.25">
      <c r="A931" s="135"/>
      <c r="B931" s="135"/>
      <c r="C931" s="135"/>
      <c r="D931" s="135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</row>
    <row r="932" spans="1:26" ht="14.25" customHeight="1" x14ac:dyDescent="0.25">
      <c r="A932" s="135"/>
      <c r="B932" s="135"/>
      <c r="C932" s="135"/>
      <c r="D932" s="135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</row>
    <row r="933" spans="1:26" ht="14.25" customHeight="1" x14ac:dyDescent="0.25">
      <c r="A933" s="135"/>
      <c r="B933" s="135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</row>
    <row r="934" spans="1:26" ht="14.25" customHeight="1" x14ac:dyDescent="0.25">
      <c r="A934" s="135"/>
      <c r="B934" s="135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</row>
    <row r="935" spans="1:26" ht="14.25" customHeight="1" x14ac:dyDescent="0.25">
      <c r="A935" s="135"/>
      <c r="B935" s="135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</row>
    <row r="936" spans="1:26" ht="14.25" customHeight="1" x14ac:dyDescent="0.25">
      <c r="A936" s="135"/>
      <c r="B936" s="135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</row>
    <row r="937" spans="1:26" ht="14.25" customHeight="1" x14ac:dyDescent="0.25">
      <c r="A937" s="135"/>
      <c r="B937" s="135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</row>
    <row r="938" spans="1:26" ht="14.25" customHeight="1" x14ac:dyDescent="0.25">
      <c r="A938" s="135"/>
      <c r="B938" s="135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</row>
    <row r="939" spans="1:26" ht="14.25" customHeight="1" x14ac:dyDescent="0.25">
      <c r="A939" s="135"/>
      <c r="B939" s="135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</row>
    <row r="940" spans="1:26" ht="14.25" customHeight="1" x14ac:dyDescent="0.25">
      <c r="A940" s="135"/>
      <c r="B940" s="135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</row>
    <row r="941" spans="1:26" ht="14.25" customHeight="1" x14ac:dyDescent="0.25">
      <c r="A941" s="135"/>
      <c r="B941" s="135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</row>
    <row r="942" spans="1:26" ht="14.25" customHeight="1" x14ac:dyDescent="0.25">
      <c r="A942" s="135"/>
      <c r="B942" s="135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</row>
    <row r="943" spans="1:26" ht="14.25" customHeight="1" x14ac:dyDescent="0.25">
      <c r="A943" s="135"/>
      <c r="B943" s="135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</row>
    <row r="944" spans="1:26" ht="14.25" customHeight="1" x14ac:dyDescent="0.25">
      <c r="A944" s="135"/>
      <c r="B944" s="135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</row>
    <row r="945" spans="1:26" ht="14.25" customHeight="1" x14ac:dyDescent="0.25">
      <c r="A945" s="135"/>
      <c r="B945" s="135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</row>
    <row r="946" spans="1:26" ht="14.25" customHeight="1" x14ac:dyDescent="0.25">
      <c r="A946" s="135"/>
      <c r="B946" s="135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</row>
    <row r="947" spans="1:26" ht="14.25" customHeight="1" x14ac:dyDescent="0.25">
      <c r="A947" s="135"/>
      <c r="B947" s="135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</row>
    <row r="948" spans="1:26" ht="14.25" customHeight="1" x14ac:dyDescent="0.25">
      <c r="A948" s="135"/>
      <c r="B948" s="135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</row>
    <row r="949" spans="1:26" ht="14.25" customHeight="1" x14ac:dyDescent="0.25">
      <c r="A949" s="135"/>
      <c r="B949" s="135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</row>
    <row r="950" spans="1:26" ht="14.25" customHeight="1" x14ac:dyDescent="0.25">
      <c r="A950" s="135"/>
      <c r="B950" s="135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</row>
    <row r="951" spans="1:26" ht="14.25" customHeight="1" x14ac:dyDescent="0.25">
      <c r="A951" s="135"/>
      <c r="B951" s="135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</row>
    <row r="952" spans="1:26" ht="14.25" customHeight="1" x14ac:dyDescent="0.25">
      <c r="A952" s="135"/>
      <c r="B952" s="135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</row>
    <row r="953" spans="1:26" ht="14.25" customHeight="1" x14ac:dyDescent="0.25">
      <c r="A953" s="135"/>
      <c r="B953" s="135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</row>
    <row r="954" spans="1:26" ht="14.25" customHeight="1" x14ac:dyDescent="0.25">
      <c r="A954" s="135"/>
      <c r="B954" s="135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</row>
    <row r="955" spans="1:26" ht="14.25" customHeight="1" x14ac:dyDescent="0.25">
      <c r="A955" s="135"/>
      <c r="B955" s="135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</row>
    <row r="956" spans="1:26" ht="14.25" customHeight="1" x14ac:dyDescent="0.25">
      <c r="A956" s="135"/>
      <c r="B956" s="135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</row>
    <row r="957" spans="1:26" ht="14.25" customHeight="1" x14ac:dyDescent="0.25">
      <c r="A957" s="135"/>
      <c r="B957" s="135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</row>
    <row r="958" spans="1:26" ht="14.25" customHeight="1" x14ac:dyDescent="0.25">
      <c r="A958" s="135"/>
      <c r="B958" s="135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</row>
    <row r="959" spans="1:26" ht="14.25" customHeight="1" x14ac:dyDescent="0.25">
      <c r="A959" s="135"/>
      <c r="B959" s="135"/>
      <c r="C959" s="135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</row>
    <row r="960" spans="1:26" ht="14.25" customHeight="1" x14ac:dyDescent="0.25">
      <c r="A960" s="135"/>
      <c r="B960" s="135"/>
      <c r="C960" s="135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</row>
    <row r="961" spans="1:26" ht="14.25" customHeight="1" x14ac:dyDescent="0.25">
      <c r="A961" s="135"/>
      <c r="B961" s="135"/>
      <c r="C961" s="135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</row>
    <row r="962" spans="1:26" ht="14.25" customHeight="1" x14ac:dyDescent="0.25">
      <c r="A962" s="135"/>
      <c r="B962" s="135"/>
      <c r="C962" s="135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</row>
    <row r="963" spans="1:26" ht="14.25" customHeight="1" x14ac:dyDescent="0.25">
      <c r="A963" s="135"/>
      <c r="B963" s="135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</row>
    <row r="964" spans="1:26" ht="14.25" customHeight="1" x14ac:dyDescent="0.25">
      <c r="A964" s="135"/>
      <c r="B964" s="135"/>
      <c r="C964" s="135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</row>
    <row r="965" spans="1:26" ht="14.25" customHeight="1" x14ac:dyDescent="0.25">
      <c r="A965" s="135"/>
      <c r="B965" s="135"/>
      <c r="C965" s="135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</row>
    <row r="966" spans="1:26" ht="14.25" customHeight="1" x14ac:dyDescent="0.25">
      <c r="A966" s="135"/>
      <c r="B966" s="135"/>
      <c r="C966" s="135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</row>
    <row r="967" spans="1:26" ht="14.25" customHeight="1" x14ac:dyDescent="0.25">
      <c r="A967" s="135"/>
      <c r="B967" s="135"/>
      <c r="C967" s="135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</row>
    <row r="968" spans="1:26" ht="14.25" customHeight="1" x14ac:dyDescent="0.25">
      <c r="A968" s="135"/>
      <c r="B968" s="135"/>
      <c r="C968" s="135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</row>
    <row r="969" spans="1:26" ht="14.25" customHeight="1" x14ac:dyDescent="0.25">
      <c r="A969" s="135"/>
      <c r="B969" s="135"/>
      <c r="C969" s="135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</row>
    <row r="970" spans="1:26" ht="14.25" customHeight="1" x14ac:dyDescent="0.25">
      <c r="A970" s="135"/>
      <c r="B970" s="135"/>
      <c r="C970" s="135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</row>
    <row r="971" spans="1:26" ht="14.25" customHeight="1" x14ac:dyDescent="0.25">
      <c r="A971" s="135"/>
      <c r="B971" s="135"/>
      <c r="C971" s="135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</row>
    <row r="972" spans="1:26" ht="14.25" customHeight="1" x14ac:dyDescent="0.25">
      <c r="A972" s="135"/>
      <c r="B972" s="135"/>
      <c r="C972" s="135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</row>
    <row r="973" spans="1:26" ht="14.25" customHeight="1" x14ac:dyDescent="0.25">
      <c r="A973" s="135"/>
      <c r="B973" s="135"/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</row>
    <row r="974" spans="1:26" ht="14.25" customHeight="1" x14ac:dyDescent="0.25">
      <c r="A974" s="135"/>
      <c r="B974" s="135"/>
      <c r="C974" s="135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</row>
    <row r="975" spans="1:26" ht="14.25" customHeight="1" x14ac:dyDescent="0.25">
      <c r="A975" s="135"/>
      <c r="B975" s="135"/>
      <c r="C975" s="135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S975" s="135"/>
      <c r="T975" s="135"/>
      <c r="U975" s="135"/>
      <c r="V975" s="135"/>
      <c r="W975" s="135"/>
      <c r="X975" s="135"/>
      <c r="Y975" s="135"/>
      <c r="Z975" s="135"/>
    </row>
    <row r="976" spans="1:26" ht="14.25" customHeight="1" x14ac:dyDescent="0.25">
      <c r="A976" s="135"/>
      <c r="B976" s="135"/>
      <c r="C976" s="135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  <c r="Q976" s="135"/>
      <c r="R976" s="135"/>
      <c r="S976" s="135"/>
      <c r="T976" s="135"/>
      <c r="U976" s="135"/>
      <c r="V976" s="135"/>
      <c r="W976" s="135"/>
      <c r="X976" s="135"/>
      <c r="Y976" s="135"/>
      <c r="Z976" s="135"/>
    </row>
    <row r="977" spans="1:26" ht="14.25" customHeight="1" x14ac:dyDescent="0.25">
      <c r="A977" s="135"/>
      <c r="B977" s="135"/>
      <c r="C977" s="135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  <c r="Q977" s="135"/>
      <c r="R977" s="135"/>
      <c r="S977" s="135"/>
      <c r="T977" s="135"/>
      <c r="U977" s="135"/>
      <c r="V977" s="135"/>
      <c r="W977" s="135"/>
      <c r="X977" s="135"/>
      <c r="Y977" s="135"/>
      <c r="Z977" s="135"/>
    </row>
    <row r="978" spans="1:26" ht="14.25" customHeight="1" x14ac:dyDescent="0.25">
      <c r="A978" s="135"/>
      <c r="B978" s="135"/>
      <c r="C978" s="135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  <c r="Q978" s="135"/>
      <c r="R978" s="135"/>
      <c r="S978" s="135"/>
      <c r="T978" s="135"/>
      <c r="U978" s="135"/>
      <c r="V978" s="135"/>
      <c r="W978" s="135"/>
      <c r="X978" s="135"/>
      <c r="Y978" s="135"/>
      <c r="Z978" s="135"/>
    </row>
    <row r="979" spans="1:26" ht="14.25" customHeight="1" x14ac:dyDescent="0.25">
      <c r="A979" s="135"/>
      <c r="B979" s="135"/>
      <c r="C979" s="135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  <c r="Q979" s="135"/>
      <c r="R979" s="135"/>
      <c r="S979" s="135"/>
      <c r="T979" s="135"/>
      <c r="U979" s="135"/>
      <c r="V979" s="135"/>
      <c r="W979" s="135"/>
      <c r="X979" s="135"/>
      <c r="Y979" s="135"/>
      <c r="Z979" s="135"/>
    </row>
    <row r="980" spans="1:26" ht="14.25" customHeight="1" x14ac:dyDescent="0.25">
      <c r="A980" s="135"/>
      <c r="B980" s="135"/>
      <c r="C980" s="135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  <c r="Q980" s="135"/>
      <c r="R980" s="135"/>
      <c r="S980" s="135"/>
      <c r="T980" s="135"/>
      <c r="U980" s="135"/>
      <c r="V980" s="135"/>
      <c r="W980" s="135"/>
      <c r="X980" s="135"/>
      <c r="Y980" s="135"/>
      <c r="Z980" s="135"/>
    </row>
    <row r="981" spans="1:26" ht="14.25" customHeight="1" x14ac:dyDescent="0.25">
      <c r="A981" s="135"/>
      <c r="B981" s="135"/>
      <c r="C981" s="135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  <c r="Q981" s="135"/>
      <c r="R981" s="135"/>
      <c r="S981" s="135"/>
      <c r="T981" s="135"/>
      <c r="U981" s="135"/>
      <c r="V981" s="135"/>
      <c r="W981" s="135"/>
      <c r="X981" s="135"/>
      <c r="Y981" s="135"/>
      <c r="Z981" s="135"/>
    </row>
    <row r="982" spans="1:26" ht="14.25" customHeight="1" x14ac:dyDescent="0.25">
      <c r="A982" s="135"/>
      <c r="B982" s="135"/>
      <c r="C982" s="135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  <c r="Q982" s="135"/>
      <c r="R982" s="135"/>
      <c r="S982" s="135"/>
      <c r="T982" s="135"/>
      <c r="U982" s="135"/>
      <c r="V982" s="135"/>
      <c r="W982" s="135"/>
      <c r="X982" s="135"/>
      <c r="Y982" s="135"/>
      <c r="Z982" s="135"/>
    </row>
    <row r="983" spans="1:26" ht="14.25" customHeight="1" x14ac:dyDescent="0.25">
      <c r="A983" s="135"/>
      <c r="B983" s="135"/>
      <c r="C983" s="135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  <c r="Q983" s="135"/>
      <c r="R983" s="135"/>
      <c r="S983" s="135"/>
      <c r="T983" s="135"/>
      <c r="U983" s="135"/>
      <c r="V983" s="135"/>
      <c r="W983" s="135"/>
      <c r="X983" s="135"/>
      <c r="Y983" s="135"/>
      <c r="Z983" s="135"/>
    </row>
    <row r="984" spans="1:26" ht="14.25" customHeight="1" x14ac:dyDescent="0.25">
      <c r="A984" s="135"/>
      <c r="B984" s="135"/>
      <c r="C984" s="135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  <c r="Q984" s="135"/>
      <c r="R984" s="135"/>
      <c r="S984" s="135"/>
      <c r="T984" s="135"/>
      <c r="U984" s="135"/>
      <c r="V984" s="135"/>
      <c r="W984" s="135"/>
      <c r="X984" s="135"/>
      <c r="Y984" s="135"/>
      <c r="Z984" s="135"/>
    </row>
    <row r="985" spans="1:26" ht="14.25" customHeight="1" x14ac:dyDescent="0.25">
      <c r="A985" s="135"/>
      <c r="B985" s="135"/>
      <c r="C985" s="135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  <c r="Q985" s="135"/>
      <c r="R985" s="135"/>
      <c r="S985" s="135"/>
      <c r="T985" s="135"/>
      <c r="U985" s="135"/>
      <c r="V985" s="135"/>
      <c r="W985" s="135"/>
      <c r="X985" s="135"/>
      <c r="Y985" s="135"/>
      <c r="Z985" s="135"/>
    </row>
    <row r="986" spans="1:26" ht="14.25" customHeight="1" x14ac:dyDescent="0.25">
      <c r="A986" s="135"/>
      <c r="B986" s="135"/>
      <c r="C986" s="135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  <c r="Q986" s="135"/>
      <c r="R986" s="135"/>
      <c r="S986" s="135"/>
      <c r="T986" s="135"/>
      <c r="U986" s="135"/>
      <c r="V986" s="135"/>
      <c r="W986" s="135"/>
      <c r="X986" s="135"/>
      <c r="Y986" s="135"/>
      <c r="Z986" s="135"/>
    </row>
    <row r="987" spans="1:26" ht="14.25" customHeight="1" x14ac:dyDescent="0.25">
      <c r="A987" s="135"/>
      <c r="B987" s="135"/>
      <c r="C987" s="135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  <c r="Q987" s="135"/>
      <c r="R987" s="135"/>
      <c r="S987" s="135"/>
      <c r="T987" s="135"/>
      <c r="U987" s="135"/>
      <c r="V987" s="135"/>
      <c r="W987" s="135"/>
      <c r="X987" s="135"/>
      <c r="Y987" s="135"/>
      <c r="Z987" s="135"/>
    </row>
    <row r="988" spans="1:26" ht="14.25" customHeight="1" x14ac:dyDescent="0.25">
      <c r="A988" s="135"/>
      <c r="B988" s="135"/>
      <c r="C988" s="135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  <c r="Q988" s="135"/>
      <c r="R988" s="135"/>
      <c r="S988" s="135"/>
      <c r="T988" s="135"/>
      <c r="U988" s="135"/>
      <c r="V988" s="135"/>
      <c r="W988" s="135"/>
      <c r="X988" s="135"/>
      <c r="Y988" s="135"/>
      <c r="Z988" s="135"/>
    </row>
    <row r="989" spans="1:26" ht="14.25" customHeight="1" x14ac:dyDescent="0.25">
      <c r="A989" s="135"/>
      <c r="B989" s="135"/>
      <c r="C989" s="135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  <c r="Q989" s="135"/>
      <c r="R989" s="135"/>
      <c r="S989" s="135"/>
      <c r="T989" s="135"/>
      <c r="U989" s="135"/>
      <c r="V989" s="135"/>
      <c r="W989" s="135"/>
      <c r="X989" s="135"/>
      <c r="Y989" s="135"/>
      <c r="Z989" s="135"/>
    </row>
    <row r="990" spans="1:26" ht="14.25" customHeight="1" x14ac:dyDescent="0.25">
      <c r="A990" s="135"/>
      <c r="B990" s="135"/>
      <c r="C990" s="135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  <c r="Q990" s="135"/>
      <c r="R990" s="135"/>
      <c r="S990" s="135"/>
      <c r="T990" s="135"/>
      <c r="U990" s="135"/>
      <c r="V990" s="135"/>
      <c r="W990" s="135"/>
      <c r="X990" s="135"/>
      <c r="Y990" s="135"/>
      <c r="Z990" s="135"/>
    </row>
    <row r="991" spans="1:26" ht="14.25" customHeight="1" x14ac:dyDescent="0.25">
      <c r="A991" s="135"/>
      <c r="B991" s="135"/>
      <c r="C991" s="135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  <c r="Q991" s="135"/>
      <c r="R991" s="135"/>
      <c r="S991" s="135"/>
      <c r="T991" s="135"/>
      <c r="U991" s="135"/>
      <c r="V991" s="135"/>
      <c r="W991" s="135"/>
      <c r="X991" s="135"/>
      <c r="Y991" s="135"/>
      <c r="Z991" s="135"/>
    </row>
    <row r="992" spans="1:26" ht="14.25" customHeight="1" x14ac:dyDescent="0.25">
      <c r="A992" s="135"/>
      <c r="B992" s="135"/>
      <c r="C992" s="135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  <c r="Q992" s="135"/>
      <c r="R992" s="135"/>
      <c r="S992" s="135"/>
      <c r="T992" s="135"/>
      <c r="U992" s="135"/>
      <c r="V992" s="135"/>
      <c r="W992" s="135"/>
      <c r="X992" s="135"/>
      <c r="Y992" s="135"/>
      <c r="Z992" s="135"/>
    </row>
    <row r="993" spans="1:26" ht="14.25" customHeight="1" x14ac:dyDescent="0.25">
      <c r="A993" s="135"/>
      <c r="B993" s="135"/>
      <c r="C993" s="135"/>
      <c r="D993" s="135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35"/>
      <c r="Q993" s="135"/>
      <c r="R993" s="135"/>
      <c r="S993" s="135"/>
      <c r="T993" s="135"/>
      <c r="U993" s="135"/>
      <c r="V993" s="135"/>
      <c r="W993" s="135"/>
      <c r="X993" s="135"/>
      <c r="Y993" s="135"/>
      <c r="Z993" s="135"/>
    </row>
    <row r="994" spans="1:26" ht="14.25" customHeight="1" x14ac:dyDescent="0.25">
      <c r="A994" s="135"/>
      <c r="B994" s="135"/>
      <c r="C994" s="135"/>
      <c r="D994" s="135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35"/>
      <c r="Q994" s="135"/>
      <c r="R994" s="135"/>
      <c r="S994" s="135"/>
      <c r="T994" s="135"/>
      <c r="U994" s="135"/>
      <c r="V994" s="135"/>
      <c r="W994" s="135"/>
      <c r="X994" s="135"/>
      <c r="Y994" s="135"/>
      <c r="Z994" s="135"/>
    </row>
    <row r="995" spans="1:26" ht="14.25" customHeight="1" x14ac:dyDescent="0.25">
      <c r="A995" s="135"/>
      <c r="B995" s="135"/>
      <c r="C995" s="135"/>
      <c r="D995" s="135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35"/>
      <c r="Q995" s="135"/>
      <c r="R995" s="135"/>
      <c r="S995" s="135"/>
      <c r="T995" s="135"/>
      <c r="U995" s="135"/>
      <c r="V995" s="135"/>
      <c r="W995" s="135"/>
      <c r="X995" s="135"/>
      <c r="Y995" s="135"/>
      <c r="Z995" s="135"/>
    </row>
    <row r="996" spans="1:26" ht="14.25" customHeight="1" x14ac:dyDescent="0.25">
      <c r="A996" s="135"/>
      <c r="B996" s="135"/>
      <c r="C996" s="135"/>
      <c r="D996" s="135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35"/>
      <c r="Q996" s="135"/>
      <c r="R996" s="135"/>
      <c r="S996" s="135"/>
      <c r="T996" s="135"/>
      <c r="U996" s="135"/>
      <c r="V996" s="135"/>
      <c r="W996" s="135"/>
      <c r="X996" s="135"/>
      <c r="Y996" s="135"/>
      <c r="Z996" s="135"/>
    </row>
    <row r="997" spans="1:26" ht="14.25" customHeight="1" x14ac:dyDescent="0.25">
      <c r="A997" s="135"/>
      <c r="B997" s="135"/>
      <c r="C997" s="135"/>
      <c r="D997" s="135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35"/>
      <c r="Q997" s="135"/>
      <c r="R997" s="135"/>
      <c r="S997" s="135"/>
      <c r="T997" s="135"/>
      <c r="U997" s="135"/>
      <c r="V997" s="135"/>
      <c r="W997" s="135"/>
      <c r="X997" s="135"/>
      <c r="Y997" s="135"/>
      <c r="Z997" s="135"/>
    </row>
    <row r="998" spans="1:26" ht="14.25" customHeight="1" x14ac:dyDescent="0.25">
      <c r="A998" s="135"/>
      <c r="B998" s="135"/>
      <c r="C998" s="135"/>
      <c r="D998" s="135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35"/>
      <c r="Q998" s="135"/>
      <c r="R998" s="135"/>
      <c r="S998" s="135"/>
      <c r="T998" s="135"/>
      <c r="U998" s="135"/>
      <c r="V998" s="135"/>
      <c r="W998" s="135"/>
      <c r="X998" s="135"/>
      <c r="Y998" s="135"/>
      <c r="Z998" s="135"/>
    </row>
    <row r="999" spans="1:26" ht="14.25" customHeight="1" x14ac:dyDescent="0.25">
      <c r="A999" s="135"/>
      <c r="B999" s="135"/>
      <c r="C999" s="135"/>
      <c r="D999" s="135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35"/>
      <c r="Q999" s="135"/>
      <c r="R999" s="135"/>
      <c r="S999" s="135"/>
      <c r="T999" s="135"/>
      <c r="U999" s="135"/>
      <c r="V999" s="135"/>
      <c r="W999" s="135"/>
      <c r="X999" s="135"/>
      <c r="Y999" s="135"/>
      <c r="Z999" s="135"/>
    </row>
    <row r="1000" spans="1:26" ht="14.25" customHeight="1" x14ac:dyDescent="0.25">
      <c r="A1000" s="135"/>
      <c r="B1000" s="135"/>
      <c r="C1000" s="135"/>
      <c r="D1000" s="135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  <c r="P1000" s="135"/>
      <c r="Q1000" s="135"/>
      <c r="R1000" s="135"/>
      <c r="S1000" s="135"/>
      <c r="T1000" s="135"/>
      <c r="U1000" s="135"/>
      <c r="V1000" s="135"/>
      <c r="W1000" s="135"/>
      <c r="X1000" s="135"/>
      <c r="Y1000" s="135"/>
      <c r="Z1000" s="135"/>
    </row>
  </sheetData>
  <mergeCells count="1">
    <mergeCell ref="D4:V4"/>
  </mergeCells>
  <pageMargins left="0.70866141732283472" right="0.70866141732283472" top="0.74803149606299213" bottom="0.74803149606299213" header="0" footer="0"/>
  <pageSetup paperSize="9" scale="7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PAGU</vt:lpstr>
      <vt:lpstr>PAGU SATKER PERDIt CATU PINDAH</vt:lpstr>
      <vt:lpstr>PAGU SATKER PERDIREKTORAT</vt:lpstr>
      <vt:lpstr>Sheet3</vt:lpstr>
      <vt:lpstr>REALISASI</vt:lpstr>
      <vt:lpstr>Sheet1</vt:lpstr>
      <vt:lpstr>PEMBAGIAN KRO RO</vt:lpstr>
      <vt:lpstr>REALISASI!Print_Area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Perencanaan</dc:creator>
  <cp:lastModifiedBy>Lenovo</cp:lastModifiedBy>
  <cp:lastPrinted>2023-06-11T08:53:09Z</cp:lastPrinted>
  <dcterms:created xsi:type="dcterms:W3CDTF">2021-01-14T07:51:39Z</dcterms:created>
  <dcterms:modified xsi:type="dcterms:W3CDTF">2023-07-21T02:47:19Z</dcterms:modified>
</cp:coreProperties>
</file>