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WFS - Practicos\DWFS-V1.2023\1-prog-basica\Practico Excel\"/>
    </mc:Choice>
  </mc:AlternateContent>
  <xr:revisionPtr revIDLastSave="0" documentId="13_ncr:1_{D40766B3-6514-4CBA-A6FA-F9FF700CF978}" xr6:coauthVersionLast="45" xr6:coauthVersionMax="45" xr10:uidLastSave="{00000000-0000-0000-0000-000000000000}"/>
  <bookViews>
    <workbookView xWindow="-120" yWindow="-120" windowWidth="29040" windowHeight="15840" activeTab="4" xr2:uid="{5BEEE0ED-1600-4ED3-833A-F49863FE199E}"/>
  </bookViews>
  <sheets>
    <sheet name="Inventario" sheetId="1" r:id="rId1"/>
    <sheet name="Factura (2)" sheetId="5" state="hidden" r:id="rId2"/>
    <sheet name="Factura" sheetId="2" r:id="rId3"/>
    <sheet name="Ticket" sheetId="3" r:id="rId4"/>
    <sheet name="AuxLetr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7" i="3"/>
  <c r="C18" i="3"/>
  <c r="C19" i="3"/>
  <c r="C11" i="3"/>
  <c r="B12" i="3"/>
  <c r="B13" i="3"/>
  <c r="B14" i="3"/>
  <c r="B15" i="3"/>
  <c r="B16" i="3"/>
  <c r="B17" i="3"/>
  <c r="B18" i="3"/>
  <c r="B19" i="3"/>
  <c r="B11" i="3"/>
  <c r="J28" i="2" l="1"/>
  <c r="G39" i="2"/>
  <c r="H39" i="2"/>
  <c r="D39" i="2"/>
  <c r="D38" i="2"/>
  <c r="H39" i="5"/>
  <c r="H40" i="5" s="1"/>
  <c r="H38" i="5"/>
  <c r="D39" i="5"/>
  <c r="D38" i="5"/>
  <c r="H37" i="5"/>
  <c r="G37" i="5"/>
  <c r="D37" i="5"/>
  <c r="H36" i="5"/>
  <c r="G36" i="5"/>
  <c r="D36" i="5"/>
  <c r="H35" i="5"/>
  <c r="G35" i="5"/>
  <c r="D35" i="5"/>
  <c r="H34" i="5"/>
  <c r="G34" i="5"/>
  <c r="D34" i="5"/>
  <c r="H33" i="5"/>
  <c r="G33" i="5"/>
  <c r="D33" i="5"/>
  <c r="H32" i="5"/>
  <c r="G32" i="5"/>
  <c r="D32" i="5"/>
  <c r="H31" i="5"/>
  <c r="G31" i="5"/>
  <c r="D31" i="5"/>
  <c r="H30" i="5"/>
  <c r="G30" i="5"/>
  <c r="D30" i="5"/>
  <c r="H29" i="5"/>
  <c r="G29" i="5"/>
  <c r="D29" i="5"/>
  <c r="H28" i="5"/>
  <c r="G28" i="5"/>
  <c r="D28" i="5"/>
  <c r="H27" i="5"/>
  <c r="G27" i="5"/>
  <c r="D27" i="5"/>
  <c r="H26" i="5"/>
  <c r="G26" i="5"/>
  <c r="D26" i="5"/>
  <c r="H25" i="5"/>
  <c r="G25" i="5"/>
  <c r="D25" i="5"/>
  <c r="H24" i="5"/>
  <c r="G24" i="5"/>
  <c r="D24" i="5"/>
  <c r="H23" i="5"/>
  <c r="G23" i="5"/>
  <c r="D23" i="5"/>
  <c r="H22" i="5"/>
  <c r="G22" i="5"/>
  <c r="D22" i="5"/>
  <c r="H21" i="5"/>
  <c r="G21" i="5"/>
  <c r="D21" i="5"/>
  <c r="H20" i="5"/>
  <c r="G20" i="5"/>
  <c r="D20" i="5"/>
  <c r="G19" i="5"/>
  <c r="H19" i="5" s="1"/>
  <c r="D19" i="5"/>
  <c r="G18" i="5"/>
  <c r="H18" i="5" s="1"/>
  <c r="D18" i="5"/>
  <c r="G17" i="5"/>
  <c r="H17" i="5" s="1"/>
  <c r="D17" i="5"/>
  <c r="G16" i="5"/>
  <c r="H16" i="5" s="1"/>
  <c r="D16" i="5"/>
  <c r="H15" i="5"/>
  <c r="G15" i="5"/>
  <c r="D15" i="5"/>
  <c r="H14" i="5"/>
  <c r="G14" i="5"/>
  <c r="D14" i="5"/>
  <c r="G13" i="5"/>
  <c r="H13" i="5" s="1"/>
  <c r="D13" i="5"/>
  <c r="G12" i="5"/>
  <c r="H12" i="5" s="1"/>
  <c r="D12" i="5"/>
  <c r="G11" i="5"/>
  <c r="H11" i="5" s="1"/>
  <c r="D11" i="5"/>
  <c r="G3" i="5"/>
  <c r="H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" i="1"/>
  <c r="H48" i="3" l="1"/>
  <c r="H49" i="3"/>
  <c r="G49" i="3" s="1"/>
  <c r="H50" i="3"/>
  <c r="G50" i="3" s="1"/>
  <c r="H51" i="3"/>
  <c r="G51" i="3" s="1"/>
  <c r="H52" i="3"/>
  <c r="G52" i="3" s="1"/>
  <c r="H53" i="3"/>
  <c r="G53" i="3" s="1"/>
  <c r="H54" i="3"/>
  <c r="H55" i="3"/>
  <c r="G55" i="3" s="1"/>
  <c r="H56" i="3"/>
  <c r="H57" i="3"/>
  <c r="G57" i="3" s="1"/>
  <c r="H58" i="3"/>
  <c r="G58" i="3" s="1"/>
  <c r="H59" i="3"/>
  <c r="G59" i="3" s="1"/>
  <c r="H60" i="3"/>
  <c r="G60" i="3" s="1"/>
  <c r="H61" i="3"/>
  <c r="G61" i="3" s="1"/>
  <c r="H62" i="3"/>
  <c r="G62" i="3" s="1"/>
  <c r="H63" i="3"/>
  <c r="G63" i="3" s="1"/>
  <c r="H64" i="3"/>
  <c r="H65" i="3"/>
  <c r="G65" i="3" s="1"/>
  <c r="H66" i="3"/>
  <c r="H67" i="3"/>
  <c r="G67" i="3" s="1"/>
  <c r="H68" i="3"/>
  <c r="G68" i="3" s="1"/>
  <c r="H69" i="3"/>
  <c r="G69" i="3" s="1"/>
  <c r="H70" i="3"/>
  <c r="H71" i="3"/>
  <c r="G71" i="3" s="1"/>
  <c r="H72" i="3"/>
  <c r="G72" i="3" s="1"/>
  <c r="H73" i="3"/>
  <c r="G73" i="3" s="1"/>
  <c r="H74" i="3"/>
  <c r="G74" i="3" s="1"/>
  <c r="H75" i="3"/>
  <c r="G75" i="3" s="1"/>
  <c r="H76" i="3"/>
  <c r="G76" i="3" s="1"/>
  <c r="H77" i="3"/>
  <c r="G77" i="3" s="1"/>
  <c r="H78" i="3"/>
  <c r="G78" i="3" s="1"/>
  <c r="H79" i="3"/>
  <c r="G79" i="3" s="1"/>
  <c r="H80" i="3"/>
  <c r="H81" i="3"/>
  <c r="G81" i="3" s="1"/>
  <c r="H82" i="3"/>
  <c r="G82" i="3" s="1"/>
  <c r="H83" i="3"/>
  <c r="G83" i="3" s="1"/>
  <c r="H84" i="3"/>
  <c r="G84" i="3" s="1"/>
  <c r="H85" i="3"/>
  <c r="G85" i="3" s="1"/>
  <c r="H86" i="3"/>
  <c r="G86" i="3" s="1"/>
  <c r="H87" i="3"/>
  <c r="G87" i="3" s="1"/>
  <c r="H88" i="3"/>
  <c r="G88" i="3" s="1"/>
  <c r="H89" i="3"/>
  <c r="G89" i="3" s="1"/>
  <c r="H90" i="3"/>
  <c r="G90" i="3" s="1"/>
  <c r="H91" i="3"/>
  <c r="G91" i="3" s="1"/>
  <c r="H92" i="3"/>
  <c r="G92" i="3" s="1"/>
  <c r="H93" i="3"/>
  <c r="G93" i="3" s="1"/>
  <c r="H94" i="3"/>
  <c r="G94" i="3" s="1"/>
  <c r="H95" i="3"/>
  <c r="G95" i="3" s="1"/>
  <c r="H96" i="3"/>
  <c r="H97" i="3"/>
  <c r="G97" i="3" s="1"/>
  <c r="H98" i="3"/>
  <c r="G98" i="3" s="1"/>
  <c r="H99" i="3"/>
  <c r="G99" i="3" s="1"/>
  <c r="H100" i="3"/>
  <c r="G100" i="3" s="1"/>
  <c r="H101" i="3"/>
  <c r="G101" i="3" s="1"/>
  <c r="H102" i="3"/>
  <c r="G102" i="3" s="1"/>
  <c r="H103" i="3"/>
  <c r="G103" i="3" s="1"/>
  <c r="H104" i="3"/>
  <c r="H105" i="3"/>
  <c r="G105" i="3" s="1"/>
  <c r="H106" i="3"/>
  <c r="G106" i="3" s="1"/>
  <c r="H107" i="3"/>
  <c r="G107" i="3" s="1"/>
  <c r="H108" i="3"/>
  <c r="G108" i="3" s="1"/>
  <c r="H109" i="3"/>
  <c r="G109" i="3" s="1"/>
  <c r="H110" i="3"/>
  <c r="G110" i="3" s="1"/>
  <c r="H111" i="3"/>
  <c r="G111" i="3" s="1"/>
  <c r="H112" i="3"/>
  <c r="H113" i="3"/>
  <c r="G113" i="3" s="1"/>
  <c r="H114" i="3"/>
  <c r="G114" i="3" s="1"/>
  <c r="H115" i="3"/>
  <c r="G115" i="3" s="1"/>
  <c r="H116" i="3"/>
  <c r="G116" i="3" s="1"/>
  <c r="H117" i="3"/>
  <c r="G117" i="3" s="1"/>
  <c r="H118" i="3"/>
  <c r="G118" i="3" s="1"/>
  <c r="H119" i="3"/>
  <c r="G119" i="3" s="1"/>
  <c r="H120" i="3"/>
  <c r="G120" i="3" s="1"/>
  <c r="H121" i="3"/>
  <c r="G121" i="3" s="1"/>
  <c r="H122" i="3"/>
  <c r="G122" i="3" s="1"/>
  <c r="H123" i="3"/>
  <c r="G123" i="3" s="1"/>
  <c r="H124" i="3"/>
  <c r="G124" i="3" s="1"/>
  <c r="H125" i="3"/>
  <c r="G125" i="3" s="1"/>
  <c r="H126" i="3"/>
  <c r="G126" i="3" s="1"/>
  <c r="H127" i="3"/>
  <c r="G127" i="3" s="1"/>
  <c r="H128" i="3"/>
  <c r="G128" i="3" s="1"/>
  <c r="G54" i="3"/>
  <c r="G56" i="3"/>
  <c r="G64" i="3"/>
  <c r="G66" i="3"/>
  <c r="G70" i="3"/>
  <c r="G80" i="3"/>
  <c r="G96" i="3"/>
  <c r="G104" i="3"/>
  <c r="G112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48" i="3"/>
  <c r="D12" i="3" l="1"/>
  <c r="D13" i="3"/>
  <c r="D14" i="3"/>
  <c r="D15" i="3"/>
  <c r="D16" i="3"/>
  <c r="D17" i="3"/>
  <c r="D18" i="3"/>
  <c r="D19" i="3"/>
  <c r="D20" i="3"/>
  <c r="D21" i="3"/>
  <c r="D22" i="3"/>
  <c r="D23" i="3"/>
  <c r="H24" i="3" s="1"/>
  <c r="G24" i="3" s="1"/>
  <c r="D24" i="3"/>
  <c r="H25" i="3" s="1"/>
  <c r="G25" i="3" s="1"/>
  <c r="D25" i="3"/>
  <c r="H26" i="3" s="1"/>
  <c r="G26" i="3" s="1"/>
  <c r="D26" i="3"/>
  <c r="H27" i="3" s="1"/>
  <c r="G27" i="3" s="1"/>
  <c r="D27" i="3"/>
  <c r="H28" i="3" s="1"/>
  <c r="G28" i="3" s="1"/>
  <c r="D28" i="3"/>
  <c r="H29" i="3" s="1"/>
  <c r="G29" i="3" s="1"/>
  <c r="D29" i="3"/>
  <c r="H30" i="3" s="1"/>
  <c r="G30" i="3" s="1"/>
  <c r="D30" i="3"/>
  <c r="H31" i="3" s="1"/>
  <c r="G31" i="3" s="1"/>
  <c r="D31" i="3"/>
  <c r="H32" i="3" s="1"/>
  <c r="G32" i="3" s="1"/>
  <c r="D32" i="3"/>
  <c r="H33" i="3" s="1"/>
  <c r="G33" i="3" s="1"/>
  <c r="D33" i="3"/>
  <c r="H34" i="3" s="1"/>
  <c r="G34" i="3" s="1"/>
  <c r="D34" i="3"/>
  <c r="H35" i="3" s="1"/>
  <c r="G35" i="3" s="1"/>
  <c r="D35" i="3"/>
  <c r="H36" i="3" s="1"/>
  <c r="G36" i="3" s="1"/>
  <c r="D36" i="3"/>
  <c r="H37" i="3" s="1"/>
  <c r="G37" i="3" s="1"/>
  <c r="D37" i="3"/>
  <c r="H38" i="3" s="1"/>
  <c r="G38" i="3" s="1"/>
  <c r="D38" i="3"/>
  <c r="H39" i="3" s="1"/>
  <c r="G39" i="3" s="1"/>
  <c r="D39" i="3"/>
  <c r="H40" i="3" s="1"/>
  <c r="G40" i="3" s="1"/>
  <c r="D40" i="3"/>
  <c r="H41" i="3" s="1"/>
  <c r="G41" i="3" s="1"/>
  <c r="D41" i="3"/>
  <c r="H42" i="3" s="1"/>
  <c r="G42" i="3" s="1"/>
  <c r="D42" i="3"/>
  <c r="D43" i="3"/>
  <c r="H44" i="3" s="1"/>
  <c r="G44" i="3" s="1"/>
  <c r="D44" i="3"/>
  <c r="H45" i="3" s="1"/>
  <c r="G45" i="3" s="1"/>
  <c r="D45" i="3"/>
  <c r="H46" i="3" s="1"/>
  <c r="G46" i="3" s="1"/>
  <c r="D46" i="3"/>
  <c r="H47" i="3" s="1"/>
  <c r="G47" i="3" s="1"/>
  <c r="D16" i="2"/>
  <c r="D17" i="2"/>
  <c r="D18" i="2"/>
  <c r="D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15" i="2"/>
  <c r="D11" i="3"/>
  <c r="G3" i="3"/>
  <c r="D12" i="2" l="1"/>
  <c r="D13" i="2"/>
  <c r="D14" i="2"/>
  <c r="D11" i="2"/>
  <c r="G3" i="2"/>
  <c r="B51" i="1"/>
  <c r="B52" i="1"/>
  <c r="B53" i="1"/>
  <c r="B54" i="1"/>
  <c r="B50" i="1"/>
  <c r="B46" i="1"/>
  <c r="B47" i="1"/>
  <c r="B48" i="1"/>
  <c r="B49" i="1"/>
  <c r="B45" i="1"/>
  <c r="B41" i="1"/>
  <c r="B42" i="1"/>
  <c r="B43" i="1"/>
  <c r="B44" i="1"/>
  <c r="B40" i="1"/>
  <c r="B36" i="1"/>
  <c r="B37" i="1"/>
  <c r="B38" i="1"/>
  <c r="B39" i="1"/>
  <c r="B35" i="1"/>
  <c r="B31" i="1"/>
  <c r="B32" i="1"/>
  <c r="B33" i="1"/>
  <c r="B34" i="1"/>
  <c r="B30" i="1"/>
  <c r="B26" i="1"/>
  <c r="B27" i="1"/>
  <c r="B28" i="1"/>
  <c r="B29" i="1"/>
  <c r="B25" i="1"/>
  <c r="B21" i="1"/>
  <c r="B22" i="1"/>
  <c r="B23" i="1"/>
  <c r="B24" i="1"/>
  <c r="B20" i="1"/>
  <c r="B16" i="1"/>
  <c r="B17" i="1"/>
  <c r="B18" i="1"/>
  <c r="B19" i="1"/>
  <c r="B15" i="1"/>
  <c r="B11" i="1"/>
  <c r="B12" i="1"/>
  <c r="B13" i="1"/>
  <c r="B14" i="1"/>
  <c r="B10" i="1"/>
  <c r="B6" i="1"/>
  <c r="B7" i="1"/>
  <c r="B8" i="1"/>
  <c r="B9" i="1"/>
  <c r="B5" i="1"/>
  <c r="G6" i="1"/>
  <c r="G7" i="1"/>
  <c r="G8" i="1"/>
  <c r="G9" i="1"/>
  <c r="G10" i="1"/>
  <c r="H10" i="1" s="1"/>
  <c r="I10" i="1" s="1"/>
  <c r="G11" i="1"/>
  <c r="H11" i="1" s="1"/>
  <c r="G12" i="1"/>
  <c r="H12" i="1" s="1"/>
  <c r="G13" i="1"/>
  <c r="H13" i="1" s="1"/>
  <c r="I13" i="1" s="1"/>
  <c r="G14" i="1"/>
  <c r="H14" i="1" s="1"/>
  <c r="G15" i="1"/>
  <c r="G16" i="1"/>
  <c r="H16" i="1" s="1"/>
  <c r="G17" i="1"/>
  <c r="G18" i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G23" i="1"/>
  <c r="G24" i="1"/>
  <c r="G25" i="1"/>
  <c r="G26" i="1"/>
  <c r="H26" i="1" s="1"/>
  <c r="I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G39" i="1"/>
  <c r="H39" i="1" s="1"/>
  <c r="G40" i="1"/>
  <c r="H40" i="1" s="1"/>
  <c r="G41" i="1"/>
  <c r="H41" i="1" s="1"/>
  <c r="G42" i="1"/>
  <c r="H42" i="1" s="1"/>
  <c r="I42" i="1" s="1"/>
  <c r="G15" i="2" s="1"/>
  <c r="H15" i="2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G5" i="1"/>
  <c r="I5" i="1" s="1"/>
  <c r="H15" i="1" l="1"/>
  <c r="I15" i="1"/>
  <c r="G14" i="3"/>
  <c r="H14" i="3" s="1"/>
  <c r="G14" i="2"/>
  <c r="H14" i="2" s="1"/>
  <c r="G12" i="3"/>
  <c r="H12" i="3" s="1"/>
  <c r="G17" i="2"/>
  <c r="H17" i="2" s="1"/>
  <c r="G12" i="2"/>
  <c r="H12" i="2" s="1"/>
  <c r="I54" i="1"/>
  <c r="I50" i="1"/>
  <c r="I49" i="1"/>
  <c r="I48" i="1"/>
  <c r="I47" i="1"/>
  <c r="I46" i="1"/>
  <c r="I45" i="1"/>
  <c r="I44" i="1"/>
  <c r="I43" i="1"/>
  <c r="I41" i="1"/>
  <c r="I40" i="1"/>
  <c r="I39" i="1"/>
  <c r="I38" i="1"/>
  <c r="G18" i="3" s="1"/>
  <c r="H18" i="3" s="1"/>
  <c r="I32" i="1"/>
  <c r="G18" i="2" s="1"/>
  <c r="H18" i="2" s="1"/>
  <c r="I31" i="1"/>
  <c r="I30" i="1"/>
  <c r="I29" i="1"/>
  <c r="I28" i="1"/>
  <c r="I27" i="1"/>
  <c r="H25" i="1"/>
  <c r="I25" i="1" s="1"/>
  <c r="H24" i="1"/>
  <c r="I24" i="1" s="1"/>
  <c r="H23" i="1"/>
  <c r="I23" i="1" s="1"/>
  <c r="I22" i="1"/>
  <c r="H18" i="1"/>
  <c r="I18" i="1" s="1"/>
  <c r="G15" i="3" s="1"/>
  <c r="H15" i="3" s="1"/>
  <c r="H17" i="1"/>
  <c r="I17" i="1" s="1"/>
  <c r="I16" i="1"/>
  <c r="I14" i="1"/>
  <c r="I12" i="1"/>
  <c r="I11" i="1"/>
  <c r="H9" i="1"/>
  <c r="I9" i="1" s="1"/>
  <c r="H8" i="1"/>
  <c r="I8" i="1" s="1"/>
  <c r="H7" i="1"/>
  <c r="I7" i="1" s="1"/>
  <c r="H6" i="1"/>
  <c r="I6" i="1" s="1"/>
  <c r="G16" i="3" s="1"/>
  <c r="H16" i="3" s="1"/>
  <c r="G16" i="2" l="1"/>
  <c r="H16" i="2" s="1"/>
  <c r="G11" i="3"/>
  <c r="H11" i="3" s="1"/>
  <c r="G11" i="2"/>
  <c r="H11" i="2" s="1"/>
  <c r="H38" i="2" s="1"/>
  <c r="H40" i="2" s="1"/>
  <c r="G19" i="3"/>
  <c r="H19" i="3" s="1"/>
  <c r="G19" i="2"/>
  <c r="H19" i="2" s="1"/>
  <c r="G17" i="3"/>
  <c r="H17" i="3" s="1"/>
  <c r="G13" i="3"/>
  <c r="H13" i="3" s="1"/>
  <c r="G13" i="2"/>
  <c r="H13" i="2" s="1"/>
  <c r="H23" i="3" l="1"/>
  <c r="G23" i="3" s="1"/>
  <c r="I4" i="4"/>
  <c r="H10" i="4" l="1"/>
  <c r="I5" i="4"/>
  <c r="I6" i="4" s="1"/>
  <c r="I10" i="4"/>
  <c r="I11" i="4" s="1"/>
  <c r="I12" i="4" s="1"/>
  <c r="K10" i="4"/>
  <c r="K11" i="4" s="1"/>
  <c r="K12" i="4" s="1"/>
  <c r="H11" i="4"/>
  <c r="J10" i="4"/>
  <c r="J11" i="4" s="1"/>
  <c r="J12" i="4" s="1"/>
  <c r="L10" i="4"/>
  <c r="L11" i="4" s="1"/>
  <c r="L12" i="4" s="1"/>
  <c r="M12" i="4" l="1"/>
  <c r="K16" i="4"/>
  <c r="K17" i="4" s="1"/>
  <c r="H16" i="4"/>
  <c r="H17" i="4" s="1"/>
  <c r="J16" i="4"/>
  <c r="J17" i="4" s="1"/>
  <c r="I16" i="4"/>
  <c r="I17" i="4" s="1"/>
  <c r="L17" i="4" l="1"/>
  <c r="K4" i="4" s="1"/>
  <c r="B42" i="2" l="1"/>
  <c r="B42" i="5"/>
  <c r="H20" i="3"/>
  <c r="G20" i="3" s="1"/>
  <c r="H21" i="3"/>
  <c r="H22" i="3"/>
  <c r="G22" i="3" s="1"/>
  <c r="H43" i="3"/>
  <c r="G43" i="3" s="1"/>
  <c r="G21" i="3"/>
</calcChain>
</file>

<file path=xl/sharedStrings.xml><?xml version="1.0" encoding="utf-8"?>
<sst xmlns="http://schemas.openxmlformats.org/spreadsheetml/2006/main" count="248" uniqueCount="181">
  <si>
    <t>codigo</t>
  </si>
  <si>
    <t>descripcion</t>
  </si>
  <si>
    <t>stock (unidades)</t>
  </si>
  <si>
    <t>P. Costo</t>
  </si>
  <si>
    <t>Ganancia</t>
  </si>
  <si>
    <t>P. Bruto</t>
  </si>
  <si>
    <t>IVA</t>
  </si>
  <si>
    <t>P. Final</t>
  </si>
  <si>
    <t>Codigo del producto</t>
  </si>
  <si>
    <t>Sucursal</t>
  </si>
  <si>
    <t>Categoria</t>
  </si>
  <si>
    <t>Producto</t>
  </si>
  <si>
    <t>SUPERMERCADO ANGELITO</t>
  </si>
  <si>
    <t>Aceite 1lt</t>
  </si>
  <si>
    <t>Arroz 1kg</t>
  </si>
  <si>
    <t>Fideos 500gr</t>
  </si>
  <si>
    <t>Pure de Tomate 500gr</t>
  </si>
  <si>
    <t>Azucar 1kg</t>
  </si>
  <si>
    <t>Jabon</t>
  </si>
  <si>
    <t>Desodorante</t>
  </si>
  <si>
    <t>Shampoo</t>
  </si>
  <si>
    <t>Crema de Enjuague</t>
  </si>
  <si>
    <t>Dentrifico</t>
  </si>
  <si>
    <t>Queso Cremoso 100gr</t>
  </si>
  <si>
    <t>Jamon Cocido 100gr</t>
  </si>
  <si>
    <t>Muzzarella 100gr</t>
  </si>
  <si>
    <t>Leche 1lt</t>
  </si>
  <si>
    <t>Manteca 250gr</t>
  </si>
  <si>
    <t>Detergente 500ml</t>
  </si>
  <si>
    <t>Lavandina 1lt</t>
  </si>
  <si>
    <t>Esponja de Acero</t>
  </si>
  <si>
    <t>Guantes</t>
  </si>
  <si>
    <t>Trapo de Piso</t>
  </si>
  <si>
    <t>Plato Playo</t>
  </si>
  <si>
    <t>Cuchillo</t>
  </si>
  <si>
    <t>Tenedor</t>
  </si>
  <si>
    <t>Colador</t>
  </si>
  <si>
    <t>Olla</t>
  </si>
  <si>
    <t>Alimento 3kg</t>
  </si>
  <si>
    <t>Piedras Sanitarias 2kg</t>
  </si>
  <si>
    <t>Collar</t>
  </si>
  <si>
    <t>Correa</t>
  </si>
  <si>
    <t>Hueso de Goma</t>
  </si>
  <si>
    <t>Repasador</t>
  </si>
  <si>
    <t>Mantel</t>
  </si>
  <si>
    <t>Sabanas 1 plaza</t>
  </si>
  <si>
    <t>Servilletas x6</t>
  </si>
  <si>
    <t>Toallon</t>
  </si>
  <si>
    <t>Jugo de Naranja</t>
  </si>
  <si>
    <t>Cerveza 1lt</t>
  </si>
  <si>
    <t>Fernet 750 ml</t>
  </si>
  <si>
    <t>Coca Cola 2,15 lt</t>
  </si>
  <si>
    <t>Agua Mineral 2,15 lt</t>
  </si>
  <si>
    <t>Ludo Matic</t>
  </si>
  <si>
    <t>Generala</t>
  </si>
  <si>
    <t>Ajedrez</t>
  </si>
  <si>
    <t>Damas</t>
  </si>
  <si>
    <t>Serpientes y Escaleras</t>
  </si>
  <si>
    <t>Pan 500gr</t>
  </si>
  <si>
    <t>Medialunas x12</t>
  </si>
  <si>
    <t>Prepizza</t>
  </si>
  <si>
    <t>Pan Rayado</t>
  </si>
  <si>
    <t>Bizcochos 250gr</t>
  </si>
  <si>
    <t>Categorias</t>
  </si>
  <si>
    <t>Codigo</t>
  </si>
  <si>
    <t>Nombre</t>
  </si>
  <si>
    <t>Almacen</t>
  </si>
  <si>
    <t>Perfumeria</t>
  </si>
  <si>
    <t>Lacteos</t>
  </si>
  <si>
    <t>Limpieza</t>
  </si>
  <si>
    <t>Bazar</t>
  </si>
  <si>
    <t>Mascotas</t>
  </si>
  <si>
    <t>Textil</t>
  </si>
  <si>
    <t>Bebidas</t>
  </si>
  <si>
    <t>Jugueteria</t>
  </si>
  <si>
    <t>Panaderia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</si>
  <si>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</si>
  <si>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</si>
  <si>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</si>
  <si>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</si>
  <si>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</si>
  <si>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</si>
  <si>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</si>
  <si>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</si>
  <si>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</si>
  <si>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</si>
  <si>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Codigos de Producto</t>
  </si>
  <si>
    <t>Tipo de Factura</t>
  </si>
  <si>
    <t>A</t>
  </si>
  <si>
    <t>IIBB:</t>
  </si>
  <si>
    <t>Fecha:</t>
  </si>
  <si>
    <t>Factura Nro:</t>
  </si>
  <si>
    <t>31-4615231589-9</t>
  </si>
  <si>
    <t>Sr:</t>
  </si>
  <si>
    <t>Direccion:</t>
  </si>
  <si>
    <t>Condicion VTA</t>
  </si>
  <si>
    <t>CUIT/CUIL:</t>
  </si>
  <si>
    <t>Contado</t>
  </si>
  <si>
    <t>Consumidor Final</t>
  </si>
  <si>
    <t>Remito Num:</t>
  </si>
  <si>
    <t>Cantidad</t>
  </si>
  <si>
    <t>Descripcion</t>
  </si>
  <si>
    <t>P. Unitario</t>
  </si>
  <si>
    <t>Importe</t>
  </si>
  <si>
    <t>1003001</t>
  </si>
  <si>
    <t>1001001</t>
  </si>
  <si>
    <t>1002003</t>
  </si>
  <si>
    <t>1007002</t>
  </si>
  <si>
    <t>1008003</t>
  </si>
  <si>
    <t>1009005</t>
  </si>
  <si>
    <t>1006003</t>
  </si>
  <si>
    <t>Total:</t>
  </si>
  <si>
    <t>1008004</t>
  </si>
  <si>
    <t>TICKET</t>
  </si>
  <si>
    <t>unidad</t>
  </si>
  <si>
    <t>decena</t>
  </si>
  <si>
    <t>centena</t>
  </si>
  <si>
    <t>mil</t>
  </si>
  <si>
    <t xml:space="preserve">Funcion es: Concatenar // Truncar // Residuo </t>
  </si>
  <si>
    <t>Porcentaje de Ganancias</t>
  </si>
  <si>
    <t>Exento</t>
  </si>
  <si>
    <t>Tipos de IVA</t>
  </si>
  <si>
    <t>Decina de Mil</t>
  </si>
  <si>
    <t>Unidad de Mil</t>
  </si>
  <si>
    <t>Centenas</t>
  </si>
  <si>
    <t>Decenas</t>
  </si>
  <si>
    <t>Unidades</t>
  </si>
  <si>
    <t>Centavos</t>
  </si>
  <si>
    <t>Pesos</t>
  </si>
  <si>
    <t>Centavos:</t>
  </si>
  <si>
    <t>Pesos:</t>
  </si>
  <si>
    <t>Total Factura:</t>
  </si>
  <si>
    <t>Decena</t>
  </si>
  <si>
    <t>Unidad</t>
  </si>
  <si>
    <t>1SubCent</t>
  </si>
  <si>
    <t>2SubCent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</si>
  <si>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</si>
  <si>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</si>
  <si>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</si>
  <si>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</si>
  <si>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</si>
  <si>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</si>
  <si>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</si>
  <si>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</si>
  <si>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</si>
  <si>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</si>
  <si>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</si>
  <si>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</si>
  <si>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</si>
  <si>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</si>
  <si>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</si>
  <si>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</si>
  <si>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</si>
  <si>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</si>
  <si>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</si>
  <si>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</si>
  <si>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>VEINTI</t>
  </si>
  <si>
    <t>TREINTA</t>
  </si>
  <si>
    <t>CUARENTA</t>
  </si>
  <si>
    <t>CINCUENTA</t>
  </si>
  <si>
    <t>SESENTA</t>
  </si>
  <si>
    <t>SETENTA</t>
  </si>
  <si>
    <t>OCHENTA</t>
  </si>
  <si>
    <t>NOVENTA</t>
  </si>
  <si>
    <t>CIEN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</si>
  <si>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</si>
  <si>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</si>
  <si>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</si>
  <si>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</si>
  <si>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</si>
  <si>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</si>
  <si>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</si>
  <si>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</si>
  <si>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UN</t>
  </si>
  <si>
    <t/>
  </si>
  <si>
    <t>iva según sector</t>
  </si>
  <si>
    <t>ver clase del 17/05 primeros minutos</t>
  </si>
  <si>
    <t>Descuento:</t>
  </si>
  <si>
    <t>Subtotal:</t>
  </si>
  <si>
    <t>T.Credito</t>
  </si>
  <si>
    <t>VER ESTA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</si>
</sst>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\ #,##0.00;\-&quot;$&quot;\ #,##0.00"/>
    <numFmt numFmtId="44" formatCode="_-&quot;$&quot;\ * #,##0.00_-;\-&quot;$&quot;\ * #,##0.0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52A93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52A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0"/>
      <color rgb="FF20212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1" fontId="0" fillId="4" borderId="1" xfId="0" applyNumberFormat="1" applyFill="1" applyBorder="1"/>
    <xf numFmtId="2" fontId="0" fillId="4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/>
    <xf numFmtId="0" fontId="2" fillId="2" borderId="1" xfId="0" applyFont="1" applyFill="1" applyBorder="1" applyAlignment="1">
      <alignment horizontal="center"/>
    </xf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5" borderId="17" xfId="0" applyNumberFormat="1" applyFill="1" applyBorder="1" applyAlignment="1">
      <alignment horizontal="center"/>
    </xf>
    <xf numFmtId="0" fontId="0" fillId="5" borderId="18" xfId="0" applyFill="1" applyBorder="1"/>
    <xf numFmtId="44" fontId="0" fillId="5" borderId="18" xfId="1" applyFont="1" applyFill="1" applyBorder="1"/>
    <xf numFmtId="44" fontId="0" fillId="5" borderId="19" xfId="1" applyFont="1" applyFill="1" applyBorder="1"/>
    <xf numFmtId="49" fontId="0" fillId="5" borderId="14" xfId="0" applyNumberFormat="1" applyFill="1" applyBorder="1" applyAlignment="1">
      <alignment horizontal="center"/>
    </xf>
    <xf numFmtId="0" fontId="0" fillId="5" borderId="15" xfId="0" applyFill="1" applyBorder="1"/>
    <xf numFmtId="44" fontId="0" fillId="5" borderId="15" xfId="1" applyFont="1" applyFill="1" applyBorder="1"/>
    <xf numFmtId="44" fontId="0" fillId="5" borderId="16" xfId="1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7" fillId="5" borderId="10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/>
    </xf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0" fillId="0" borderId="0" xfId="0" applyFill="1" applyBorder="1"/>
    <xf numFmtId="44" fontId="0" fillId="0" borderId="0" xfId="1" applyFont="1" applyFill="1" applyBorder="1"/>
    <xf numFmtId="0" fontId="0" fillId="6" borderId="0" xfId="0" applyFill="1"/>
    <xf numFmtId="0" fontId="3" fillId="6" borderId="0" xfId="0" applyFont="1" applyFill="1" applyAlignment="1">
      <alignment horizontal="center"/>
    </xf>
    <xf numFmtId="49" fontId="3" fillId="4" borderId="27" xfId="0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49" fontId="3" fillId="4" borderId="20" xfId="0" applyNumberFormat="1" applyFont="1" applyFill="1" applyBorder="1"/>
    <xf numFmtId="0" fontId="3" fillId="4" borderId="21" xfId="0" applyFont="1" applyFill="1" applyBorder="1"/>
    <xf numFmtId="0" fontId="3" fillId="4" borderId="2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2" fillId="2" borderId="0" xfId="0" applyFont="1" applyFill="1"/>
    <xf numFmtId="44" fontId="0" fillId="0" borderId="0" xfId="0" applyNumberFormat="1"/>
    <xf numFmtId="0" fontId="0" fillId="0" borderId="1" xfId="0" applyBorder="1" applyAlignment="1">
      <alignment horizontal="center"/>
    </xf>
    <xf numFmtId="2" fontId="0" fillId="3" borderId="1" xfId="0" applyNumberFormat="1" applyFill="1" applyBorder="1"/>
    <xf numFmtId="1" fontId="0" fillId="6" borderId="0" xfId="0" applyNumberFormat="1" applyFill="1"/>
    <xf numFmtId="1" fontId="0" fillId="0" borderId="0" xfId="0" applyNumberFormat="1"/>
    <xf numFmtId="7" fontId="0" fillId="0" borderId="0" xfId="0" applyNumberFormat="1"/>
    <xf numFmtId="1" fontId="0" fillId="0" borderId="0" xfId="1" applyNumberFormat="1" applyFon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5" borderId="3" xfId="0" applyFont="1" applyFill="1" applyBorder="1"/>
    <xf numFmtId="0" fontId="3" fillId="5" borderId="0" xfId="0" applyFont="1" applyFill="1" applyBorder="1"/>
    <xf numFmtId="0" fontId="0" fillId="0" borderId="1" xfId="0" quotePrefix="1" applyBorder="1"/>
    <xf numFmtId="0" fontId="0" fillId="7" borderId="0" xfId="0" applyFill="1"/>
    <xf numFmtId="49" fontId="0" fillId="4" borderId="14" xfId="0" applyNumberFormat="1" applyFill="1" applyBorder="1" applyAlignment="1">
      <alignment horizontal="center"/>
    </xf>
    <xf numFmtId="0" fontId="0" fillId="4" borderId="15" xfId="0" applyFill="1" applyBorder="1"/>
    <xf numFmtId="44" fontId="0" fillId="4" borderId="15" xfId="1" applyFont="1" applyFill="1" applyBorder="1"/>
    <xf numFmtId="44" fontId="0" fillId="4" borderId="16" xfId="1" applyFont="1" applyFill="1" applyBorder="1"/>
    <xf numFmtId="49" fontId="0" fillId="4" borderId="23" xfId="0" applyNumberFormat="1" applyFill="1" applyBorder="1" applyAlignment="1">
      <alignment horizontal="center"/>
    </xf>
    <xf numFmtId="0" fontId="0" fillId="4" borderId="24" xfId="0" applyFill="1" applyBorder="1"/>
    <xf numFmtId="44" fontId="0" fillId="4" borderId="24" xfId="1" applyFont="1" applyFill="1" applyBorder="1"/>
    <xf numFmtId="10" fontId="0" fillId="4" borderId="25" xfId="2" applyNumberFormat="1" applyFont="1" applyFill="1" applyBorder="1"/>
    <xf numFmtId="0" fontId="9" fillId="8" borderId="0" xfId="0" applyFont="1" applyFill="1"/>
    <xf numFmtId="2" fontId="0" fillId="0" borderId="0" xfId="0" applyNumberFormat="1" applyFill="1" applyBorder="1" applyAlignment="1">
      <alignment horizontal="center"/>
    </xf>
    <xf numFmtId="44" fontId="3" fillId="0" borderId="0" xfId="1" applyFont="1" applyFill="1" applyBorder="1"/>
    <xf numFmtId="1" fontId="0" fillId="5" borderId="17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44" fontId="3" fillId="4" borderId="4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49" fontId="0" fillId="5" borderId="15" xfId="0" applyNumberFormat="1" applyFill="1" applyBorder="1"/>
    <xf numFmtId="49" fontId="0" fillId="4" borderId="15" xfId="0" applyNumberFormat="1" applyFill="1" applyBorder="1"/>
    <xf numFmtId="49" fontId="0" fillId="4" borderId="24" xfId="0" applyNumberFormat="1" applyFill="1" applyBorder="1"/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9" fontId="0" fillId="5" borderId="18" xfId="0" applyNumberFormat="1" applyFill="1" applyBorder="1"/>
    <xf numFmtId="0" fontId="3" fillId="5" borderId="0" xfId="0" applyFont="1" applyFill="1" applyBorder="1"/>
    <xf numFmtId="0" fontId="3" fillId="5" borderId="6" xfId="0" applyFont="1" applyFill="1" applyBorder="1"/>
    <xf numFmtId="0" fontId="3" fillId="5" borderId="3" xfId="0" applyFont="1" applyFill="1" applyBorder="1"/>
    <xf numFmtId="0" fontId="3" fillId="4" borderId="21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/>
    </xf>
    <xf numFmtId="14" fontId="3" fillId="5" borderId="6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3"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52A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3A01-3ADE-470C-9651-8FCC6647A078}">
  <dimension ref="A1:O54"/>
  <sheetViews>
    <sheetView zoomScaleNormal="100" workbookViewId="0">
      <selection activeCell="J17" sqref="J17"/>
    </sheetView>
  </sheetViews>
  <sheetFormatPr baseColWidth="10" defaultRowHeight="15" x14ac:dyDescent="0.25"/>
  <cols>
    <col min="1" max="1" width="7.140625" style="35" customWidth="1"/>
    <col min="2" max="2" width="11.85546875" bestFit="1" customWidth="1"/>
    <col min="3" max="3" width="20.28515625" bestFit="1" customWidth="1"/>
    <col min="4" max="4" width="15.5703125" bestFit="1" customWidth="1"/>
    <col min="6" max="6" width="11.85546875" bestFit="1" customWidth="1"/>
    <col min="8" max="8" width="11.85546875" bestFit="1" customWidth="1"/>
  </cols>
  <sheetData>
    <row r="1" spans="1:15" x14ac:dyDescent="0.25">
      <c r="B1" s="77" t="s">
        <v>12</v>
      </c>
      <c r="C1" s="77"/>
      <c r="D1" s="77"/>
      <c r="E1" s="77"/>
      <c r="F1" s="77"/>
      <c r="G1" s="77"/>
      <c r="H1" s="77"/>
      <c r="I1" s="77"/>
    </row>
    <row r="2" spans="1:15" x14ac:dyDescent="0.25">
      <c r="B2" s="77"/>
      <c r="C2" s="77"/>
      <c r="D2" s="77"/>
      <c r="E2" s="77"/>
      <c r="F2" s="77"/>
      <c r="G2" s="77"/>
      <c r="H2" s="77"/>
      <c r="I2" s="77"/>
    </row>
    <row r="4" spans="1:15" s="3" customFormat="1" x14ac:dyDescent="0.25">
      <c r="A4" s="35"/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K4" s="76" t="s">
        <v>8</v>
      </c>
      <c r="L4" s="76"/>
      <c r="M4" s="76"/>
      <c r="O4" s="3" t="s">
        <v>86</v>
      </c>
    </row>
    <row r="5" spans="1:15" x14ac:dyDescent="0.25">
      <c r="A5" s="35">
        <v>1</v>
      </c>
      <c r="B5" s="6" t="str">
        <f>CONCATENATE(K$6,K$10,O5)</f>
        <v>1001001</v>
      </c>
      <c r="C5" s="11" t="s">
        <v>15</v>
      </c>
      <c r="D5" s="6">
        <v>80</v>
      </c>
      <c r="E5" s="7">
        <v>9.5</v>
      </c>
      <c r="F5" s="7">
        <f>PRODUCT(E5,$K$22)</f>
        <v>4.75</v>
      </c>
      <c r="G5" s="7">
        <f>SUM(E5:F5)</f>
        <v>14.25</v>
      </c>
      <c r="H5" s="49">
        <f>PRODUCT(G5,0.21)</f>
        <v>2.9924999999999997</v>
      </c>
      <c r="I5" s="7">
        <f>SUM(G5:H5)</f>
        <v>17.2425</v>
      </c>
      <c r="K5" s="1" t="s">
        <v>9</v>
      </c>
      <c r="L5" s="1" t="s">
        <v>10</v>
      </c>
      <c r="M5" s="1" t="s">
        <v>11</v>
      </c>
      <c r="O5" s="4" t="s">
        <v>76</v>
      </c>
    </row>
    <row r="6" spans="1:15" x14ac:dyDescent="0.25">
      <c r="A6" s="35">
        <v>2</v>
      </c>
      <c r="B6" s="6" t="str">
        <f t="shared" ref="B6:B9" si="0">CONCATENATE(K$6,K$10,O6)</f>
        <v>1001002</v>
      </c>
      <c r="C6" s="11" t="s">
        <v>16</v>
      </c>
      <c r="D6" s="6">
        <v>73</v>
      </c>
      <c r="E6" s="7">
        <v>14.25</v>
      </c>
      <c r="F6" s="7">
        <f t="shared" ref="F6:F54" si="1">PRODUCT(E6,$K$22)</f>
        <v>7.125</v>
      </c>
      <c r="G6" s="7">
        <f t="shared" ref="G6:G54" si="2">SUM(E6:F6)</f>
        <v>21.375</v>
      </c>
      <c r="H6" s="49">
        <f t="shared" ref="H6:H54" si="3">PRODUCT(G6,0.21)</f>
        <v>4.4887499999999996</v>
      </c>
      <c r="I6" s="7">
        <f t="shared" ref="I6:I54" si="4">SUM(G6:H6)</f>
        <v>25.86375</v>
      </c>
      <c r="K6" s="2">
        <v>1</v>
      </c>
      <c r="L6" s="2">
        <v>121</v>
      </c>
      <c r="M6" s="2">
        <v>123</v>
      </c>
      <c r="O6" s="4" t="s">
        <v>77</v>
      </c>
    </row>
    <row r="7" spans="1:15" x14ac:dyDescent="0.25">
      <c r="A7" s="35">
        <v>3</v>
      </c>
      <c r="B7" s="6" t="str">
        <f t="shared" si="0"/>
        <v>1001003</v>
      </c>
      <c r="C7" s="11" t="s">
        <v>13</v>
      </c>
      <c r="D7" s="6">
        <v>42</v>
      </c>
      <c r="E7" s="7">
        <v>25</v>
      </c>
      <c r="F7" s="7">
        <f t="shared" si="1"/>
        <v>12.5</v>
      </c>
      <c r="G7" s="7">
        <f t="shared" si="2"/>
        <v>37.5</v>
      </c>
      <c r="H7" s="49">
        <f t="shared" si="3"/>
        <v>7.875</v>
      </c>
      <c r="I7" s="7">
        <f t="shared" si="4"/>
        <v>45.375</v>
      </c>
      <c r="O7" s="4" t="s">
        <v>78</v>
      </c>
    </row>
    <row r="8" spans="1:15" x14ac:dyDescent="0.25">
      <c r="A8" s="35">
        <v>4</v>
      </c>
      <c r="B8" s="6" t="str">
        <f t="shared" si="0"/>
        <v>1001004</v>
      </c>
      <c r="C8" s="11" t="s">
        <v>14</v>
      </c>
      <c r="D8" s="6">
        <v>64</v>
      </c>
      <c r="E8" s="7">
        <v>12.3</v>
      </c>
      <c r="F8" s="7">
        <f t="shared" si="1"/>
        <v>6.15</v>
      </c>
      <c r="G8" s="7">
        <f t="shared" si="2"/>
        <v>18.450000000000003</v>
      </c>
      <c r="H8" s="49">
        <f t="shared" si="3"/>
        <v>3.8745000000000003</v>
      </c>
      <c r="I8" s="7">
        <f t="shared" si="4"/>
        <v>22.324500000000004</v>
      </c>
      <c r="K8" s="75" t="s">
        <v>63</v>
      </c>
      <c r="L8" s="75"/>
      <c r="O8" s="4" t="s">
        <v>79</v>
      </c>
    </row>
    <row r="9" spans="1:15" x14ac:dyDescent="0.25">
      <c r="A9" s="35">
        <v>5</v>
      </c>
      <c r="B9" s="6" t="str">
        <f t="shared" si="0"/>
        <v>1001005</v>
      </c>
      <c r="C9" s="11" t="s">
        <v>17</v>
      </c>
      <c r="D9" s="6">
        <v>32</v>
      </c>
      <c r="E9" s="7">
        <v>7.45</v>
      </c>
      <c r="F9" s="7">
        <f t="shared" si="1"/>
        <v>3.7250000000000001</v>
      </c>
      <c r="G9" s="7">
        <f t="shared" si="2"/>
        <v>11.175000000000001</v>
      </c>
      <c r="H9" s="49">
        <f t="shared" si="3"/>
        <v>2.3467500000000001</v>
      </c>
      <c r="I9" s="7">
        <f t="shared" si="4"/>
        <v>13.521750000000001</v>
      </c>
      <c r="K9" s="2" t="s">
        <v>64</v>
      </c>
      <c r="L9" s="2" t="s">
        <v>65</v>
      </c>
      <c r="M9" t="s">
        <v>175</v>
      </c>
      <c r="O9" s="4" t="s">
        <v>80</v>
      </c>
    </row>
    <row r="10" spans="1:15" x14ac:dyDescent="0.25">
      <c r="A10" s="35">
        <v>6</v>
      </c>
      <c r="B10" s="8" t="str">
        <f>CONCATENATE(K$6,K$11,O5)</f>
        <v>1002001</v>
      </c>
      <c r="C10" s="12" t="s">
        <v>18</v>
      </c>
      <c r="D10" s="8">
        <v>28</v>
      </c>
      <c r="E10" s="9">
        <v>3.25</v>
      </c>
      <c r="F10" s="9">
        <f t="shared" si="1"/>
        <v>1.625</v>
      </c>
      <c r="G10" s="9">
        <f t="shared" si="2"/>
        <v>4.875</v>
      </c>
      <c r="H10" s="49">
        <f t="shared" si="3"/>
        <v>1.0237499999999999</v>
      </c>
      <c r="I10" s="9">
        <f t="shared" si="4"/>
        <v>5.8987499999999997</v>
      </c>
      <c r="K10" s="5" t="s">
        <v>76</v>
      </c>
      <c r="L10" s="2" t="s">
        <v>66</v>
      </c>
      <c r="M10" s="59">
        <v>10.199999999999999</v>
      </c>
    </row>
    <row r="11" spans="1:15" x14ac:dyDescent="0.25">
      <c r="A11" s="35">
        <v>7</v>
      </c>
      <c r="B11" s="8" t="str">
        <f t="shared" ref="B11:B14" si="5">CONCATENATE(K$6,K$11,O6)</f>
        <v>1002002</v>
      </c>
      <c r="C11" s="12" t="s">
        <v>19</v>
      </c>
      <c r="D11" s="8">
        <v>19</v>
      </c>
      <c r="E11" s="9">
        <v>8.9</v>
      </c>
      <c r="F11" s="9">
        <f t="shared" si="1"/>
        <v>4.45</v>
      </c>
      <c r="G11" s="9">
        <f t="shared" si="2"/>
        <v>13.350000000000001</v>
      </c>
      <c r="H11" s="49">
        <f t="shared" si="3"/>
        <v>2.8035000000000001</v>
      </c>
      <c r="I11" s="9">
        <f t="shared" si="4"/>
        <v>16.153500000000001</v>
      </c>
      <c r="K11" s="5" t="s">
        <v>77</v>
      </c>
      <c r="L11" s="2" t="s">
        <v>67</v>
      </c>
      <c r="M11" s="59">
        <v>21</v>
      </c>
    </row>
    <row r="12" spans="1:15" x14ac:dyDescent="0.25">
      <c r="A12" s="35">
        <v>8</v>
      </c>
      <c r="B12" s="8" t="str">
        <f t="shared" si="5"/>
        <v>1002003</v>
      </c>
      <c r="C12" s="12" t="s">
        <v>20</v>
      </c>
      <c r="D12" s="8">
        <v>14</v>
      </c>
      <c r="E12" s="9">
        <v>19.3</v>
      </c>
      <c r="F12" s="9">
        <f t="shared" si="1"/>
        <v>9.65</v>
      </c>
      <c r="G12" s="9">
        <f t="shared" si="2"/>
        <v>28.950000000000003</v>
      </c>
      <c r="H12" s="49">
        <f t="shared" si="3"/>
        <v>6.0795000000000003</v>
      </c>
      <c r="I12" s="9">
        <f t="shared" si="4"/>
        <v>35.029500000000006</v>
      </c>
      <c r="K12" s="5" t="s">
        <v>78</v>
      </c>
      <c r="L12" s="2" t="s">
        <v>68</v>
      </c>
      <c r="M12" s="59">
        <v>12</v>
      </c>
    </row>
    <row r="13" spans="1:15" x14ac:dyDescent="0.25">
      <c r="A13" s="35">
        <v>9</v>
      </c>
      <c r="B13" s="8" t="str">
        <f t="shared" si="5"/>
        <v>1002004</v>
      </c>
      <c r="C13" s="12" t="s">
        <v>21</v>
      </c>
      <c r="D13" s="8">
        <v>14</v>
      </c>
      <c r="E13" s="9">
        <v>24.95</v>
      </c>
      <c r="F13" s="9">
        <f t="shared" si="1"/>
        <v>12.475</v>
      </c>
      <c r="G13" s="9">
        <f t="shared" si="2"/>
        <v>37.424999999999997</v>
      </c>
      <c r="H13" s="49">
        <f t="shared" si="3"/>
        <v>7.8592499999999994</v>
      </c>
      <c r="I13" s="9">
        <f t="shared" si="4"/>
        <v>45.28425</v>
      </c>
      <c r="K13" s="5" t="s">
        <v>79</v>
      </c>
      <c r="L13" s="2" t="s">
        <v>69</v>
      </c>
      <c r="N13" t="s">
        <v>175</v>
      </c>
    </row>
    <row r="14" spans="1:15" x14ac:dyDescent="0.25">
      <c r="A14" s="35">
        <v>10</v>
      </c>
      <c r="B14" s="8" t="str">
        <f t="shared" si="5"/>
        <v>1002005</v>
      </c>
      <c r="C14" s="12" t="s">
        <v>22</v>
      </c>
      <c r="D14" s="8">
        <v>31</v>
      </c>
      <c r="E14" s="9">
        <v>6.7</v>
      </c>
      <c r="F14" s="9">
        <f t="shared" si="1"/>
        <v>3.35</v>
      </c>
      <c r="G14" s="9">
        <f t="shared" si="2"/>
        <v>10.050000000000001</v>
      </c>
      <c r="H14" s="49">
        <f t="shared" si="3"/>
        <v>2.1105</v>
      </c>
      <c r="I14" s="9">
        <f t="shared" si="4"/>
        <v>12.160500000000001</v>
      </c>
      <c r="K14" s="5" t="s">
        <v>80</v>
      </c>
      <c r="L14" s="2" t="s">
        <v>70</v>
      </c>
      <c r="N14" s="59"/>
    </row>
    <row r="15" spans="1:15" x14ac:dyDescent="0.25">
      <c r="A15" s="35">
        <v>11</v>
      </c>
      <c r="B15" s="6" t="str">
        <f>CONCATENATE(K$6,K$12,O5)</f>
        <v>1003001</v>
      </c>
      <c r="C15" s="11" t="s">
        <v>23</v>
      </c>
      <c r="D15" s="6">
        <v>44</v>
      </c>
      <c r="E15" s="7">
        <v>832.57</v>
      </c>
      <c r="F15" s="7">
        <f t="shared" si="1"/>
        <v>416.28500000000003</v>
      </c>
      <c r="G15" s="7">
        <f t="shared" si="2"/>
        <v>1248.855</v>
      </c>
      <c r="H15" s="49">
        <f t="shared" si="3"/>
        <v>262.25954999999999</v>
      </c>
      <c r="I15" s="7">
        <f>SUM(G15:H15)</f>
        <v>1511.11455</v>
      </c>
      <c r="K15" s="5" t="s">
        <v>81</v>
      </c>
      <c r="L15" s="2" t="s">
        <v>71</v>
      </c>
      <c r="N15" s="59" t="s">
        <v>176</v>
      </c>
    </row>
    <row r="16" spans="1:15" x14ac:dyDescent="0.25">
      <c r="A16" s="35">
        <v>12</v>
      </c>
      <c r="B16" s="6" t="str">
        <f t="shared" ref="B16:B19" si="6">CONCATENATE(K$6,K$12,O6)</f>
        <v>1003002</v>
      </c>
      <c r="C16" s="11" t="s">
        <v>24</v>
      </c>
      <c r="D16" s="6">
        <v>41</v>
      </c>
      <c r="E16" s="7">
        <v>6.4</v>
      </c>
      <c r="F16" s="7">
        <f t="shared" si="1"/>
        <v>3.2</v>
      </c>
      <c r="G16" s="7">
        <f t="shared" si="2"/>
        <v>9.6000000000000014</v>
      </c>
      <c r="H16" s="49">
        <f t="shared" si="3"/>
        <v>2.016</v>
      </c>
      <c r="I16" s="7">
        <f t="shared" si="4"/>
        <v>11.616000000000001</v>
      </c>
      <c r="K16" s="5" t="s">
        <v>82</v>
      </c>
      <c r="L16" s="2" t="s">
        <v>72</v>
      </c>
    </row>
    <row r="17" spans="1:12" x14ac:dyDescent="0.25">
      <c r="A17" s="35">
        <v>13</v>
      </c>
      <c r="B17" s="6" t="str">
        <f t="shared" si="6"/>
        <v>1003003</v>
      </c>
      <c r="C17" s="11" t="s">
        <v>25</v>
      </c>
      <c r="D17" s="6">
        <v>52</v>
      </c>
      <c r="E17" s="7">
        <v>5.7</v>
      </c>
      <c r="F17" s="7">
        <f t="shared" si="1"/>
        <v>2.85</v>
      </c>
      <c r="G17" s="7">
        <f t="shared" si="2"/>
        <v>8.5500000000000007</v>
      </c>
      <c r="H17" s="49">
        <f t="shared" si="3"/>
        <v>1.7955000000000001</v>
      </c>
      <c r="I17" s="7">
        <f t="shared" si="4"/>
        <v>10.345500000000001</v>
      </c>
      <c r="K17" s="5" t="s">
        <v>83</v>
      </c>
      <c r="L17" s="2" t="s">
        <v>73</v>
      </c>
    </row>
    <row r="18" spans="1:12" x14ac:dyDescent="0.25">
      <c r="A18" s="35">
        <v>14</v>
      </c>
      <c r="B18" s="6" t="str">
        <f t="shared" si="6"/>
        <v>1003004</v>
      </c>
      <c r="C18" s="11" t="s">
        <v>26</v>
      </c>
      <c r="D18" s="6">
        <v>23</v>
      </c>
      <c r="E18" s="7">
        <v>6.5</v>
      </c>
      <c r="F18" s="7">
        <f t="shared" si="1"/>
        <v>3.25</v>
      </c>
      <c r="G18" s="7">
        <f t="shared" si="2"/>
        <v>9.75</v>
      </c>
      <c r="H18" s="49">
        <f t="shared" si="3"/>
        <v>2.0474999999999999</v>
      </c>
      <c r="I18" s="7">
        <f t="shared" si="4"/>
        <v>11.797499999999999</v>
      </c>
      <c r="K18" s="5" t="s">
        <v>84</v>
      </c>
      <c r="L18" s="2" t="s">
        <v>74</v>
      </c>
    </row>
    <row r="19" spans="1:12" x14ac:dyDescent="0.25">
      <c r="A19" s="35">
        <v>15</v>
      </c>
      <c r="B19" s="6" t="str">
        <f t="shared" si="6"/>
        <v>1003005</v>
      </c>
      <c r="C19" s="11" t="s">
        <v>27</v>
      </c>
      <c r="D19" s="6">
        <v>16</v>
      </c>
      <c r="E19" s="7">
        <v>3.3</v>
      </c>
      <c r="F19" s="7">
        <f t="shared" si="1"/>
        <v>1.65</v>
      </c>
      <c r="G19" s="7">
        <f t="shared" si="2"/>
        <v>4.9499999999999993</v>
      </c>
      <c r="H19" s="49">
        <f t="shared" si="3"/>
        <v>1.0394999999999999</v>
      </c>
      <c r="I19" s="7">
        <f t="shared" si="4"/>
        <v>5.9894999999999996</v>
      </c>
      <c r="K19" s="5" t="s">
        <v>85</v>
      </c>
      <c r="L19" s="2" t="s">
        <v>75</v>
      </c>
    </row>
    <row r="20" spans="1:12" x14ac:dyDescent="0.25">
      <c r="A20" s="35">
        <v>16</v>
      </c>
      <c r="B20" s="8" t="str">
        <f>CONCATENATE(K$6,K$13,O5)</f>
        <v>1004001</v>
      </c>
      <c r="C20" s="12" t="s">
        <v>28</v>
      </c>
      <c r="D20" s="8">
        <v>17</v>
      </c>
      <c r="E20" s="9">
        <v>5.2</v>
      </c>
      <c r="F20" s="9">
        <f t="shared" si="1"/>
        <v>2.6</v>
      </c>
      <c r="G20" s="9">
        <f t="shared" si="2"/>
        <v>7.8000000000000007</v>
      </c>
      <c r="H20" s="49">
        <f t="shared" si="3"/>
        <v>1.6380000000000001</v>
      </c>
      <c r="I20" s="9">
        <f t="shared" si="4"/>
        <v>9.4380000000000006</v>
      </c>
    </row>
    <row r="21" spans="1:12" x14ac:dyDescent="0.25">
      <c r="A21" s="35">
        <v>17</v>
      </c>
      <c r="B21" s="8" t="str">
        <f t="shared" ref="B21:B24" si="7">CONCATENATE(K$6,K$13,O6)</f>
        <v>1004002</v>
      </c>
      <c r="C21" s="12" t="s">
        <v>29</v>
      </c>
      <c r="D21" s="8">
        <v>31</v>
      </c>
      <c r="E21" s="9">
        <v>4.4000000000000004</v>
      </c>
      <c r="F21" s="9">
        <f t="shared" si="1"/>
        <v>2.2000000000000002</v>
      </c>
      <c r="G21" s="9">
        <f t="shared" si="2"/>
        <v>6.6000000000000005</v>
      </c>
      <c r="H21" s="49">
        <f t="shared" si="3"/>
        <v>1.3860000000000001</v>
      </c>
      <c r="I21" s="9">
        <f t="shared" si="4"/>
        <v>7.9860000000000007</v>
      </c>
      <c r="K21" s="75" t="s">
        <v>119</v>
      </c>
      <c r="L21" s="75"/>
    </row>
    <row r="22" spans="1:12" x14ac:dyDescent="0.25">
      <c r="A22" s="35">
        <v>18</v>
      </c>
      <c r="B22" s="8" t="str">
        <f t="shared" si="7"/>
        <v>1004003</v>
      </c>
      <c r="C22" s="12" t="s">
        <v>30</v>
      </c>
      <c r="D22" s="8">
        <v>22</v>
      </c>
      <c r="E22" s="9">
        <v>0.9</v>
      </c>
      <c r="F22" s="9">
        <f t="shared" si="1"/>
        <v>0.45</v>
      </c>
      <c r="G22" s="9">
        <f t="shared" si="2"/>
        <v>1.35</v>
      </c>
      <c r="H22" s="49">
        <f t="shared" si="3"/>
        <v>0.28350000000000003</v>
      </c>
      <c r="I22" s="9">
        <f t="shared" si="4"/>
        <v>1.6335000000000002</v>
      </c>
      <c r="K22" s="74">
        <v>0.5</v>
      </c>
      <c r="L22" s="74"/>
    </row>
    <row r="23" spans="1:12" x14ac:dyDescent="0.25">
      <c r="A23" s="35">
        <v>19</v>
      </c>
      <c r="B23" s="8" t="str">
        <f t="shared" si="7"/>
        <v>1004004</v>
      </c>
      <c r="C23" s="12" t="s">
        <v>31</v>
      </c>
      <c r="D23" s="8">
        <v>10</v>
      </c>
      <c r="E23" s="9">
        <v>2.75</v>
      </c>
      <c r="F23" s="9">
        <f t="shared" si="1"/>
        <v>1.375</v>
      </c>
      <c r="G23" s="9">
        <f t="shared" si="2"/>
        <v>4.125</v>
      </c>
      <c r="H23" s="49">
        <f t="shared" si="3"/>
        <v>0.86624999999999996</v>
      </c>
      <c r="I23" s="9">
        <f t="shared" si="4"/>
        <v>4.99125</v>
      </c>
    </row>
    <row r="24" spans="1:12" x14ac:dyDescent="0.25">
      <c r="A24" s="35">
        <v>20</v>
      </c>
      <c r="B24" s="8" t="str">
        <f t="shared" si="7"/>
        <v>1004005</v>
      </c>
      <c r="C24" s="12" t="s">
        <v>32</v>
      </c>
      <c r="D24" s="8">
        <v>9</v>
      </c>
      <c r="E24" s="9">
        <v>4</v>
      </c>
      <c r="F24" s="9">
        <f t="shared" si="1"/>
        <v>2</v>
      </c>
      <c r="G24" s="9">
        <f t="shared" si="2"/>
        <v>6</v>
      </c>
      <c r="H24" s="49">
        <f t="shared" si="3"/>
        <v>1.26</v>
      </c>
      <c r="I24" s="9">
        <f t="shared" si="4"/>
        <v>7.26</v>
      </c>
      <c r="K24" s="75" t="s">
        <v>121</v>
      </c>
      <c r="L24" s="75"/>
    </row>
    <row r="25" spans="1:12" x14ac:dyDescent="0.25">
      <c r="A25" s="35">
        <v>21</v>
      </c>
      <c r="B25" s="6" t="str">
        <f>CONCATENATE(K$6,K$14,O5)</f>
        <v>1005001</v>
      </c>
      <c r="C25" s="11" t="s">
        <v>37</v>
      </c>
      <c r="D25" s="6">
        <v>4</v>
      </c>
      <c r="E25" s="7">
        <v>42</v>
      </c>
      <c r="F25" s="7">
        <f t="shared" si="1"/>
        <v>21</v>
      </c>
      <c r="G25" s="7">
        <f t="shared" si="2"/>
        <v>63</v>
      </c>
      <c r="H25" s="49">
        <f t="shared" si="3"/>
        <v>13.229999999999999</v>
      </c>
      <c r="I25" s="7">
        <f t="shared" si="4"/>
        <v>76.23</v>
      </c>
      <c r="K25" s="78">
        <v>1</v>
      </c>
      <c r="L25" s="79"/>
    </row>
    <row r="26" spans="1:12" x14ac:dyDescent="0.25">
      <c r="A26" s="35">
        <v>22</v>
      </c>
      <c r="B26" s="6" t="str">
        <f t="shared" ref="B26:B29" si="8">CONCATENATE(K$6,K$14,O6)</f>
        <v>1005002</v>
      </c>
      <c r="C26" s="11" t="s">
        <v>33</v>
      </c>
      <c r="D26" s="6">
        <v>24</v>
      </c>
      <c r="E26" s="7">
        <v>9.8000000000000007</v>
      </c>
      <c r="F26" s="7">
        <f t="shared" si="1"/>
        <v>4.9000000000000004</v>
      </c>
      <c r="G26" s="7">
        <f t="shared" si="2"/>
        <v>14.700000000000001</v>
      </c>
      <c r="H26" s="49">
        <f t="shared" si="3"/>
        <v>3.0870000000000002</v>
      </c>
      <c r="I26" s="7">
        <f t="shared" si="4"/>
        <v>17.787000000000003</v>
      </c>
      <c r="K26" s="74">
        <v>1.105</v>
      </c>
      <c r="L26" s="74"/>
    </row>
    <row r="27" spans="1:12" x14ac:dyDescent="0.25">
      <c r="A27" s="35">
        <v>23</v>
      </c>
      <c r="B27" s="6" t="str">
        <f t="shared" si="8"/>
        <v>1005003</v>
      </c>
      <c r="C27" s="11" t="s">
        <v>34</v>
      </c>
      <c r="D27" s="6">
        <v>24</v>
      </c>
      <c r="E27" s="7">
        <v>4.4000000000000004</v>
      </c>
      <c r="F27" s="7">
        <f t="shared" si="1"/>
        <v>2.2000000000000002</v>
      </c>
      <c r="G27" s="7">
        <f t="shared" si="2"/>
        <v>6.6000000000000005</v>
      </c>
      <c r="H27" s="49">
        <f t="shared" si="3"/>
        <v>1.3860000000000001</v>
      </c>
      <c r="I27" s="7">
        <f t="shared" si="4"/>
        <v>7.9860000000000007</v>
      </c>
      <c r="K27" s="74">
        <v>1.21</v>
      </c>
      <c r="L27" s="74"/>
    </row>
    <row r="28" spans="1:12" x14ac:dyDescent="0.25">
      <c r="A28" s="35">
        <v>24</v>
      </c>
      <c r="B28" s="6" t="str">
        <f t="shared" si="8"/>
        <v>1005004</v>
      </c>
      <c r="C28" s="11" t="s">
        <v>35</v>
      </c>
      <c r="D28" s="6">
        <v>24</v>
      </c>
      <c r="E28" s="7">
        <v>4.4000000000000004</v>
      </c>
      <c r="F28" s="7">
        <f t="shared" si="1"/>
        <v>2.2000000000000002</v>
      </c>
      <c r="G28" s="7">
        <f t="shared" si="2"/>
        <v>6.6000000000000005</v>
      </c>
      <c r="H28" s="49">
        <f t="shared" si="3"/>
        <v>1.3860000000000001</v>
      </c>
      <c r="I28" s="7">
        <f t="shared" si="4"/>
        <v>7.9860000000000007</v>
      </c>
    </row>
    <row r="29" spans="1:12" x14ac:dyDescent="0.25">
      <c r="A29" s="35">
        <v>25</v>
      </c>
      <c r="B29" s="6" t="str">
        <f t="shared" si="8"/>
        <v>1005005</v>
      </c>
      <c r="C29" s="11" t="s">
        <v>36</v>
      </c>
      <c r="D29" s="6">
        <v>6</v>
      </c>
      <c r="E29" s="7">
        <v>12</v>
      </c>
      <c r="F29" s="7">
        <f t="shared" si="1"/>
        <v>6</v>
      </c>
      <c r="G29" s="7">
        <f t="shared" si="2"/>
        <v>18</v>
      </c>
      <c r="H29" s="49">
        <f t="shared" si="3"/>
        <v>3.78</v>
      </c>
      <c r="I29" s="7">
        <f t="shared" si="4"/>
        <v>21.78</v>
      </c>
    </row>
    <row r="30" spans="1:12" x14ac:dyDescent="0.25">
      <c r="A30" s="35">
        <v>26</v>
      </c>
      <c r="B30" s="8" t="str">
        <f>CONCATENATE(K$6,K$15,O5)</f>
        <v>1006001</v>
      </c>
      <c r="C30" s="12" t="s">
        <v>38</v>
      </c>
      <c r="D30" s="8">
        <v>10</v>
      </c>
      <c r="E30" s="9">
        <v>32</v>
      </c>
      <c r="F30" s="9">
        <f t="shared" si="1"/>
        <v>16</v>
      </c>
      <c r="G30" s="9">
        <f t="shared" si="2"/>
        <v>48</v>
      </c>
      <c r="H30" s="49">
        <f t="shared" si="3"/>
        <v>10.08</v>
      </c>
      <c r="I30" s="9">
        <f t="shared" si="4"/>
        <v>58.08</v>
      </c>
    </row>
    <row r="31" spans="1:12" x14ac:dyDescent="0.25">
      <c r="A31" s="35">
        <v>27</v>
      </c>
      <c r="B31" s="8" t="str">
        <f t="shared" ref="B31:B34" si="9">CONCATENATE(K$6,K$15,O6)</f>
        <v>1006002</v>
      </c>
      <c r="C31" s="12" t="s">
        <v>39</v>
      </c>
      <c r="D31" s="8">
        <v>10</v>
      </c>
      <c r="E31" s="9">
        <v>16</v>
      </c>
      <c r="F31" s="9">
        <f t="shared" si="1"/>
        <v>8</v>
      </c>
      <c r="G31" s="9">
        <f t="shared" si="2"/>
        <v>24</v>
      </c>
      <c r="H31" s="49">
        <f t="shared" si="3"/>
        <v>5.04</v>
      </c>
      <c r="I31" s="9">
        <f t="shared" si="4"/>
        <v>29.04</v>
      </c>
    </row>
    <row r="32" spans="1:12" x14ac:dyDescent="0.25">
      <c r="A32" s="35">
        <v>28</v>
      </c>
      <c r="B32" s="8" t="str">
        <f t="shared" si="9"/>
        <v>1006003</v>
      </c>
      <c r="C32" s="12" t="s">
        <v>40</v>
      </c>
      <c r="D32" s="8">
        <v>6</v>
      </c>
      <c r="E32" s="9">
        <v>6.8</v>
      </c>
      <c r="F32" s="9">
        <f t="shared" si="1"/>
        <v>3.4</v>
      </c>
      <c r="G32" s="9">
        <f t="shared" si="2"/>
        <v>10.199999999999999</v>
      </c>
      <c r="H32" s="49">
        <f t="shared" si="3"/>
        <v>2.1419999999999999</v>
      </c>
      <c r="I32" s="9">
        <f t="shared" si="4"/>
        <v>12.341999999999999</v>
      </c>
    </row>
    <row r="33" spans="1:9" x14ac:dyDescent="0.25">
      <c r="A33" s="35">
        <v>29</v>
      </c>
      <c r="B33" s="8" t="str">
        <f t="shared" si="9"/>
        <v>1006004</v>
      </c>
      <c r="C33" s="12" t="s">
        <v>41</v>
      </c>
      <c r="D33" s="8">
        <v>9</v>
      </c>
      <c r="E33" s="9">
        <v>14</v>
      </c>
      <c r="F33" s="9">
        <f t="shared" si="1"/>
        <v>7</v>
      </c>
      <c r="G33" s="9">
        <f t="shared" si="2"/>
        <v>21</v>
      </c>
      <c r="H33" s="49">
        <f t="shared" si="3"/>
        <v>4.41</v>
      </c>
      <c r="I33" s="9">
        <f t="shared" si="4"/>
        <v>25.41</v>
      </c>
    </row>
    <row r="34" spans="1:9" x14ac:dyDescent="0.25">
      <c r="A34" s="35">
        <v>30</v>
      </c>
      <c r="B34" s="8" t="str">
        <f t="shared" si="9"/>
        <v>1006005</v>
      </c>
      <c r="C34" s="12" t="s">
        <v>42</v>
      </c>
      <c r="D34" s="8">
        <v>24</v>
      </c>
      <c r="E34" s="9">
        <v>5.6</v>
      </c>
      <c r="F34" s="9">
        <f t="shared" si="1"/>
        <v>2.8</v>
      </c>
      <c r="G34" s="9">
        <f t="shared" si="2"/>
        <v>8.3999999999999986</v>
      </c>
      <c r="H34" s="49">
        <f t="shared" si="3"/>
        <v>1.7639999999999996</v>
      </c>
      <c r="I34" s="9">
        <f t="shared" si="4"/>
        <v>10.163999999999998</v>
      </c>
    </row>
    <row r="35" spans="1:9" x14ac:dyDescent="0.25">
      <c r="A35" s="35">
        <v>31</v>
      </c>
      <c r="B35" s="6" t="str">
        <f>CONCATENATE(K$6,K$16,O5)</f>
        <v>1007001</v>
      </c>
      <c r="C35" s="11" t="s">
        <v>43</v>
      </c>
      <c r="D35" s="6">
        <v>6</v>
      </c>
      <c r="E35" s="7">
        <v>3.3</v>
      </c>
      <c r="F35" s="7">
        <f t="shared" si="1"/>
        <v>1.65</v>
      </c>
      <c r="G35" s="7">
        <f t="shared" si="2"/>
        <v>4.9499999999999993</v>
      </c>
      <c r="H35" s="49">
        <f t="shared" si="3"/>
        <v>1.0394999999999999</v>
      </c>
      <c r="I35" s="7">
        <f t="shared" si="4"/>
        <v>5.9894999999999996</v>
      </c>
    </row>
    <row r="36" spans="1:9" x14ac:dyDescent="0.25">
      <c r="A36" s="35">
        <v>32</v>
      </c>
      <c r="B36" s="6" t="str">
        <f t="shared" ref="B36:B39" si="10">CONCATENATE(K$6,K$16,O6)</f>
        <v>1007002</v>
      </c>
      <c r="C36" s="11" t="s">
        <v>44</v>
      </c>
      <c r="D36" s="6">
        <v>6</v>
      </c>
      <c r="E36" s="7">
        <v>28</v>
      </c>
      <c r="F36" s="7">
        <f t="shared" si="1"/>
        <v>14</v>
      </c>
      <c r="G36" s="7">
        <f t="shared" si="2"/>
        <v>42</v>
      </c>
      <c r="H36" s="49">
        <f t="shared" si="3"/>
        <v>8.82</v>
      </c>
      <c r="I36" s="7">
        <f t="shared" si="4"/>
        <v>50.82</v>
      </c>
    </row>
    <row r="37" spans="1:9" x14ac:dyDescent="0.25">
      <c r="A37" s="35">
        <v>33</v>
      </c>
      <c r="B37" s="6" t="str">
        <f t="shared" si="10"/>
        <v>1007003</v>
      </c>
      <c r="C37" s="11" t="s">
        <v>45</v>
      </c>
      <c r="D37" s="6">
        <v>7</v>
      </c>
      <c r="E37" s="7">
        <v>49.9</v>
      </c>
      <c r="F37" s="7">
        <f t="shared" si="1"/>
        <v>24.95</v>
      </c>
      <c r="G37" s="7">
        <f t="shared" si="2"/>
        <v>74.849999999999994</v>
      </c>
      <c r="H37" s="49">
        <f t="shared" si="3"/>
        <v>15.718499999999999</v>
      </c>
      <c r="I37" s="7">
        <f t="shared" si="4"/>
        <v>90.5685</v>
      </c>
    </row>
    <row r="38" spans="1:9" x14ac:dyDescent="0.25">
      <c r="A38" s="35">
        <v>34</v>
      </c>
      <c r="B38" s="6" t="str">
        <f t="shared" si="10"/>
        <v>1007004</v>
      </c>
      <c r="C38" s="11" t="s">
        <v>46</v>
      </c>
      <c r="D38" s="6">
        <v>12</v>
      </c>
      <c r="E38" s="7">
        <v>9</v>
      </c>
      <c r="F38" s="7">
        <f t="shared" si="1"/>
        <v>4.5</v>
      </c>
      <c r="G38" s="7">
        <f t="shared" si="2"/>
        <v>13.5</v>
      </c>
      <c r="H38" s="49">
        <f t="shared" si="3"/>
        <v>2.835</v>
      </c>
      <c r="I38" s="7">
        <f t="shared" si="4"/>
        <v>16.335000000000001</v>
      </c>
    </row>
    <row r="39" spans="1:9" x14ac:dyDescent="0.25">
      <c r="A39" s="35">
        <v>35</v>
      </c>
      <c r="B39" s="6" t="str">
        <f t="shared" si="10"/>
        <v>1007005</v>
      </c>
      <c r="C39" s="11" t="s">
        <v>47</v>
      </c>
      <c r="D39" s="6">
        <v>9</v>
      </c>
      <c r="E39" s="7">
        <v>23</v>
      </c>
      <c r="F39" s="7">
        <f t="shared" si="1"/>
        <v>11.5</v>
      </c>
      <c r="G39" s="7">
        <f t="shared" si="2"/>
        <v>34.5</v>
      </c>
      <c r="H39" s="49">
        <f t="shared" si="3"/>
        <v>7.2450000000000001</v>
      </c>
      <c r="I39" s="7">
        <f t="shared" si="4"/>
        <v>41.744999999999997</v>
      </c>
    </row>
    <row r="40" spans="1:9" x14ac:dyDescent="0.25">
      <c r="A40" s="35">
        <v>36</v>
      </c>
      <c r="B40" s="8" t="str">
        <f>CONCATENATE(K$6,K$17,O5)</f>
        <v>1008001</v>
      </c>
      <c r="C40" s="12" t="s">
        <v>48</v>
      </c>
      <c r="D40" s="8">
        <v>48</v>
      </c>
      <c r="E40" s="9">
        <v>2.8</v>
      </c>
      <c r="F40" s="9">
        <f t="shared" si="1"/>
        <v>1.4</v>
      </c>
      <c r="G40" s="9">
        <f t="shared" si="2"/>
        <v>4.1999999999999993</v>
      </c>
      <c r="H40" s="49">
        <f t="shared" si="3"/>
        <v>0.88199999999999978</v>
      </c>
      <c r="I40" s="9">
        <f t="shared" si="4"/>
        <v>5.081999999999999</v>
      </c>
    </row>
    <row r="41" spans="1:9" x14ac:dyDescent="0.25">
      <c r="A41" s="35">
        <v>37</v>
      </c>
      <c r="B41" s="8" t="str">
        <f t="shared" ref="B41:B44" si="11">CONCATENATE(K$6,K$17,O6)</f>
        <v>1008002</v>
      </c>
      <c r="C41" s="12" t="s">
        <v>49</v>
      </c>
      <c r="D41" s="8">
        <v>72</v>
      </c>
      <c r="E41" s="9">
        <v>6.3</v>
      </c>
      <c r="F41" s="9">
        <f t="shared" si="1"/>
        <v>3.15</v>
      </c>
      <c r="G41" s="9">
        <f t="shared" si="2"/>
        <v>9.4499999999999993</v>
      </c>
      <c r="H41" s="49">
        <f t="shared" si="3"/>
        <v>1.9844999999999997</v>
      </c>
      <c r="I41" s="9">
        <f t="shared" si="4"/>
        <v>11.4345</v>
      </c>
    </row>
    <row r="42" spans="1:9" x14ac:dyDescent="0.25">
      <c r="A42" s="35">
        <v>38</v>
      </c>
      <c r="B42" s="8" t="str">
        <f t="shared" si="11"/>
        <v>1008003</v>
      </c>
      <c r="C42" s="12" t="s">
        <v>50</v>
      </c>
      <c r="D42" s="8">
        <v>14</v>
      </c>
      <c r="E42" s="9">
        <v>19.8</v>
      </c>
      <c r="F42" s="9">
        <f t="shared" si="1"/>
        <v>9.9</v>
      </c>
      <c r="G42" s="9">
        <f t="shared" si="2"/>
        <v>29.700000000000003</v>
      </c>
      <c r="H42" s="49">
        <f t="shared" si="3"/>
        <v>6.2370000000000001</v>
      </c>
      <c r="I42" s="9">
        <f t="shared" si="4"/>
        <v>35.937000000000005</v>
      </c>
    </row>
    <row r="43" spans="1:9" x14ac:dyDescent="0.25">
      <c r="A43" s="35">
        <v>39</v>
      </c>
      <c r="B43" s="8" t="str">
        <f t="shared" si="11"/>
        <v>1008004</v>
      </c>
      <c r="C43" s="12" t="s">
        <v>51</v>
      </c>
      <c r="D43" s="8">
        <v>24</v>
      </c>
      <c r="E43" s="9">
        <v>5.4</v>
      </c>
      <c r="F43" s="9">
        <f t="shared" si="1"/>
        <v>2.7</v>
      </c>
      <c r="G43" s="9">
        <f t="shared" si="2"/>
        <v>8.1000000000000014</v>
      </c>
      <c r="H43" s="49">
        <f t="shared" si="3"/>
        <v>1.7010000000000003</v>
      </c>
      <c r="I43" s="9">
        <f t="shared" si="4"/>
        <v>9.8010000000000019</v>
      </c>
    </row>
    <row r="44" spans="1:9" x14ac:dyDescent="0.25">
      <c r="A44" s="35">
        <v>40</v>
      </c>
      <c r="B44" s="8" t="str">
        <f t="shared" si="11"/>
        <v>1008005</v>
      </c>
      <c r="C44" s="12" t="s">
        <v>52</v>
      </c>
      <c r="D44" s="8">
        <v>24</v>
      </c>
      <c r="E44" s="9">
        <v>3.2</v>
      </c>
      <c r="F44" s="9">
        <f t="shared" si="1"/>
        <v>1.6</v>
      </c>
      <c r="G44" s="9">
        <f t="shared" si="2"/>
        <v>4.8000000000000007</v>
      </c>
      <c r="H44" s="49">
        <f t="shared" si="3"/>
        <v>1.008</v>
      </c>
      <c r="I44" s="9">
        <f t="shared" si="4"/>
        <v>5.8080000000000007</v>
      </c>
    </row>
    <row r="45" spans="1:9" x14ac:dyDescent="0.25">
      <c r="A45" s="35">
        <v>41</v>
      </c>
      <c r="B45" s="6" t="str">
        <f>CONCATENATE(K$6,K$18,O5)</f>
        <v>1009001</v>
      </c>
      <c r="C45" s="11" t="s">
        <v>53</v>
      </c>
      <c r="D45" s="6">
        <v>6</v>
      </c>
      <c r="E45" s="7">
        <v>4.5</v>
      </c>
      <c r="F45" s="7">
        <f t="shared" si="1"/>
        <v>2.25</v>
      </c>
      <c r="G45" s="7">
        <f t="shared" si="2"/>
        <v>6.75</v>
      </c>
      <c r="H45" s="49">
        <f t="shared" si="3"/>
        <v>1.4175</v>
      </c>
      <c r="I45" s="7">
        <f t="shared" si="4"/>
        <v>8.1675000000000004</v>
      </c>
    </row>
    <row r="46" spans="1:9" x14ac:dyDescent="0.25">
      <c r="A46" s="35">
        <v>42</v>
      </c>
      <c r="B46" s="6" t="str">
        <f t="shared" ref="B46:B49" si="12">CONCATENATE(K$6,K$18,O6)</f>
        <v>1009002</v>
      </c>
      <c r="C46" s="11" t="s">
        <v>54</v>
      </c>
      <c r="D46" s="6">
        <v>6</v>
      </c>
      <c r="E46" s="7">
        <v>4.5</v>
      </c>
      <c r="F46" s="7">
        <f t="shared" si="1"/>
        <v>2.25</v>
      </c>
      <c r="G46" s="7">
        <f t="shared" si="2"/>
        <v>6.75</v>
      </c>
      <c r="H46" s="49">
        <f t="shared" si="3"/>
        <v>1.4175</v>
      </c>
      <c r="I46" s="7">
        <f t="shared" si="4"/>
        <v>8.1675000000000004</v>
      </c>
    </row>
    <row r="47" spans="1:9" x14ac:dyDescent="0.25">
      <c r="A47" s="35">
        <v>43</v>
      </c>
      <c r="B47" s="6" t="str">
        <f t="shared" si="12"/>
        <v>1009003</v>
      </c>
      <c r="C47" s="11" t="s">
        <v>55</v>
      </c>
      <c r="D47" s="6">
        <v>9</v>
      </c>
      <c r="E47" s="7">
        <v>4.5</v>
      </c>
      <c r="F47" s="7">
        <f t="shared" si="1"/>
        <v>2.25</v>
      </c>
      <c r="G47" s="7">
        <f t="shared" si="2"/>
        <v>6.75</v>
      </c>
      <c r="H47" s="49">
        <f t="shared" si="3"/>
        <v>1.4175</v>
      </c>
      <c r="I47" s="7">
        <f t="shared" si="4"/>
        <v>8.1675000000000004</v>
      </c>
    </row>
    <row r="48" spans="1:9" x14ac:dyDescent="0.25">
      <c r="A48" s="35">
        <v>44</v>
      </c>
      <c r="B48" s="6" t="str">
        <f t="shared" si="12"/>
        <v>1009004</v>
      </c>
      <c r="C48" s="11" t="s">
        <v>56</v>
      </c>
      <c r="D48" s="6">
        <v>4</v>
      </c>
      <c r="E48" s="7">
        <v>4.5</v>
      </c>
      <c r="F48" s="7">
        <f t="shared" si="1"/>
        <v>2.25</v>
      </c>
      <c r="G48" s="7">
        <f t="shared" si="2"/>
        <v>6.75</v>
      </c>
      <c r="H48" s="49">
        <f t="shared" si="3"/>
        <v>1.4175</v>
      </c>
      <c r="I48" s="7">
        <f t="shared" si="4"/>
        <v>8.1675000000000004</v>
      </c>
    </row>
    <row r="49" spans="1:9" x14ac:dyDescent="0.25">
      <c r="A49" s="35">
        <v>45</v>
      </c>
      <c r="B49" s="6" t="str">
        <f t="shared" si="12"/>
        <v>1009005</v>
      </c>
      <c r="C49" s="11" t="s">
        <v>57</v>
      </c>
      <c r="D49" s="6">
        <v>8</v>
      </c>
      <c r="E49" s="7">
        <v>4.5</v>
      </c>
      <c r="F49" s="7">
        <f t="shared" si="1"/>
        <v>2.25</v>
      </c>
      <c r="G49" s="7">
        <f t="shared" si="2"/>
        <v>6.75</v>
      </c>
      <c r="H49" s="49">
        <f t="shared" si="3"/>
        <v>1.4175</v>
      </c>
      <c r="I49" s="7">
        <f t="shared" si="4"/>
        <v>8.1675000000000004</v>
      </c>
    </row>
    <row r="50" spans="1:9" x14ac:dyDescent="0.25">
      <c r="A50" s="35">
        <v>46</v>
      </c>
      <c r="B50" s="8" t="str">
        <f>CONCATENATE(K$6,K$19,O5)</f>
        <v>1010001</v>
      </c>
      <c r="C50" s="12" t="s">
        <v>58</v>
      </c>
      <c r="D50" s="8">
        <v>21</v>
      </c>
      <c r="E50" s="9">
        <v>2.5</v>
      </c>
      <c r="F50" s="9">
        <f t="shared" si="1"/>
        <v>1.25</v>
      </c>
      <c r="G50" s="9">
        <f t="shared" si="2"/>
        <v>3.75</v>
      </c>
      <c r="H50" s="49">
        <f t="shared" si="3"/>
        <v>0.78749999999999998</v>
      </c>
      <c r="I50" s="9">
        <f t="shared" si="4"/>
        <v>4.5374999999999996</v>
      </c>
    </row>
    <row r="51" spans="1:9" x14ac:dyDescent="0.25">
      <c r="A51" s="35">
        <v>47</v>
      </c>
      <c r="B51" s="8" t="str">
        <f t="shared" ref="B51:B54" si="13">CONCATENATE(K$6,K$19,O6)</f>
        <v>1010002</v>
      </c>
      <c r="C51" s="12" t="s">
        <v>59</v>
      </c>
      <c r="D51" s="8">
        <v>8</v>
      </c>
      <c r="E51" s="9">
        <v>6</v>
      </c>
      <c r="F51" s="9">
        <f t="shared" si="1"/>
        <v>3</v>
      </c>
      <c r="G51" s="9">
        <f t="shared" si="2"/>
        <v>9</v>
      </c>
      <c r="H51" s="49">
        <f t="shared" si="3"/>
        <v>1.89</v>
      </c>
      <c r="I51" s="9">
        <f t="shared" si="4"/>
        <v>10.89</v>
      </c>
    </row>
    <row r="52" spans="1:9" x14ac:dyDescent="0.25">
      <c r="A52" s="35">
        <v>48</v>
      </c>
      <c r="B52" s="8" t="str">
        <f t="shared" si="13"/>
        <v>1010003</v>
      </c>
      <c r="C52" s="12" t="s">
        <v>60</v>
      </c>
      <c r="D52" s="8">
        <v>10</v>
      </c>
      <c r="E52" s="9">
        <v>3.5</v>
      </c>
      <c r="F52" s="9">
        <f t="shared" si="1"/>
        <v>1.75</v>
      </c>
      <c r="G52" s="9">
        <f t="shared" si="2"/>
        <v>5.25</v>
      </c>
      <c r="H52" s="49">
        <f t="shared" si="3"/>
        <v>1.1025</v>
      </c>
      <c r="I52" s="9">
        <f t="shared" si="4"/>
        <v>6.3525</v>
      </c>
    </row>
    <row r="53" spans="1:9" x14ac:dyDescent="0.25">
      <c r="A53" s="35">
        <v>49</v>
      </c>
      <c r="B53" s="8" t="str">
        <f t="shared" si="13"/>
        <v>1010004</v>
      </c>
      <c r="C53" s="12" t="s">
        <v>61</v>
      </c>
      <c r="D53" s="8">
        <v>10</v>
      </c>
      <c r="E53" s="9">
        <v>2.75</v>
      </c>
      <c r="F53" s="9">
        <f t="shared" si="1"/>
        <v>1.375</v>
      </c>
      <c r="G53" s="9">
        <f t="shared" si="2"/>
        <v>4.125</v>
      </c>
      <c r="H53" s="49">
        <f t="shared" si="3"/>
        <v>0.86624999999999996</v>
      </c>
      <c r="I53" s="9">
        <f t="shared" si="4"/>
        <v>4.99125</v>
      </c>
    </row>
    <row r="54" spans="1:9" x14ac:dyDescent="0.25">
      <c r="A54" s="35">
        <v>50</v>
      </c>
      <c r="B54" s="8" t="str">
        <f t="shared" si="13"/>
        <v>1010005</v>
      </c>
      <c r="C54" s="12" t="s">
        <v>62</v>
      </c>
      <c r="D54" s="8">
        <v>18</v>
      </c>
      <c r="E54" s="9">
        <v>3.5</v>
      </c>
      <c r="F54" s="9">
        <f t="shared" si="1"/>
        <v>1.75</v>
      </c>
      <c r="G54" s="9">
        <f t="shared" si="2"/>
        <v>5.25</v>
      </c>
      <c r="H54" s="49">
        <f t="shared" si="3"/>
        <v>1.1025</v>
      </c>
      <c r="I54" s="9">
        <f t="shared" si="4"/>
        <v>6.3525</v>
      </c>
    </row>
  </sheetData>
  <mergeCells count="9">
    <mergeCell ref="K26:L26"/>
    <mergeCell ref="K27:L27"/>
    <mergeCell ref="K24:L24"/>
    <mergeCell ref="K4:M4"/>
    <mergeCell ref="B1:I2"/>
    <mergeCell ref="K8:L8"/>
    <mergeCell ref="K21:L21"/>
    <mergeCell ref="K22:L22"/>
    <mergeCell ref="K25:L25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E8CB-BBD4-4008-A753-2C052813866E}">
  <dimension ref="A1:I49"/>
  <sheetViews>
    <sheetView topLeftCell="A10" zoomScaleNormal="100" workbookViewId="0">
      <selection activeCell="H40" sqref="B38:H41"/>
    </sheetView>
  </sheetViews>
  <sheetFormatPr baseColWidth="10" defaultRowHeight="15" x14ac:dyDescent="0.25"/>
  <cols>
    <col min="1" max="1" width="7.85546875" style="34" customWidth="1"/>
    <col min="2" max="8" width="16.28515625" customWidth="1"/>
  </cols>
  <sheetData>
    <row r="1" spans="2:8" ht="15.75" thickBot="1" x14ac:dyDescent="0.3"/>
    <row r="2" spans="2:8" ht="15" customHeight="1" x14ac:dyDescent="0.25">
      <c r="B2" s="95" t="s">
        <v>12</v>
      </c>
      <c r="C2" s="96"/>
      <c r="D2" s="96"/>
      <c r="E2" s="26" t="s">
        <v>87</v>
      </c>
      <c r="F2" s="27" t="s">
        <v>91</v>
      </c>
      <c r="G2" s="99">
        <v>1000000001</v>
      </c>
      <c r="H2" s="100"/>
    </row>
    <row r="3" spans="2:8" ht="15" customHeight="1" x14ac:dyDescent="0.25">
      <c r="B3" s="97"/>
      <c r="C3" s="98"/>
      <c r="D3" s="98"/>
      <c r="E3" s="101" t="s">
        <v>88</v>
      </c>
      <c r="F3" s="28" t="s">
        <v>90</v>
      </c>
      <c r="G3" s="103">
        <f ca="1">NOW()</f>
        <v>45063.787011574073</v>
      </c>
      <c r="H3" s="104"/>
    </row>
    <row r="4" spans="2:8" x14ac:dyDescent="0.25">
      <c r="B4" s="24"/>
      <c r="C4" s="57"/>
      <c r="D4" s="57"/>
      <c r="E4" s="101"/>
      <c r="F4" s="28" t="s">
        <v>89</v>
      </c>
      <c r="G4" s="105" t="s">
        <v>92</v>
      </c>
      <c r="H4" s="106"/>
    </row>
    <row r="5" spans="2:8" ht="15.75" thickBot="1" x14ac:dyDescent="0.3">
      <c r="B5" s="29"/>
      <c r="C5" s="30"/>
      <c r="D5" s="30"/>
      <c r="E5" s="102"/>
      <c r="F5" s="30"/>
      <c r="G5" s="30"/>
      <c r="H5" s="31"/>
    </row>
    <row r="6" spans="2:8" x14ac:dyDescent="0.25">
      <c r="B6" s="21" t="s">
        <v>93</v>
      </c>
      <c r="C6" s="93"/>
      <c r="D6" s="93"/>
      <c r="E6" s="93"/>
      <c r="F6" s="56"/>
      <c r="G6" s="56"/>
      <c r="H6" s="23"/>
    </row>
    <row r="7" spans="2:8" ht="15.75" thickBot="1" x14ac:dyDescent="0.3">
      <c r="B7" s="24" t="s">
        <v>94</v>
      </c>
      <c r="C7" s="91"/>
      <c r="D7" s="91"/>
      <c r="E7" s="91"/>
      <c r="F7" s="57" t="s">
        <v>96</v>
      </c>
      <c r="G7" s="91"/>
      <c r="H7" s="92"/>
    </row>
    <row r="8" spans="2:8" x14ac:dyDescent="0.25">
      <c r="B8" s="21" t="s">
        <v>95</v>
      </c>
      <c r="C8" s="93" t="s">
        <v>97</v>
      </c>
      <c r="D8" s="93"/>
      <c r="E8" s="93"/>
      <c r="F8" s="56"/>
      <c r="G8" s="56"/>
      <c r="H8" s="23"/>
    </row>
    <row r="9" spans="2:8" ht="15.75" thickBot="1" x14ac:dyDescent="0.3">
      <c r="B9" s="24" t="s">
        <v>6</v>
      </c>
      <c r="C9" s="91" t="s">
        <v>120</v>
      </c>
      <c r="D9" s="91"/>
      <c r="E9" s="91"/>
      <c r="F9" s="57" t="s">
        <v>99</v>
      </c>
      <c r="G9" s="91"/>
      <c r="H9" s="92"/>
    </row>
    <row r="10" spans="2:8" ht="15.75" thickBot="1" x14ac:dyDescent="0.3">
      <c r="B10" s="39" t="s">
        <v>64</v>
      </c>
      <c r="C10" s="40" t="s">
        <v>100</v>
      </c>
      <c r="D10" s="94" t="s">
        <v>101</v>
      </c>
      <c r="E10" s="94"/>
      <c r="F10" s="94"/>
      <c r="G10" s="40" t="s">
        <v>102</v>
      </c>
      <c r="H10" s="41" t="s">
        <v>103</v>
      </c>
    </row>
    <row r="11" spans="2:8" ht="15" customHeight="1" x14ac:dyDescent="0.25">
      <c r="B11" s="13" t="s">
        <v>104</v>
      </c>
      <c r="C11" s="14">
        <v>1</v>
      </c>
      <c r="D11" s="90" t="str">
        <f>IF(B11 &lt;&gt;"", VLOOKUP(B11,Inventario!$B$5:$I$54,2), "")</f>
        <v>Queso Cremoso 100gr</v>
      </c>
      <c r="E11" s="90"/>
      <c r="F11" s="90"/>
      <c r="G11" s="15">
        <f>IF(B11&lt;&gt; "", VLOOKUP(B11,Inventario!$B$5:$I$54,8), "")</f>
        <v>1511.11455</v>
      </c>
      <c r="H11" s="16">
        <f>IF(AND(B11 &lt;&gt; "", C11 &lt;&gt;""), C11*G11, "")</f>
        <v>1511.11455</v>
      </c>
    </row>
    <row r="12" spans="2:8" ht="15" customHeight="1" x14ac:dyDescent="0.25">
      <c r="B12" s="17" t="s">
        <v>105</v>
      </c>
      <c r="C12" s="18">
        <v>1</v>
      </c>
      <c r="D12" s="85" t="str">
        <f>IF(B12 &lt;&gt;"", VLOOKUP(B12,Inventario!$B$5:$I$54,2), "")</f>
        <v>Fideos 500gr</v>
      </c>
      <c r="E12" s="85"/>
      <c r="F12" s="85"/>
      <c r="G12" s="19">
        <f>IF(B12&lt;&gt; "", VLOOKUP(B12,Inventario!$B$5:$I$54,8), "")</f>
        <v>17.2425</v>
      </c>
      <c r="H12" s="20">
        <f t="shared" ref="H12:H37" si="0">IF(AND(B12 &lt;&gt; "", C12 &lt;&gt;""), C12*G12, "")</f>
        <v>17.2425</v>
      </c>
    </row>
    <row r="13" spans="2:8" ht="15" customHeight="1" x14ac:dyDescent="0.25">
      <c r="B13" s="17" t="s">
        <v>106</v>
      </c>
      <c r="C13" s="18">
        <v>1</v>
      </c>
      <c r="D13" s="85" t="str">
        <f>IF(B13 &lt;&gt;"", VLOOKUP(B13,Inventario!$B$5:$I$54,2), "")</f>
        <v>Shampoo</v>
      </c>
      <c r="E13" s="85"/>
      <c r="F13" s="85"/>
      <c r="G13" s="19">
        <f>IF(B13&lt;&gt; "", VLOOKUP(B13,Inventario!$B$5:$I$54,8), "")</f>
        <v>35.029500000000006</v>
      </c>
      <c r="H13" s="20">
        <f t="shared" si="0"/>
        <v>35.029500000000006</v>
      </c>
    </row>
    <row r="14" spans="2:8" ht="15" customHeight="1" x14ac:dyDescent="0.25">
      <c r="B14" s="17" t="s">
        <v>107</v>
      </c>
      <c r="C14" s="18">
        <v>1</v>
      </c>
      <c r="D14" s="85" t="str">
        <f>IF(B14 &lt;&gt;"", VLOOKUP(B14,Inventario!$B$5:$I$54,2), "")</f>
        <v>Mantel</v>
      </c>
      <c r="E14" s="85"/>
      <c r="F14" s="85"/>
      <c r="G14" s="19">
        <f>IF(B14&lt;&gt; "", VLOOKUP(B14,Inventario!$B$5:$I$54,8), "")</f>
        <v>50.82</v>
      </c>
      <c r="H14" s="20">
        <f t="shared" si="0"/>
        <v>50.82</v>
      </c>
    </row>
    <row r="15" spans="2:8" ht="15" customHeight="1" x14ac:dyDescent="0.25">
      <c r="B15" s="17" t="s">
        <v>108</v>
      </c>
      <c r="C15" s="18">
        <v>1</v>
      </c>
      <c r="D15" s="85" t="str">
        <f>IF(B15 &lt;&gt;"", VLOOKUP(B15,Inventario!$B$5:$I$54,2), "")</f>
        <v>Fernet 750 ml</v>
      </c>
      <c r="E15" s="85"/>
      <c r="F15" s="85"/>
      <c r="G15" s="19">
        <f>IF(B15&lt;&gt; "", VLOOKUP(B15,Inventario!$B$5:$I$54,8), "")</f>
        <v>35.937000000000005</v>
      </c>
      <c r="H15" s="20">
        <f t="shared" si="0"/>
        <v>35.937000000000005</v>
      </c>
    </row>
    <row r="16" spans="2:8" ht="15" customHeight="1" x14ac:dyDescent="0.25">
      <c r="B16" s="17" t="s">
        <v>109</v>
      </c>
      <c r="C16" s="18">
        <v>1</v>
      </c>
      <c r="D16" s="85" t="str">
        <f>IF(B16 &lt;&gt;"", VLOOKUP(B16,Inventario!$B$5:$I$54,2), "")</f>
        <v>Serpientes y Escaleras</v>
      </c>
      <c r="E16" s="85"/>
      <c r="F16" s="85"/>
      <c r="G16" s="19">
        <f>IF(B16&lt;&gt; "", VLOOKUP(B16,Inventario!$B$5:$I$54,8), "")</f>
        <v>8.1675000000000004</v>
      </c>
      <c r="H16" s="20">
        <f t="shared" si="0"/>
        <v>8.1675000000000004</v>
      </c>
    </row>
    <row r="17" spans="2:8" ht="15" customHeight="1" x14ac:dyDescent="0.25">
      <c r="B17" s="17" t="s">
        <v>105</v>
      </c>
      <c r="C17" s="18">
        <v>1</v>
      </c>
      <c r="D17" s="85" t="str">
        <f>IF(B17 &lt;&gt;"", VLOOKUP(B17,Inventario!$B$5:$I$54,2), "")</f>
        <v>Fideos 500gr</v>
      </c>
      <c r="E17" s="85"/>
      <c r="F17" s="85"/>
      <c r="G17" s="19">
        <f>IF(B17&lt;&gt; "", VLOOKUP(B17,Inventario!$B$5:$I$54,8), "")</f>
        <v>17.2425</v>
      </c>
      <c r="H17" s="20">
        <f t="shared" si="0"/>
        <v>17.2425</v>
      </c>
    </row>
    <row r="18" spans="2:8" ht="15" customHeight="1" x14ac:dyDescent="0.25">
      <c r="B18" s="17" t="s">
        <v>110</v>
      </c>
      <c r="C18" s="18">
        <v>1</v>
      </c>
      <c r="D18" s="85" t="str">
        <f>IF(B18 &lt;&gt;"", VLOOKUP(B18,Inventario!$B$5:$I$54,2), "")</f>
        <v>Collar</v>
      </c>
      <c r="E18" s="85"/>
      <c r="F18" s="85"/>
      <c r="G18" s="19">
        <f>IF(B18&lt;&gt; "", VLOOKUP(B18,Inventario!$B$5:$I$54,8), "")</f>
        <v>12.341999999999999</v>
      </c>
      <c r="H18" s="20">
        <f t="shared" si="0"/>
        <v>12.341999999999999</v>
      </c>
    </row>
    <row r="19" spans="2:8" ht="15" customHeight="1" x14ac:dyDescent="0.25">
      <c r="B19" s="17" t="s">
        <v>112</v>
      </c>
      <c r="C19" s="18">
        <v>1</v>
      </c>
      <c r="D19" s="85" t="str">
        <f>IF(B19 &lt;&gt;"", VLOOKUP(B19,Inventario!$B$5:$I$54,2), "")</f>
        <v>Coca Cola 2,15 lt</v>
      </c>
      <c r="E19" s="85"/>
      <c r="F19" s="85"/>
      <c r="G19" s="19">
        <f>IF(B19&lt;&gt; "", VLOOKUP(B19,Inventario!$B$5:$I$54,8), "")</f>
        <v>9.8010000000000019</v>
      </c>
      <c r="H19" s="20">
        <f t="shared" si="0"/>
        <v>9.8010000000000019</v>
      </c>
    </row>
    <row r="20" spans="2:8" ht="15" customHeight="1" x14ac:dyDescent="0.25">
      <c r="B20" s="17"/>
      <c r="C20" s="18"/>
      <c r="D20" s="85" t="str">
        <f>IF(B20 &lt;&gt;"", VLOOKUP(B20,Inventario!$B$5:$I$54,2), "")</f>
        <v/>
      </c>
      <c r="E20" s="85"/>
      <c r="F20" s="85"/>
      <c r="G20" s="19" t="str">
        <f>IF(B20&lt;&gt; "", VLOOKUP(B20,Inventario!$B$5:$I$54,8), "")</f>
        <v/>
      </c>
      <c r="H20" s="20" t="str">
        <f t="shared" si="0"/>
        <v/>
      </c>
    </row>
    <row r="21" spans="2:8" ht="15" customHeight="1" x14ac:dyDescent="0.25">
      <c r="B21" s="17"/>
      <c r="C21" s="18"/>
      <c r="D21" s="85" t="str">
        <f>IF(B21 &lt;&gt;"", VLOOKUP(B21,Inventario!$B$5:$I$54,2), "")</f>
        <v/>
      </c>
      <c r="E21" s="85"/>
      <c r="F21" s="85"/>
      <c r="G21" s="19" t="str">
        <f>IF(B21&lt;&gt; "", VLOOKUP(B21,Inventario!$B$5:$I$54,8), "")</f>
        <v/>
      </c>
      <c r="H21" s="20" t="str">
        <f t="shared" si="0"/>
        <v/>
      </c>
    </row>
    <row r="22" spans="2:8" ht="15" customHeight="1" x14ac:dyDescent="0.25">
      <c r="B22" s="17"/>
      <c r="C22" s="18"/>
      <c r="D22" s="85" t="str">
        <f>IF(B22 &lt;&gt;"", VLOOKUP(B22,Inventario!$B$5:$I$54,2), "")</f>
        <v/>
      </c>
      <c r="E22" s="85"/>
      <c r="F22" s="85"/>
      <c r="G22" s="19" t="str">
        <f>IF(B22&lt;&gt; "", VLOOKUP(B22,Inventario!$B$5:$I$54,8), "")</f>
        <v/>
      </c>
      <c r="H22" s="20" t="str">
        <f t="shared" si="0"/>
        <v/>
      </c>
    </row>
    <row r="23" spans="2:8" ht="15" customHeight="1" x14ac:dyDescent="0.25">
      <c r="B23" s="17"/>
      <c r="C23" s="18"/>
      <c r="D23" s="85" t="str">
        <f>IF(B23 &lt;&gt;"", VLOOKUP(B23,Inventario!$B$5:$I$54,2), "")</f>
        <v/>
      </c>
      <c r="E23" s="85"/>
      <c r="F23" s="85"/>
      <c r="G23" s="19" t="str">
        <f>IF(B23&lt;&gt; "", VLOOKUP(B23,Inventario!$B$5:$I$54,8), "")</f>
        <v/>
      </c>
      <c r="H23" s="20" t="str">
        <f t="shared" si="0"/>
        <v/>
      </c>
    </row>
    <row r="24" spans="2:8" ht="15" customHeight="1" x14ac:dyDescent="0.25">
      <c r="B24" s="17"/>
      <c r="C24" s="18"/>
      <c r="D24" s="85" t="str">
        <f>IF(B24 &lt;&gt;"", VLOOKUP(B24,Inventario!$B$5:$I$54,2), "")</f>
        <v/>
      </c>
      <c r="E24" s="85"/>
      <c r="F24" s="85"/>
      <c r="G24" s="19" t="str">
        <f>IF(B24&lt;&gt; "", VLOOKUP(B24,Inventario!$B$5:$I$54,8), "")</f>
        <v/>
      </c>
      <c r="H24" s="20" t="str">
        <f t="shared" si="0"/>
        <v/>
      </c>
    </row>
    <row r="25" spans="2:8" ht="15" customHeight="1" x14ac:dyDescent="0.25">
      <c r="B25" s="17"/>
      <c r="C25" s="18"/>
      <c r="D25" s="85" t="str">
        <f>IF(B25 &lt;&gt;"", VLOOKUP(B25,Inventario!$B$5:$I$54,2), "")</f>
        <v/>
      </c>
      <c r="E25" s="85"/>
      <c r="F25" s="85"/>
      <c r="G25" s="19" t="str">
        <f>IF(B25&lt;&gt; "", VLOOKUP(B25,Inventario!$B$5:$I$54,8), "")</f>
        <v/>
      </c>
      <c r="H25" s="20" t="str">
        <f t="shared" si="0"/>
        <v/>
      </c>
    </row>
    <row r="26" spans="2:8" ht="15" customHeight="1" x14ac:dyDescent="0.25">
      <c r="B26" s="17"/>
      <c r="C26" s="18"/>
      <c r="D26" s="85" t="str">
        <f>IF(B26 &lt;&gt;"", VLOOKUP(B26,Inventario!$B$5:$I$54,2), "")</f>
        <v/>
      </c>
      <c r="E26" s="85"/>
      <c r="F26" s="85"/>
      <c r="G26" s="19" t="str">
        <f>IF(B26&lt;&gt; "", VLOOKUP(B26,Inventario!$B$5:$I$54,8), "")</f>
        <v/>
      </c>
      <c r="H26" s="20" t="str">
        <f t="shared" si="0"/>
        <v/>
      </c>
    </row>
    <row r="27" spans="2:8" ht="15" customHeight="1" x14ac:dyDescent="0.25">
      <c r="B27" s="17"/>
      <c r="C27" s="18"/>
      <c r="D27" s="85" t="str">
        <f>IF(B27 &lt;&gt;"", VLOOKUP(B27,Inventario!$B$5:$I$54,2), "")</f>
        <v/>
      </c>
      <c r="E27" s="85"/>
      <c r="F27" s="85"/>
      <c r="G27" s="19" t="str">
        <f>IF(B27&lt;&gt; "", VLOOKUP(B27,Inventario!$B$5:$I$54,8), "")</f>
        <v/>
      </c>
      <c r="H27" s="20" t="str">
        <f t="shared" si="0"/>
        <v/>
      </c>
    </row>
    <row r="28" spans="2:8" ht="15" customHeight="1" x14ac:dyDescent="0.25">
      <c r="B28" s="17"/>
      <c r="C28" s="18"/>
      <c r="D28" s="85" t="str">
        <f>IF(B28 &lt;&gt;"", VLOOKUP(B28,Inventario!$B$5:$I$54,2), "")</f>
        <v/>
      </c>
      <c r="E28" s="85"/>
      <c r="F28" s="85"/>
      <c r="G28" s="19" t="str">
        <f>IF(B28&lt;&gt; "", VLOOKUP(B28,Inventario!$B$5:$I$54,8), "")</f>
        <v/>
      </c>
      <c r="H28" s="20" t="str">
        <f t="shared" si="0"/>
        <v/>
      </c>
    </row>
    <row r="29" spans="2:8" ht="15" customHeight="1" x14ac:dyDescent="0.25">
      <c r="B29" s="17"/>
      <c r="C29" s="18"/>
      <c r="D29" s="85" t="str">
        <f>IF(B29 &lt;&gt;"", VLOOKUP(B29,Inventario!$B$5:$I$54,2), "")</f>
        <v/>
      </c>
      <c r="E29" s="85"/>
      <c r="F29" s="85"/>
      <c r="G29" s="19" t="str">
        <f>IF(B29&lt;&gt; "", VLOOKUP(B29,Inventario!$B$5:$I$54,8), "")</f>
        <v/>
      </c>
      <c r="H29" s="20" t="str">
        <f t="shared" si="0"/>
        <v/>
      </c>
    </row>
    <row r="30" spans="2:8" ht="15" customHeight="1" x14ac:dyDescent="0.25">
      <c r="B30" s="17"/>
      <c r="C30" s="18"/>
      <c r="D30" s="85" t="str">
        <f>IF(B30 &lt;&gt;"", VLOOKUP(B30,Inventario!$B$5:$I$54,2), "")</f>
        <v/>
      </c>
      <c r="E30" s="85"/>
      <c r="F30" s="85"/>
      <c r="G30" s="19" t="str">
        <f>IF(B30&lt;&gt; "", VLOOKUP(B30,Inventario!$B$5:$I$54,8), "")</f>
        <v/>
      </c>
      <c r="H30" s="20" t="str">
        <f t="shared" si="0"/>
        <v/>
      </c>
    </row>
    <row r="31" spans="2:8" ht="15" customHeight="1" x14ac:dyDescent="0.25">
      <c r="B31" s="17"/>
      <c r="C31" s="18"/>
      <c r="D31" s="85" t="str">
        <f>IF(B31 &lt;&gt;"", VLOOKUP(B31,Inventario!$B$5:$I$54,2), "")</f>
        <v/>
      </c>
      <c r="E31" s="85"/>
      <c r="F31" s="85"/>
      <c r="G31" s="19" t="str">
        <f>IF(B31&lt;&gt; "", VLOOKUP(B31,Inventario!$B$5:$I$54,8), "")</f>
        <v/>
      </c>
      <c r="H31" s="20" t="str">
        <f t="shared" si="0"/>
        <v/>
      </c>
    </row>
    <row r="32" spans="2:8" ht="15" customHeight="1" x14ac:dyDescent="0.25">
      <c r="B32" s="17"/>
      <c r="C32" s="18"/>
      <c r="D32" s="85" t="str">
        <f>IF(B32 &lt;&gt;"", VLOOKUP(B32,Inventario!$B$5:$I$54,2), "")</f>
        <v/>
      </c>
      <c r="E32" s="85"/>
      <c r="F32" s="85"/>
      <c r="G32" s="19" t="str">
        <f>IF(B32&lt;&gt; "", VLOOKUP(B32,Inventario!$B$5:$I$54,8), "")</f>
        <v/>
      </c>
      <c r="H32" s="20" t="str">
        <f t="shared" si="0"/>
        <v/>
      </c>
    </row>
    <row r="33" spans="1:9" ht="15" customHeight="1" x14ac:dyDescent="0.25">
      <c r="B33" s="17"/>
      <c r="C33" s="18"/>
      <c r="D33" s="85" t="str">
        <f>IF(B33 &lt;&gt;"", VLOOKUP(B33,Inventario!$B$5:$I$54,2), "")</f>
        <v/>
      </c>
      <c r="E33" s="85"/>
      <c r="F33" s="85"/>
      <c r="G33" s="19" t="str">
        <f>IF(B33&lt;&gt; "", VLOOKUP(B33,Inventario!$B$5:$I$54,8), "")</f>
        <v/>
      </c>
      <c r="H33" s="20" t="str">
        <f t="shared" si="0"/>
        <v/>
      </c>
    </row>
    <row r="34" spans="1:9" ht="15" customHeight="1" x14ac:dyDescent="0.25">
      <c r="B34" s="17"/>
      <c r="C34" s="18"/>
      <c r="D34" s="85" t="str">
        <f>IF(B34 &lt;&gt;"", VLOOKUP(B34,Inventario!$B$5:$I$54,2), "")</f>
        <v/>
      </c>
      <c r="E34" s="85"/>
      <c r="F34" s="85"/>
      <c r="G34" s="19" t="str">
        <f>IF(B34&lt;&gt; "", VLOOKUP(B34,Inventario!$B$5:$I$54,8), "")</f>
        <v/>
      </c>
      <c r="H34" s="20" t="str">
        <f t="shared" si="0"/>
        <v/>
      </c>
    </row>
    <row r="35" spans="1:9" ht="15" customHeight="1" x14ac:dyDescent="0.25">
      <c r="B35" s="17"/>
      <c r="C35" s="18"/>
      <c r="D35" s="85" t="str">
        <f>IF(B35 &lt;&gt;"", VLOOKUP(B35,Inventario!$B$5:$I$54,2), "")</f>
        <v/>
      </c>
      <c r="E35" s="85"/>
      <c r="F35" s="85"/>
      <c r="G35" s="19" t="str">
        <f>IF(B35&lt;&gt; "", VLOOKUP(B35,Inventario!$B$5:$I$54,8), "")</f>
        <v/>
      </c>
      <c r="H35" s="20" t="str">
        <f t="shared" si="0"/>
        <v/>
      </c>
    </row>
    <row r="36" spans="1:9" ht="15" customHeight="1" x14ac:dyDescent="0.25">
      <c r="B36" s="17"/>
      <c r="C36" s="18"/>
      <c r="D36" s="85" t="str">
        <f>IF(B36 &lt;&gt;"", VLOOKUP(B36,Inventario!$B$5:$I$54,2), "")</f>
        <v/>
      </c>
      <c r="E36" s="85"/>
      <c r="F36" s="85"/>
      <c r="G36" s="19" t="str">
        <f>IF(B36&lt;&gt; "", VLOOKUP(B36,Inventario!$B$5:$I$54,8), "")</f>
        <v/>
      </c>
      <c r="H36" s="20" t="str">
        <f t="shared" si="0"/>
        <v/>
      </c>
    </row>
    <row r="37" spans="1:9" ht="15" customHeight="1" x14ac:dyDescent="0.25">
      <c r="B37" s="17"/>
      <c r="C37" s="18"/>
      <c r="D37" s="85" t="str">
        <f>IF(B37 &lt;&gt;"", VLOOKUP(B37,Inventario!$B$5:$I$54,2), "")</f>
        <v/>
      </c>
      <c r="E37" s="85"/>
      <c r="F37" s="85"/>
      <c r="G37" s="19" t="str">
        <f>IF(B37&lt;&gt; "", VLOOKUP(B37,Inventario!$B$5:$I$54,8), "")</f>
        <v/>
      </c>
      <c r="H37" s="20" t="str">
        <f t="shared" si="0"/>
        <v/>
      </c>
    </row>
    <row r="38" spans="1:9" ht="15" customHeight="1" x14ac:dyDescent="0.25">
      <c r="B38" s="60"/>
      <c r="C38" s="61"/>
      <c r="D38" s="86" t="str">
        <f>IF(B38 &lt;&gt;"", VLOOKUP(B38,Inventario!$B$5:$I$54,2), "")</f>
        <v/>
      </c>
      <c r="E38" s="86"/>
      <c r="F38" s="86"/>
      <c r="G38" s="62" t="s">
        <v>178</v>
      </c>
      <c r="H38" s="63">
        <f>SUM(H11:H37)</f>
        <v>1697.6965500000001</v>
      </c>
    </row>
    <row r="39" spans="1:9" ht="15" customHeight="1" thickBot="1" x14ac:dyDescent="0.3">
      <c r="B39" s="64"/>
      <c r="C39" s="65"/>
      <c r="D39" s="87" t="str">
        <f>IF(B39 &lt;&gt;"", VLOOKUP(B39,Inventario!$B$5:$I$54,2), "")</f>
        <v/>
      </c>
      <c r="E39" s="87"/>
      <c r="F39" s="87"/>
      <c r="G39" s="66" t="s">
        <v>177</v>
      </c>
      <c r="H39" s="67">
        <f>IF(C8="Contado", 0.1,0)</f>
        <v>0.1</v>
      </c>
    </row>
    <row r="40" spans="1:9" ht="15" customHeight="1" x14ac:dyDescent="0.25">
      <c r="B40" s="42"/>
      <c r="C40" s="43"/>
      <c r="D40" s="43"/>
      <c r="E40" s="43"/>
      <c r="F40" s="43"/>
      <c r="G40" s="88" t="s">
        <v>111</v>
      </c>
      <c r="H40" s="80">
        <f>H38-(H38*H39)</f>
        <v>1527.9268950000001</v>
      </c>
    </row>
    <row r="41" spans="1:9" ht="15" customHeight="1" thickBot="1" x14ac:dyDescent="0.3">
      <c r="B41" s="44"/>
      <c r="C41" s="45"/>
      <c r="D41" s="45"/>
      <c r="E41" s="45"/>
      <c r="F41" s="45"/>
      <c r="G41" s="89"/>
      <c r="H41" s="81"/>
    </row>
    <row r="42" spans="1:9" ht="15.75" thickBot="1" x14ac:dyDescent="0.3">
      <c r="B42" s="82" t="str">
        <f>AuxLetras!$K$4</f>
        <v>TRES MIL DOSCIENTOS  Y OCHENTA PESOS CON OCHENTA Y UNO CENTAVOS</v>
      </c>
      <c r="C42" s="83"/>
      <c r="D42" s="83"/>
      <c r="E42" s="83"/>
      <c r="F42" s="83"/>
      <c r="G42" s="83"/>
      <c r="H42" s="84"/>
    </row>
    <row r="47" spans="1:9" x14ac:dyDescent="0.25">
      <c r="A47" s="50"/>
      <c r="I47" s="47"/>
    </row>
    <row r="48" spans="1:9" x14ac:dyDescent="0.25">
      <c r="A48" s="50"/>
    </row>
    <row r="49" spans="1:8" x14ac:dyDescent="0.25">
      <c r="A49" s="50"/>
      <c r="B49" s="51"/>
      <c r="C49" s="51"/>
      <c r="D49" s="51"/>
      <c r="E49" s="51"/>
      <c r="F49" s="51"/>
      <c r="G49" s="51"/>
      <c r="H49" s="51"/>
    </row>
  </sheetData>
  <mergeCells count="44">
    <mergeCell ref="D10:F10"/>
    <mergeCell ref="B2:D3"/>
    <mergeCell ref="G2:H2"/>
    <mergeCell ref="E3:E5"/>
    <mergeCell ref="G3:H3"/>
    <mergeCell ref="G4:H4"/>
    <mergeCell ref="C6:E6"/>
    <mergeCell ref="C7:E7"/>
    <mergeCell ref="G7:H7"/>
    <mergeCell ref="C8:E8"/>
    <mergeCell ref="C9:E9"/>
    <mergeCell ref="G9:H9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H40:H41"/>
    <mergeCell ref="B42:H42"/>
    <mergeCell ref="D35:F35"/>
    <mergeCell ref="D36:F36"/>
    <mergeCell ref="D37:F37"/>
    <mergeCell ref="D38:F38"/>
    <mergeCell ref="D39:F39"/>
    <mergeCell ref="G40:G41"/>
  </mergeCells>
  <dataValidations count="2">
    <dataValidation type="list" allowBlank="1" showInputMessage="1" showErrorMessage="1" sqref="C9:E9" xr:uid="{94F2E4DD-09C5-4772-8B09-09215B682A46}">
      <formula1>"Responsable Inscripto, Consumidor Final, Exento, Monotributista"</formula1>
    </dataValidation>
    <dataValidation type="list" allowBlank="1" showInputMessage="1" showErrorMessage="1" sqref="C8:E8" xr:uid="{DAC31948-C8BB-432B-BC73-B647B2E710F7}">
      <formula1>"Contado, T.Credito, Cta Cte"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0E7B-4C03-4595-A1C0-B099EDD52A46}">
  <dimension ref="A1:J49"/>
  <sheetViews>
    <sheetView topLeftCell="A4" zoomScaleNormal="100" workbookViewId="0">
      <selection activeCell="J35" sqref="J35"/>
    </sheetView>
  </sheetViews>
  <sheetFormatPr baseColWidth="10" defaultRowHeight="15" x14ac:dyDescent="0.25"/>
  <cols>
    <col min="1" max="1" width="7.85546875" style="34" customWidth="1"/>
    <col min="2" max="8" width="16.28515625" customWidth="1"/>
  </cols>
  <sheetData>
    <row r="1" spans="2:8" ht="15.75" thickBot="1" x14ac:dyDescent="0.3"/>
    <row r="2" spans="2:8" ht="15" customHeight="1" x14ac:dyDescent="0.25">
      <c r="B2" s="95" t="s">
        <v>12</v>
      </c>
      <c r="C2" s="96"/>
      <c r="D2" s="96"/>
      <c r="E2" s="26" t="s">
        <v>87</v>
      </c>
      <c r="F2" s="27" t="s">
        <v>91</v>
      </c>
      <c r="G2" s="99">
        <v>1000000001</v>
      </c>
      <c r="H2" s="100"/>
    </row>
    <row r="3" spans="2:8" ht="15" customHeight="1" x14ac:dyDescent="0.25">
      <c r="B3" s="97"/>
      <c r="C3" s="98"/>
      <c r="D3" s="98"/>
      <c r="E3" s="101" t="s">
        <v>88</v>
      </c>
      <c r="F3" s="28" t="s">
        <v>90</v>
      </c>
      <c r="G3" s="103">
        <f ca="1">NOW()</f>
        <v>45063.787011574073</v>
      </c>
      <c r="H3" s="104"/>
    </row>
    <row r="4" spans="2:8" x14ac:dyDescent="0.25">
      <c r="B4" s="24"/>
      <c r="C4" s="25"/>
      <c r="D4" s="25"/>
      <c r="E4" s="101"/>
      <c r="F4" s="28" t="s">
        <v>89</v>
      </c>
      <c r="G4" s="105" t="s">
        <v>92</v>
      </c>
      <c r="H4" s="106"/>
    </row>
    <row r="5" spans="2:8" ht="15.75" thickBot="1" x14ac:dyDescent="0.3">
      <c r="B5" s="29"/>
      <c r="C5" s="30"/>
      <c r="D5" s="30"/>
      <c r="E5" s="102"/>
      <c r="F5" s="30"/>
      <c r="G5" s="30"/>
      <c r="H5" s="31"/>
    </row>
    <row r="6" spans="2:8" x14ac:dyDescent="0.25">
      <c r="B6" s="21" t="s">
        <v>93</v>
      </c>
      <c r="C6" s="93"/>
      <c r="D6" s="93"/>
      <c r="E6" s="93"/>
      <c r="F6" s="22"/>
      <c r="G6" s="22"/>
      <c r="H6" s="23"/>
    </row>
    <row r="7" spans="2:8" ht="15.75" thickBot="1" x14ac:dyDescent="0.3">
      <c r="B7" s="24" t="s">
        <v>94</v>
      </c>
      <c r="C7" s="91"/>
      <c r="D7" s="91"/>
      <c r="E7" s="91"/>
      <c r="F7" s="25" t="s">
        <v>96</v>
      </c>
      <c r="G7" s="91"/>
      <c r="H7" s="92"/>
    </row>
    <row r="8" spans="2:8" x14ac:dyDescent="0.25">
      <c r="B8" s="21" t="s">
        <v>95</v>
      </c>
      <c r="C8" s="93" t="s">
        <v>179</v>
      </c>
      <c r="D8" s="93"/>
      <c r="E8" s="93"/>
      <c r="F8" s="22"/>
      <c r="G8" s="22"/>
      <c r="H8" s="23"/>
    </row>
    <row r="9" spans="2:8" ht="15.75" thickBot="1" x14ac:dyDescent="0.3">
      <c r="B9" s="24" t="s">
        <v>6</v>
      </c>
      <c r="C9" s="91" t="s">
        <v>120</v>
      </c>
      <c r="D9" s="91"/>
      <c r="E9" s="91"/>
      <c r="F9" s="25" t="s">
        <v>99</v>
      </c>
      <c r="G9" s="91"/>
      <c r="H9" s="92"/>
    </row>
    <row r="10" spans="2:8" ht="15.75" thickBot="1" x14ac:dyDescent="0.3">
      <c r="B10" s="39" t="s">
        <v>64</v>
      </c>
      <c r="C10" s="40" t="s">
        <v>100</v>
      </c>
      <c r="D10" s="94" t="s">
        <v>101</v>
      </c>
      <c r="E10" s="94"/>
      <c r="F10" s="94"/>
      <c r="G10" s="40" t="s">
        <v>102</v>
      </c>
      <c r="H10" s="41" t="s">
        <v>103</v>
      </c>
    </row>
    <row r="11" spans="2:8" ht="15" customHeight="1" x14ac:dyDescent="0.25">
      <c r="B11" s="71" t="s">
        <v>104</v>
      </c>
      <c r="C11" s="14">
        <v>2</v>
      </c>
      <c r="D11" s="90" t="str">
        <f>IF(B11 &lt;&gt;"", VLOOKUP(B11,Inventario!$B$5:$I$54,2), "")</f>
        <v>Queso Cremoso 100gr</v>
      </c>
      <c r="E11" s="90"/>
      <c r="F11" s="90"/>
      <c r="G11" s="15">
        <f>IF(B11&lt;&gt; "", VLOOKUP(B11,Inventario!$B$5:$I$54,8), "")</f>
        <v>1511.11455</v>
      </c>
      <c r="H11" s="16">
        <f>IF(AND(B11 &lt;&gt; "", C11 &lt;&gt;""), C11*G11, "")</f>
        <v>3022.2291</v>
      </c>
    </row>
    <row r="12" spans="2:8" ht="15" customHeight="1" x14ac:dyDescent="0.25">
      <c r="B12" s="72" t="s">
        <v>105</v>
      </c>
      <c r="C12" s="18">
        <v>1</v>
      </c>
      <c r="D12" s="85" t="str">
        <f>IF(B12 &lt;&gt;"", VLOOKUP(B12,Inventario!$B$5:$I$54,2), "")</f>
        <v>Fideos 500gr</v>
      </c>
      <c r="E12" s="85"/>
      <c r="F12" s="85"/>
      <c r="G12" s="19">
        <f>IF(B12&lt;&gt; "", VLOOKUP(B12,Inventario!$B$5:$I$54,8), "")</f>
        <v>17.2425</v>
      </c>
      <c r="H12" s="20">
        <f t="shared" ref="H12:H15" si="0">IF(AND(B12 &lt;&gt; "", C12 &lt;&gt;""), C12*G12, "")</f>
        <v>17.2425</v>
      </c>
    </row>
    <row r="13" spans="2:8" ht="15" customHeight="1" x14ac:dyDescent="0.25">
      <c r="B13" s="72" t="s">
        <v>106</v>
      </c>
      <c r="C13" s="18">
        <v>1</v>
      </c>
      <c r="D13" s="85" t="str">
        <f>IF(B13 &lt;&gt;"", VLOOKUP(B13,Inventario!$B$5:$I$54,2), "")</f>
        <v>Shampoo</v>
      </c>
      <c r="E13" s="85"/>
      <c r="F13" s="85"/>
      <c r="G13" s="19">
        <f>IF(B13&lt;&gt; "", VLOOKUP(B13,Inventario!$B$5:$I$54,8), "")</f>
        <v>35.029500000000006</v>
      </c>
      <c r="H13" s="20">
        <f t="shared" si="0"/>
        <v>35.029500000000006</v>
      </c>
    </row>
    <row r="14" spans="2:8" ht="15" customHeight="1" x14ac:dyDescent="0.25">
      <c r="B14" s="72" t="s">
        <v>107</v>
      </c>
      <c r="C14" s="18">
        <v>1</v>
      </c>
      <c r="D14" s="85" t="str">
        <f>IF(B14 &lt;&gt;"", VLOOKUP(B14,Inventario!$B$5:$I$54,2), "")</f>
        <v>Mantel</v>
      </c>
      <c r="E14" s="85"/>
      <c r="F14" s="85"/>
      <c r="G14" s="19">
        <f>IF(B14&lt;&gt; "", VLOOKUP(B14,Inventario!$B$5:$I$54,8), "")</f>
        <v>50.82</v>
      </c>
      <c r="H14" s="20">
        <f t="shared" si="0"/>
        <v>50.82</v>
      </c>
    </row>
    <row r="15" spans="2:8" ht="15" customHeight="1" x14ac:dyDescent="0.25">
      <c r="B15" s="72" t="s">
        <v>108</v>
      </c>
      <c r="C15" s="18">
        <v>1</v>
      </c>
      <c r="D15" s="85" t="str">
        <f>IF(B15 &lt;&gt;"", VLOOKUP(B15,Inventario!$B$5:$I$54,2), "")</f>
        <v>Fernet 750 ml</v>
      </c>
      <c r="E15" s="85"/>
      <c r="F15" s="85"/>
      <c r="G15" s="19">
        <f>IF(B15&lt;&gt; "", VLOOKUP(B15,Inventario!$B$5:$I$54,8), "")</f>
        <v>35.937000000000005</v>
      </c>
      <c r="H15" s="20">
        <f t="shared" si="0"/>
        <v>35.937000000000005</v>
      </c>
    </row>
    <row r="16" spans="2:8" ht="15" customHeight="1" x14ac:dyDescent="0.25">
      <c r="B16" s="72" t="s">
        <v>109</v>
      </c>
      <c r="C16" s="18">
        <v>1</v>
      </c>
      <c r="D16" s="85" t="str">
        <f>IF(B16 &lt;&gt;"", VLOOKUP(B16,Inventario!$B$5:$I$54,2), "")</f>
        <v>Serpientes y Escaleras</v>
      </c>
      <c r="E16" s="85"/>
      <c r="F16" s="85"/>
      <c r="G16" s="19">
        <f>IF(B16&lt;&gt; "", VLOOKUP(B16,Inventario!$B$5:$I$54,8), "")</f>
        <v>8.1675000000000004</v>
      </c>
      <c r="H16" s="20">
        <f t="shared" ref="H16:H37" si="1">IF(AND(B16 &lt;&gt; "", C16 &lt;&gt;""), C16*G16, "")</f>
        <v>8.1675000000000004</v>
      </c>
    </row>
    <row r="17" spans="2:10" ht="15" customHeight="1" x14ac:dyDescent="0.25">
      <c r="B17" s="72" t="s">
        <v>105</v>
      </c>
      <c r="C17" s="18">
        <v>1</v>
      </c>
      <c r="D17" s="85" t="str">
        <f>IF(B17 &lt;&gt;"", VLOOKUP(B17,Inventario!$B$5:$I$54,2), "")</f>
        <v>Fideos 500gr</v>
      </c>
      <c r="E17" s="85"/>
      <c r="F17" s="85"/>
      <c r="G17" s="19">
        <f>IF(B17&lt;&gt; "", VLOOKUP(B17,Inventario!$B$5:$I$54,8), "")</f>
        <v>17.2425</v>
      </c>
      <c r="H17" s="20">
        <f t="shared" si="1"/>
        <v>17.2425</v>
      </c>
    </row>
    <row r="18" spans="2:10" ht="15" customHeight="1" x14ac:dyDescent="0.25">
      <c r="B18" s="72" t="s">
        <v>110</v>
      </c>
      <c r="C18" s="18">
        <v>1</v>
      </c>
      <c r="D18" s="85" t="str">
        <f>IF(B18 &lt;&gt;"", VLOOKUP(B18,Inventario!$B$5:$I$54,2), "")</f>
        <v>Collar</v>
      </c>
      <c r="E18" s="85"/>
      <c r="F18" s="85"/>
      <c r="G18" s="19">
        <f>IF(B18&lt;&gt; "", VLOOKUP(B18,Inventario!$B$5:$I$54,8), "")</f>
        <v>12.341999999999999</v>
      </c>
      <c r="H18" s="20">
        <f t="shared" si="1"/>
        <v>12.341999999999999</v>
      </c>
    </row>
    <row r="19" spans="2:10" ht="15" customHeight="1" x14ac:dyDescent="0.25">
      <c r="B19" s="72" t="s">
        <v>112</v>
      </c>
      <c r="C19" s="18">
        <v>1</v>
      </c>
      <c r="D19" s="85" t="str">
        <f>IF(B19 &lt;&gt;"", VLOOKUP(B19,Inventario!$B$5:$I$54,2), "")</f>
        <v>Coca Cola 2,15 lt</v>
      </c>
      <c r="E19" s="85"/>
      <c r="F19" s="85"/>
      <c r="G19" s="19">
        <f>IF(B19&lt;&gt; "", VLOOKUP(B19,Inventario!$B$5:$I$54,8), "")</f>
        <v>9.8010000000000019</v>
      </c>
      <c r="H19" s="20">
        <f t="shared" si="1"/>
        <v>9.8010000000000019</v>
      </c>
    </row>
    <row r="20" spans="2:10" ht="15" customHeight="1" x14ac:dyDescent="0.25">
      <c r="B20" s="72"/>
      <c r="C20" s="18"/>
      <c r="D20" s="85" t="str">
        <f>IF(B20 &lt;&gt;"", VLOOKUP(B20,Inventario!$B$5:$I$54,2), "")</f>
        <v/>
      </c>
      <c r="E20" s="85"/>
      <c r="F20" s="85"/>
      <c r="G20" s="19" t="str">
        <f>IF(B20&lt;&gt; "", VLOOKUP(B20,Inventario!$B$5:$I$54,8), "")</f>
        <v/>
      </c>
      <c r="H20" s="20" t="str">
        <f t="shared" si="1"/>
        <v/>
      </c>
    </row>
    <row r="21" spans="2:10" ht="15" customHeight="1" x14ac:dyDescent="0.25">
      <c r="B21" s="72"/>
      <c r="C21" s="18"/>
      <c r="D21" s="85" t="str">
        <f>IF(B21 &lt;&gt;"", VLOOKUP(B21,Inventario!$B$5:$I$54,2), "")</f>
        <v/>
      </c>
      <c r="E21" s="85"/>
      <c r="F21" s="85"/>
      <c r="G21" s="19" t="str">
        <f>IF(B21&lt;&gt; "", VLOOKUP(B21,Inventario!$B$5:$I$54,8), "")</f>
        <v/>
      </c>
      <c r="H21" s="20" t="str">
        <f t="shared" si="1"/>
        <v/>
      </c>
    </row>
    <row r="22" spans="2:10" ht="15" customHeight="1" x14ac:dyDescent="0.25">
      <c r="B22" s="72"/>
      <c r="C22" s="18"/>
      <c r="D22" s="85" t="str">
        <f>IF(B22 &lt;&gt;"", VLOOKUP(B22,Inventario!$B$5:$I$54,2), "")</f>
        <v/>
      </c>
      <c r="E22" s="85"/>
      <c r="F22" s="85"/>
      <c r="G22" s="19" t="str">
        <f>IF(B22&lt;&gt; "", VLOOKUP(B22,Inventario!$B$5:$I$54,8), "")</f>
        <v/>
      </c>
      <c r="H22" s="20" t="str">
        <f t="shared" si="1"/>
        <v/>
      </c>
    </row>
    <row r="23" spans="2:10" ht="15" customHeight="1" x14ac:dyDescent="0.25">
      <c r="B23" s="72"/>
      <c r="C23" s="18"/>
      <c r="D23" s="85" t="str">
        <f>IF(B23 &lt;&gt;"", VLOOKUP(B23,Inventario!$B$5:$I$54,2), "")</f>
        <v/>
      </c>
      <c r="E23" s="85"/>
      <c r="F23" s="85"/>
      <c r="G23" s="19" t="str">
        <f>IF(B23&lt;&gt; "", VLOOKUP(B23,Inventario!$B$5:$I$54,8), "")</f>
        <v/>
      </c>
      <c r="H23" s="20" t="str">
        <f t="shared" si="1"/>
        <v/>
      </c>
    </row>
    <row r="24" spans="2:10" ht="15" customHeight="1" x14ac:dyDescent="0.25">
      <c r="B24" s="72"/>
      <c r="C24" s="18"/>
      <c r="D24" s="85" t="str">
        <f>IF(B24 &lt;&gt;"", VLOOKUP(B24,Inventario!$B$5:$I$54,2), "")</f>
        <v/>
      </c>
      <c r="E24" s="85"/>
      <c r="F24" s="85"/>
      <c r="G24" s="19" t="str">
        <f>IF(B24&lt;&gt; "", VLOOKUP(B24,Inventario!$B$5:$I$54,8), "")</f>
        <v/>
      </c>
      <c r="H24" s="20" t="str">
        <f t="shared" si="1"/>
        <v/>
      </c>
    </row>
    <row r="25" spans="2:10" ht="15" customHeight="1" x14ac:dyDescent="0.25">
      <c r="B25" s="72"/>
      <c r="C25" s="18"/>
      <c r="D25" s="85" t="str">
        <f>IF(B25 &lt;&gt;"", VLOOKUP(B25,Inventario!$B$5:$I$54,2), "")</f>
        <v/>
      </c>
      <c r="E25" s="85"/>
      <c r="F25" s="85"/>
      <c r="G25" s="19" t="str">
        <f>IF(B25&lt;&gt; "", VLOOKUP(B25,Inventario!$B$5:$I$54,8), "")</f>
        <v/>
      </c>
      <c r="H25" s="20" t="str">
        <f t="shared" si="1"/>
        <v/>
      </c>
    </row>
    <row r="26" spans="2:10" ht="15" customHeight="1" x14ac:dyDescent="0.25">
      <c r="B26" s="72"/>
      <c r="C26" s="18"/>
      <c r="D26" s="85" t="str">
        <f>IF(B26 &lt;&gt;"", VLOOKUP(B26,Inventario!$B$5:$I$54,2), "")</f>
        <v/>
      </c>
      <c r="E26" s="85"/>
      <c r="F26" s="85"/>
      <c r="G26" s="19" t="str">
        <f>IF(B26&lt;&gt; "", VLOOKUP(B26,Inventario!$B$5:$I$54,8), "")</f>
        <v/>
      </c>
      <c r="H26" s="20" t="str">
        <f t="shared" si="1"/>
        <v/>
      </c>
    </row>
    <row r="27" spans="2:10" ht="15" customHeight="1" x14ac:dyDescent="0.25">
      <c r="B27" s="72"/>
      <c r="C27" s="18"/>
      <c r="D27" s="85" t="str">
        <f>IF(B27 &lt;&gt;"", VLOOKUP(B27,Inventario!$B$5:$I$54,2), "")</f>
        <v/>
      </c>
      <c r="E27" s="85"/>
      <c r="F27" s="85"/>
      <c r="G27" s="19" t="str">
        <f>IF(B27&lt;&gt; "", VLOOKUP(B27,Inventario!$B$5:$I$54,8), "")</f>
        <v/>
      </c>
      <c r="H27" s="20" t="str">
        <f t="shared" si="1"/>
        <v/>
      </c>
      <c r="J27" t="s">
        <v>180</v>
      </c>
    </row>
    <row r="28" spans="2:10" ht="15" customHeight="1" x14ac:dyDescent="0.25">
      <c r="B28" s="72"/>
      <c r="C28" s="18"/>
      <c r="D28" s="85" t="str">
        <f>IF(B28 &lt;&gt;"", VLOOKUP(B28,Inventario!$B$5:$I$54,2), "")</f>
        <v/>
      </c>
      <c r="E28" s="85"/>
      <c r="F28" s="85"/>
      <c r="G28" s="19" t="str">
        <f>IF(B28&lt;&gt; "", VLOOKUP(B28,Inventario!$B$5:$I$54,8), "")</f>
        <v/>
      </c>
      <c r="H28" s="20" t="str">
        <f t="shared" si="1"/>
        <v/>
      </c>
      <c r="J28" s="68">
        <f>IF(H22 = "Recargo", I21 + (I21*I22), I21 - (I21*I22))</f>
        <v>0</v>
      </c>
    </row>
    <row r="29" spans="2:10" ht="15" customHeight="1" x14ac:dyDescent="0.25">
      <c r="B29" s="72"/>
      <c r="C29" s="18"/>
      <c r="D29" s="85" t="str">
        <f>IF(B29 &lt;&gt;"", VLOOKUP(B29,Inventario!$B$5:$I$54,2), "")</f>
        <v/>
      </c>
      <c r="E29" s="85"/>
      <c r="F29" s="85"/>
      <c r="G29" s="19" t="str">
        <f>IF(B29&lt;&gt; "", VLOOKUP(B29,Inventario!$B$5:$I$54,8), "")</f>
        <v/>
      </c>
      <c r="H29" s="20" t="str">
        <f t="shared" si="1"/>
        <v/>
      </c>
    </row>
    <row r="30" spans="2:10" ht="15" customHeight="1" x14ac:dyDescent="0.25">
      <c r="B30" s="72"/>
      <c r="C30" s="18"/>
      <c r="D30" s="85" t="str">
        <f>IF(B30 &lt;&gt;"", VLOOKUP(B30,Inventario!$B$5:$I$54,2), "")</f>
        <v/>
      </c>
      <c r="E30" s="85"/>
      <c r="F30" s="85"/>
      <c r="G30" s="19" t="str">
        <f>IF(B30&lt;&gt; "", VLOOKUP(B30,Inventario!$B$5:$I$54,8), "")</f>
        <v/>
      </c>
      <c r="H30" s="20" t="str">
        <f t="shared" si="1"/>
        <v/>
      </c>
    </row>
    <row r="31" spans="2:10" ht="15" customHeight="1" x14ac:dyDescent="0.25">
      <c r="B31" s="72"/>
      <c r="C31" s="18"/>
      <c r="D31" s="85" t="str">
        <f>IF(B31 &lt;&gt;"", VLOOKUP(B31,Inventario!$B$5:$I$54,2), "")</f>
        <v/>
      </c>
      <c r="E31" s="85"/>
      <c r="F31" s="85"/>
      <c r="G31" s="19" t="str">
        <f>IF(B31&lt;&gt; "", VLOOKUP(B31,Inventario!$B$5:$I$54,8), "")</f>
        <v/>
      </c>
      <c r="H31" s="20" t="str">
        <f t="shared" si="1"/>
        <v/>
      </c>
    </row>
    <row r="32" spans="2:10" ht="15" customHeight="1" x14ac:dyDescent="0.25">
      <c r="B32" s="72"/>
      <c r="C32" s="18"/>
      <c r="D32" s="85" t="str">
        <f>IF(B32 &lt;&gt;"", VLOOKUP(B32,Inventario!$B$5:$I$54,2), "")</f>
        <v/>
      </c>
      <c r="E32" s="85"/>
      <c r="F32" s="85"/>
      <c r="G32" s="19" t="str">
        <f>IF(B32&lt;&gt; "", VLOOKUP(B32,Inventario!$B$5:$I$54,8), "")</f>
        <v/>
      </c>
      <c r="H32" s="20" t="str">
        <f t="shared" si="1"/>
        <v/>
      </c>
    </row>
    <row r="33" spans="1:9" ht="15" customHeight="1" x14ac:dyDescent="0.25">
      <c r="B33" s="72"/>
      <c r="C33" s="18"/>
      <c r="D33" s="85" t="str">
        <f>IF(B33 &lt;&gt;"", VLOOKUP(B33,Inventario!$B$5:$I$54,2), "")</f>
        <v/>
      </c>
      <c r="E33" s="85"/>
      <c r="F33" s="85"/>
      <c r="G33" s="19" t="str">
        <f>IF(B33&lt;&gt; "", VLOOKUP(B33,Inventario!$B$5:$I$54,8), "")</f>
        <v/>
      </c>
      <c r="H33" s="20" t="str">
        <f t="shared" si="1"/>
        <v/>
      </c>
    </row>
    <row r="34" spans="1:9" ht="15" customHeight="1" x14ac:dyDescent="0.25">
      <c r="B34" s="72"/>
      <c r="C34" s="18"/>
      <c r="D34" s="85" t="str">
        <f>IF(B34 &lt;&gt;"", VLOOKUP(B34,Inventario!$B$5:$I$54,2), "")</f>
        <v/>
      </c>
      <c r="E34" s="85"/>
      <c r="F34" s="85"/>
      <c r="G34" s="19" t="str">
        <f>IF(B34&lt;&gt; "", VLOOKUP(B34,Inventario!$B$5:$I$54,8), "")</f>
        <v/>
      </c>
      <c r="H34" s="20" t="str">
        <f t="shared" si="1"/>
        <v/>
      </c>
    </row>
    <row r="35" spans="1:9" ht="15" customHeight="1" x14ac:dyDescent="0.25">
      <c r="B35" s="72"/>
      <c r="C35" s="18"/>
      <c r="D35" s="85" t="str">
        <f>IF(B35 &lt;&gt;"", VLOOKUP(B35,Inventario!$B$5:$I$54,2), "")</f>
        <v/>
      </c>
      <c r="E35" s="85"/>
      <c r="F35" s="85"/>
      <c r="G35" s="19" t="str">
        <f>IF(B35&lt;&gt; "", VLOOKUP(B35,Inventario!$B$5:$I$54,8), "")</f>
        <v/>
      </c>
      <c r="H35" s="20" t="str">
        <f t="shared" si="1"/>
        <v/>
      </c>
    </row>
    <row r="36" spans="1:9" ht="15" customHeight="1" x14ac:dyDescent="0.25">
      <c r="B36" s="72"/>
      <c r="C36" s="18"/>
      <c r="D36" s="85" t="str">
        <f>IF(B36 &lt;&gt;"", VLOOKUP(B36,Inventario!$B$5:$I$54,2), "")</f>
        <v/>
      </c>
      <c r="E36" s="85"/>
      <c r="F36" s="85"/>
      <c r="G36" s="19" t="str">
        <f>IF(B36&lt;&gt; "", VLOOKUP(B36,Inventario!$B$5:$I$54,8), "")</f>
        <v/>
      </c>
      <c r="H36" s="20" t="str">
        <f t="shared" si="1"/>
        <v/>
      </c>
    </row>
    <row r="37" spans="1:9" ht="15" customHeight="1" x14ac:dyDescent="0.25">
      <c r="B37" s="72"/>
      <c r="C37" s="18"/>
      <c r="D37" s="85" t="str">
        <f>IF(B37 &lt;&gt;"", VLOOKUP(B37,Inventario!$B$5:$I$54,2), "")</f>
        <v/>
      </c>
      <c r="E37" s="85"/>
      <c r="F37" s="85"/>
      <c r="G37" s="19" t="str">
        <f>IF(B37&lt;&gt; "", VLOOKUP(B37,Inventario!$B$5:$I$54,8), "")</f>
        <v/>
      </c>
      <c r="H37" s="20" t="str">
        <f t="shared" si="1"/>
        <v/>
      </c>
    </row>
    <row r="38" spans="1:9" ht="15" customHeight="1" x14ac:dyDescent="0.25">
      <c r="B38" s="60"/>
      <c r="C38" s="61"/>
      <c r="D38" s="86" t="str">
        <f>IF(B38 &lt;&gt;"", VLOOKUP(B38,Inventario!$B$5:$I$54,2), "")</f>
        <v/>
      </c>
      <c r="E38" s="86"/>
      <c r="F38" s="86"/>
      <c r="G38" s="62" t="s">
        <v>178</v>
      </c>
      <c r="H38" s="63">
        <f>SUM(H11:H37)</f>
        <v>3208.8110999999999</v>
      </c>
    </row>
    <row r="39" spans="1:9" ht="15" customHeight="1" thickBot="1" x14ac:dyDescent="0.3">
      <c r="B39" s="64"/>
      <c r="C39" s="65"/>
      <c r="D39" s="87" t="str">
        <f>IF(B39 &lt;&gt;"", VLOOKUP(B39,Inventario!$B$5:$I$54,2), "")</f>
        <v/>
      </c>
      <c r="E39" s="87"/>
      <c r="F39" s="87"/>
      <c r="G39" s="66" t="str">
        <f>IF(C8 ="Contado","Descuento:","Recargo:")</f>
        <v>Recargo:</v>
      </c>
      <c r="H39" s="67">
        <f>IF(C8="Contado", 0.1, IF(C8 ="Credito",0.08, 0))</f>
        <v>0</v>
      </c>
    </row>
    <row r="40" spans="1:9" ht="15" customHeight="1" x14ac:dyDescent="0.25">
      <c r="B40" s="42"/>
      <c r="C40" s="43"/>
      <c r="D40" s="43"/>
      <c r="E40" s="43"/>
      <c r="F40" s="43"/>
      <c r="G40" s="88" t="s">
        <v>111</v>
      </c>
      <c r="H40" s="80">
        <f>H38-(H38*H39)</f>
        <v>3208.8110999999999</v>
      </c>
    </row>
    <row r="41" spans="1:9" ht="15" customHeight="1" thickBot="1" x14ac:dyDescent="0.3">
      <c r="B41" s="44"/>
      <c r="C41" s="45"/>
      <c r="D41" s="45"/>
      <c r="E41" s="45"/>
      <c r="F41" s="45"/>
      <c r="G41" s="89"/>
      <c r="H41" s="81"/>
    </row>
    <row r="42" spans="1:9" ht="15.75" thickBot="1" x14ac:dyDescent="0.3">
      <c r="B42" s="82" t="str">
        <f>AuxLetras!$K$4</f>
        <v>TRES MIL DOSCIENTOS  Y OCHENTA PESOS CON OCHENTA Y UNO CENTAVOS</v>
      </c>
      <c r="C42" s="83"/>
      <c r="D42" s="83"/>
      <c r="E42" s="83"/>
      <c r="F42" s="83"/>
      <c r="G42" s="83"/>
      <c r="H42" s="84"/>
    </row>
    <row r="47" spans="1:9" x14ac:dyDescent="0.25">
      <c r="A47" s="50"/>
      <c r="I47" s="47"/>
    </row>
    <row r="48" spans="1:9" x14ac:dyDescent="0.25">
      <c r="A48" s="50"/>
    </row>
    <row r="49" spans="1:8" x14ac:dyDescent="0.25">
      <c r="A49" s="50"/>
      <c r="B49" s="51"/>
      <c r="C49" s="51"/>
      <c r="D49" s="51"/>
      <c r="E49" s="51"/>
      <c r="F49" s="51"/>
      <c r="G49" s="51"/>
      <c r="H49" s="51"/>
    </row>
  </sheetData>
  <mergeCells count="44">
    <mergeCell ref="G40:G41"/>
    <mergeCell ref="H40:H41"/>
    <mergeCell ref="B42:H42"/>
    <mergeCell ref="D10:F10"/>
    <mergeCell ref="E3:E5"/>
    <mergeCell ref="B2:D3"/>
    <mergeCell ref="G2:H2"/>
    <mergeCell ref="G3:H3"/>
    <mergeCell ref="G4:H4"/>
    <mergeCell ref="C6:E6"/>
    <mergeCell ref="C7:E7"/>
    <mergeCell ref="C8:E8"/>
    <mergeCell ref="C9:E9"/>
    <mergeCell ref="G7:H7"/>
    <mergeCell ref="G9:H9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5:F35"/>
    <mergeCell ref="D36:F36"/>
    <mergeCell ref="D37:F37"/>
    <mergeCell ref="D38:F38"/>
    <mergeCell ref="D39:F39"/>
  </mergeCells>
  <phoneticPr fontId="5" type="noConversion"/>
  <dataValidations count="2">
    <dataValidation type="list" allowBlank="1" showInputMessage="1" showErrorMessage="1" sqref="C8:E8" xr:uid="{52D20B32-5AF0-4B51-AA77-7C0625E563A8}">
      <formula1>"Contado, T.Credito, Cta Cte"</formula1>
    </dataValidation>
    <dataValidation type="list" allowBlank="1" showInputMessage="1" showErrorMessage="1" sqref="C9:E9" xr:uid="{C94AAC23-B045-4603-8435-7B4CD1C5C909}">
      <formula1>"Responsable Inscripto, Consumidor Final, Exento, Monotributista"</formula1>
    </dataValidation>
  </dataValidations>
  <pageMargins left="0.7" right="0.7" top="0.75" bottom="0.75" header="0.3" footer="0.3"/>
  <pageSetup orientation="portrait" r:id="rId1"/>
  <ignoredErrors>
    <ignoredError sqref="B11:B1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72AF-73AE-4093-93F8-6A29DE4D08BF}">
  <dimension ref="A1:H145"/>
  <sheetViews>
    <sheetView zoomScale="90" zoomScaleNormal="90" workbookViewId="0">
      <selection activeCell="D35" sqref="D35:F35"/>
    </sheetView>
  </sheetViews>
  <sheetFormatPr baseColWidth="10" defaultRowHeight="15" x14ac:dyDescent="0.25"/>
  <cols>
    <col min="1" max="1" width="11.42578125" style="34"/>
    <col min="2" max="8" width="16.28515625" customWidth="1"/>
  </cols>
  <sheetData>
    <row r="1" spans="2:8" ht="15.75" thickBot="1" x14ac:dyDescent="0.3"/>
    <row r="2" spans="2:8" ht="15" customHeight="1" x14ac:dyDescent="0.25">
      <c r="B2" s="95" t="s">
        <v>12</v>
      </c>
      <c r="C2" s="96"/>
      <c r="D2" s="96"/>
      <c r="E2" s="26" t="s">
        <v>113</v>
      </c>
      <c r="F2" s="27" t="s">
        <v>91</v>
      </c>
      <c r="G2" s="99">
        <v>1000000001</v>
      </c>
      <c r="H2" s="100"/>
    </row>
    <row r="3" spans="2:8" ht="15" customHeight="1" x14ac:dyDescent="0.25">
      <c r="B3" s="97"/>
      <c r="C3" s="98"/>
      <c r="D3" s="98"/>
      <c r="E3" s="101"/>
      <c r="F3" s="28" t="s">
        <v>90</v>
      </c>
      <c r="G3" s="103">
        <f ca="1">NOW()</f>
        <v>45063.787011574073</v>
      </c>
      <c r="H3" s="104"/>
    </row>
    <row r="4" spans="2:8" x14ac:dyDescent="0.25">
      <c r="B4" s="24"/>
      <c r="C4" s="25"/>
      <c r="D4" s="25"/>
      <c r="E4" s="101"/>
      <c r="F4" s="28" t="s">
        <v>89</v>
      </c>
      <c r="G4" s="105" t="s">
        <v>92</v>
      </c>
      <c r="H4" s="106"/>
    </row>
    <row r="5" spans="2:8" ht="15.75" thickBot="1" x14ac:dyDescent="0.3">
      <c r="B5" s="29"/>
      <c r="C5" s="30"/>
      <c r="D5" s="30"/>
      <c r="E5" s="102"/>
      <c r="F5" s="30"/>
      <c r="G5" s="30"/>
      <c r="H5" s="31"/>
    </row>
    <row r="6" spans="2:8" x14ac:dyDescent="0.25">
      <c r="B6" s="21" t="s">
        <v>93</v>
      </c>
      <c r="C6" s="93"/>
      <c r="D6" s="93"/>
      <c r="E6" s="93"/>
      <c r="F6" s="22"/>
      <c r="G6" s="22"/>
      <c r="H6" s="23"/>
    </row>
    <row r="7" spans="2:8" ht="15.75" thickBot="1" x14ac:dyDescent="0.3">
      <c r="B7" s="24" t="s">
        <v>94</v>
      </c>
      <c r="C7" s="91"/>
      <c r="D7" s="91"/>
      <c r="E7" s="91"/>
      <c r="F7" s="25" t="s">
        <v>96</v>
      </c>
      <c r="G7" s="91"/>
      <c r="H7" s="92"/>
    </row>
    <row r="8" spans="2:8" x14ac:dyDescent="0.25">
      <c r="B8" s="21" t="s">
        <v>95</v>
      </c>
      <c r="C8" s="93" t="s">
        <v>97</v>
      </c>
      <c r="D8" s="93"/>
      <c r="E8" s="93"/>
      <c r="F8" s="22"/>
      <c r="G8" s="22"/>
      <c r="H8" s="23"/>
    </row>
    <row r="9" spans="2:8" ht="15.75" thickBot="1" x14ac:dyDescent="0.3">
      <c r="B9" s="24" t="s">
        <v>6</v>
      </c>
      <c r="C9" s="91" t="s">
        <v>98</v>
      </c>
      <c r="D9" s="91"/>
      <c r="E9" s="91"/>
      <c r="F9" s="25" t="s">
        <v>99</v>
      </c>
      <c r="G9" s="91"/>
      <c r="H9" s="92"/>
    </row>
    <row r="10" spans="2:8" ht="15.75" thickBot="1" x14ac:dyDescent="0.3">
      <c r="B10" s="36" t="s">
        <v>64</v>
      </c>
      <c r="C10" s="37" t="s">
        <v>100</v>
      </c>
      <c r="D10" s="107" t="s">
        <v>101</v>
      </c>
      <c r="E10" s="107"/>
      <c r="F10" s="107"/>
      <c r="G10" s="37" t="s">
        <v>102</v>
      </c>
      <c r="H10" s="38" t="s">
        <v>103</v>
      </c>
    </row>
    <row r="11" spans="2:8" ht="15" customHeight="1" x14ac:dyDescent="0.25">
      <c r="B11" s="73" t="str">
        <f>Factura!B11</f>
        <v>1003001</v>
      </c>
      <c r="C11" s="32">
        <f>Factura!C11:C37</f>
        <v>2</v>
      </c>
      <c r="D11" s="108" t="str">
        <f>IF(B11 &lt;&gt;"", VLOOKUP(B11,Inventario!$B$5:$I$54,2), "")</f>
        <v>Queso Cremoso 100gr</v>
      </c>
      <c r="E11" s="108"/>
      <c r="F11" s="108"/>
      <c r="G11" s="33">
        <f>IF(B11&lt;&gt; "", VLOOKUP(B11,Inventario!$B$5:$I$54,8), "")</f>
        <v>1511.11455</v>
      </c>
      <c r="H11" s="33">
        <f>IF(AND(B11 &lt;&gt; "", C11 &lt;&gt;""), C11*G11, "")</f>
        <v>3022.2291</v>
      </c>
    </row>
    <row r="12" spans="2:8" ht="15" customHeight="1" x14ac:dyDescent="0.25">
      <c r="B12" s="73" t="str">
        <f>Factura!B12</f>
        <v>1001001</v>
      </c>
      <c r="C12" s="32">
        <f>Factura!C12:C38</f>
        <v>1</v>
      </c>
      <c r="D12" s="108" t="str">
        <f>IF(B12 &lt;&gt;"", VLOOKUP(B12,Inventario!$B$5:$I$54,2), "")</f>
        <v>Fideos 500gr</v>
      </c>
      <c r="E12" s="108"/>
      <c r="F12" s="108"/>
      <c r="G12" s="33">
        <f>IF(B12&lt;&gt; "", VLOOKUP(B12,Inventario!$B$5:$I$54,8), "")</f>
        <v>17.2425</v>
      </c>
      <c r="H12" s="33">
        <f t="shared" ref="H12:H18" si="0">IF(AND(B12 &lt;&gt; "", C12 &lt;&gt;""), C12*G12, "")</f>
        <v>17.2425</v>
      </c>
    </row>
    <row r="13" spans="2:8" ht="15" customHeight="1" x14ac:dyDescent="0.25">
      <c r="B13" s="73" t="str">
        <f>Factura!B13</f>
        <v>1002003</v>
      </c>
      <c r="C13" s="32">
        <f>Factura!C13:C39</f>
        <v>1</v>
      </c>
      <c r="D13" s="108" t="str">
        <f>IF(B13 &lt;&gt;"", VLOOKUP(B13,Inventario!$B$5:$I$54,2), "")</f>
        <v>Shampoo</v>
      </c>
      <c r="E13" s="108"/>
      <c r="F13" s="108"/>
      <c r="G13" s="33">
        <f>IF(B13&lt;&gt; "", VLOOKUP(B13,Inventario!$B$5:$I$54,8), "")</f>
        <v>35.029500000000006</v>
      </c>
      <c r="H13" s="33">
        <f t="shared" si="0"/>
        <v>35.029500000000006</v>
      </c>
    </row>
    <row r="14" spans="2:8" ht="15" customHeight="1" x14ac:dyDescent="0.25">
      <c r="B14" s="73" t="str">
        <f>Factura!B14</f>
        <v>1007002</v>
      </c>
      <c r="C14" s="32">
        <f>Factura!C14:C40</f>
        <v>1</v>
      </c>
      <c r="D14" s="108" t="str">
        <f>IF(B14 &lt;&gt;"", VLOOKUP(B14,Inventario!$B$5:$I$54,2), "")</f>
        <v>Mantel</v>
      </c>
      <c r="E14" s="108"/>
      <c r="F14" s="108"/>
      <c r="G14" s="33">
        <f>IF(B14&lt;&gt; "", VLOOKUP(B14,Inventario!$B$5:$I$54,8), "")</f>
        <v>50.82</v>
      </c>
      <c r="H14" s="33">
        <f t="shared" si="0"/>
        <v>50.82</v>
      </c>
    </row>
    <row r="15" spans="2:8" ht="15" customHeight="1" x14ac:dyDescent="0.25">
      <c r="B15" s="73" t="str">
        <f>Factura!B15</f>
        <v>1008003</v>
      </c>
      <c r="C15" s="32">
        <f>Factura!C15:C41</f>
        <v>1</v>
      </c>
      <c r="D15" s="108" t="str">
        <f>IF(B15 &lt;&gt;"", VLOOKUP(B15,Inventario!$B$5:$I$54,2), "")</f>
        <v>Fernet 750 ml</v>
      </c>
      <c r="E15" s="108"/>
      <c r="F15" s="108"/>
      <c r="G15" s="33">
        <f>IF(B15&lt;&gt; "", VLOOKUP(B15,Inventario!$B$5:$I$54,8), "")</f>
        <v>35.937000000000005</v>
      </c>
      <c r="H15" s="33">
        <f t="shared" si="0"/>
        <v>35.937000000000005</v>
      </c>
    </row>
    <row r="16" spans="2:8" x14ac:dyDescent="0.25">
      <c r="B16" s="73" t="str">
        <f>Factura!B16</f>
        <v>1009005</v>
      </c>
      <c r="C16" s="32">
        <f>Factura!C16:C42</f>
        <v>1</v>
      </c>
      <c r="D16" s="108" t="str">
        <f>IF(B16 &lt;&gt;"", VLOOKUP(B16,Inventario!$B$5:$I$54,2), "")</f>
        <v>Serpientes y Escaleras</v>
      </c>
      <c r="E16" s="108"/>
      <c r="F16" s="108"/>
      <c r="G16" s="33">
        <f>IF(B16&lt;&gt; "", VLOOKUP(B16,Inventario!$B$5:$I$54,8), "")</f>
        <v>8.1675000000000004</v>
      </c>
      <c r="H16" s="33">
        <f t="shared" si="0"/>
        <v>8.1675000000000004</v>
      </c>
    </row>
    <row r="17" spans="2:8" x14ac:dyDescent="0.25">
      <c r="B17" s="73" t="str">
        <f>Factura!B17</f>
        <v>1001001</v>
      </c>
      <c r="C17" s="32">
        <f>Factura!C17:C43</f>
        <v>1</v>
      </c>
      <c r="D17" s="108" t="str">
        <f>IF(B17 &lt;&gt;"", VLOOKUP(B17,Inventario!$B$5:$I$54,2), "")</f>
        <v>Fideos 500gr</v>
      </c>
      <c r="E17" s="108"/>
      <c r="F17" s="108"/>
      <c r="G17" s="33">
        <f>IF(B17&lt;&gt; "", VLOOKUP(B17,Inventario!$B$5:$I$54,8), "")</f>
        <v>17.2425</v>
      </c>
      <c r="H17" s="33">
        <f t="shared" si="0"/>
        <v>17.2425</v>
      </c>
    </row>
    <row r="18" spans="2:8" x14ac:dyDescent="0.25">
      <c r="B18" s="73" t="str">
        <f>Factura!B18</f>
        <v>1006003</v>
      </c>
      <c r="C18" s="32">
        <f>Factura!C18:C44</f>
        <v>1</v>
      </c>
      <c r="D18" s="108" t="str">
        <f>IF(B18 &lt;&gt;"", VLOOKUP(B18,Inventario!$B$5:$I$54,2), "")</f>
        <v>Collar</v>
      </c>
      <c r="E18" s="108"/>
      <c r="F18" s="108"/>
      <c r="G18" s="33">
        <f>IF(B18&lt;&gt; "", VLOOKUP(B18,Inventario!$B$5:$I$54,8), "")</f>
        <v>12.341999999999999</v>
      </c>
      <c r="H18" s="33">
        <f t="shared" si="0"/>
        <v>12.341999999999999</v>
      </c>
    </row>
    <row r="19" spans="2:8" x14ac:dyDescent="0.25">
      <c r="B19" s="73" t="str">
        <f>Factura!B19</f>
        <v>1008004</v>
      </c>
      <c r="C19" s="32">
        <f>Factura!C19:C45</f>
        <v>1</v>
      </c>
      <c r="D19" s="108" t="str">
        <f>IF(B19 &lt;&gt;"", VLOOKUP(B19,Inventario!$B$5:$I$54,2), "")</f>
        <v>Coca Cola 2,15 lt</v>
      </c>
      <c r="E19" s="108"/>
      <c r="F19" s="108"/>
      <c r="G19" s="33">
        <f>IF(B19&lt;&gt; "", VLOOKUP(B19,Inventario!$B$5:$I$54,8), IF(H18&lt;&gt;"","Total",""))</f>
        <v>9.8010000000000019</v>
      </c>
      <c r="H19" s="33">
        <f>IF(AND(B19&lt;&gt;"",C19&lt;&gt;""),C19*G19,IF(D18&lt;&gt;"",SUM($H$11:H18),""))</f>
        <v>9.8010000000000019</v>
      </c>
    </row>
    <row r="20" spans="2:8" x14ac:dyDescent="0.25">
      <c r="B20" s="73"/>
      <c r="C20" s="32"/>
      <c r="D20" s="108" t="str">
        <f>IF(B20 &lt;&gt;"", VLOOKUP(B20,Inventario!$B$5:$I$54,2), "")</f>
        <v/>
      </c>
      <c r="E20" s="108"/>
      <c r="F20" s="108"/>
      <c r="G20" s="70" t="str">
        <f>IF(B20&lt;&gt; "", VLOOKUP(B20,Inventario!$B$5:$I$54,8), IF(H20&lt;&gt;"","Total",""))</f>
        <v>Total</v>
      </c>
      <c r="H20" s="70">
        <f>IF(AND(B20&lt;&gt;"",C20&lt;&gt;""),C20*G20,IF(D19&lt;&gt;"",SUM($H$11:H19),""))</f>
        <v>3208.8110999999999</v>
      </c>
    </row>
    <row r="21" spans="2:8" x14ac:dyDescent="0.25">
      <c r="B21" s="73"/>
      <c r="C21" s="32"/>
      <c r="D21" s="108" t="str">
        <f>IF(B21 &lt;&gt;"", VLOOKUP(B21,Inventario!$B$5:$I$54,2), "")</f>
        <v/>
      </c>
      <c r="E21" s="108"/>
      <c r="F21" s="108"/>
      <c r="G21" s="33" t="str">
        <f>IF(B21&lt;&gt; "", VLOOKUP(B21,Inventario!$B$5:$I$54,8), IF(H21&lt;&gt;"","Total",""))</f>
        <v/>
      </c>
      <c r="H21" s="33" t="str">
        <f>IF(AND(B21&lt;&gt;"",C21&lt;&gt;""),C21*G21,IF(D20&lt;&gt;"",SUM($H$11:H20),""))</f>
        <v/>
      </c>
    </row>
    <row r="22" spans="2:8" x14ac:dyDescent="0.25">
      <c r="B22" s="73"/>
      <c r="C22" s="32"/>
      <c r="D22" s="108" t="str">
        <f>IF(B22 &lt;&gt;"", VLOOKUP(B22,Inventario!$B$5:$I$54,2), "")</f>
        <v/>
      </c>
      <c r="E22" s="108"/>
      <c r="F22" s="108"/>
      <c r="G22" s="33" t="str">
        <f>IF(B22&lt;&gt; "", VLOOKUP(B22,Inventario!$B$5:$I$54,8), IF(H22&lt;&gt;"","Total",""))</f>
        <v/>
      </c>
      <c r="H22" s="33" t="str">
        <f>IF(AND(B22&lt;&gt;"",C22&lt;&gt;""),C22*G22,IF(D21&lt;&gt;"",SUM($H$11:H21),""))</f>
        <v/>
      </c>
    </row>
    <row r="23" spans="2:8" x14ac:dyDescent="0.25">
      <c r="B23" s="73"/>
      <c r="C23" s="32"/>
      <c r="D23" s="108" t="str">
        <f>IF(B23 &lt;&gt;"", VLOOKUP(B23,Inventario!$B$5:$I$54,2), "")</f>
        <v/>
      </c>
      <c r="E23" s="108"/>
      <c r="F23" s="108"/>
      <c r="G23" s="33" t="str">
        <f>IF(B23&lt;&gt; "", VLOOKUP(B23,Inventario!$B$5:$I$54,8), IF(H23&lt;&gt;"","Total",""))</f>
        <v/>
      </c>
      <c r="H23" s="33" t="str">
        <f>IF(AND(B23&lt;&gt;"",C23&lt;&gt;""),C23*G23,IF(D22&lt;&gt;"",SUM($H$11:H22),""))</f>
        <v/>
      </c>
    </row>
    <row r="24" spans="2:8" x14ac:dyDescent="0.25">
      <c r="B24" s="73"/>
      <c r="C24" s="32"/>
      <c r="D24" s="108" t="str">
        <f>IF(B24 &lt;&gt;"", VLOOKUP(B24,Inventario!$B$5:$I$54,2), "")</f>
        <v/>
      </c>
      <c r="E24" s="108"/>
      <c r="F24" s="108"/>
      <c r="G24" s="33" t="str">
        <f>IF(B24&lt;&gt; "", VLOOKUP(B24,Inventario!$B$5:$I$54,8), IF(H24&lt;&gt;"","Total",""))</f>
        <v/>
      </c>
      <c r="H24" s="33" t="str">
        <f>IF(AND(B24&lt;&gt;"",C24&lt;&gt;""),C24*G24,IF(D23&lt;&gt;"",SUM($H$11:H23),""))</f>
        <v/>
      </c>
    </row>
    <row r="25" spans="2:8" x14ac:dyDescent="0.25">
      <c r="B25" s="73"/>
      <c r="C25" s="32"/>
      <c r="D25" s="108" t="str">
        <f>IF(B25 &lt;&gt;"", VLOOKUP(B25,Inventario!$B$5:$I$54,2), "")</f>
        <v/>
      </c>
      <c r="E25" s="108"/>
      <c r="F25" s="108"/>
      <c r="G25" s="33" t="str">
        <f>IF(B25&lt;&gt; "", VLOOKUP(B25,Inventario!$B$5:$I$54,8), IF(H25&lt;&gt;"","Total",""))</f>
        <v/>
      </c>
      <c r="H25" s="33" t="str">
        <f>IF(AND(B25&lt;&gt;"",C25&lt;&gt;""),C25*G25,IF(D24&lt;&gt;"",SUM($H$11:H24),""))</f>
        <v/>
      </c>
    </row>
    <row r="26" spans="2:8" x14ac:dyDescent="0.25">
      <c r="B26" s="73"/>
      <c r="C26" s="32"/>
      <c r="D26" s="108" t="str">
        <f>IF(B26 &lt;&gt;"", VLOOKUP(B26,Inventario!$B$5:$I$54,2), "")</f>
        <v/>
      </c>
      <c r="E26" s="108"/>
      <c r="F26" s="108"/>
      <c r="G26" s="33" t="str">
        <f>IF(B26&lt;&gt; "", VLOOKUP(B26,Inventario!$B$5:$I$54,8), IF(H26&lt;&gt;"","Total",""))</f>
        <v/>
      </c>
      <c r="H26" s="33" t="str">
        <f>IF(AND(B26&lt;&gt;"",C26&lt;&gt;""),C26*G26,IF(D25&lt;&gt;"",SUM($H$11:H25),""))</f>
        <v/>
      </c>
    </row>
    <row r="27" spans="2:8" x14ac:dyDescent="0.25">
      <c r="B27" s="73"/>
      <c r="C27" s="32"/>
      <c r="D27" s="108" t="str">
        <f>IF(B27 &lt;&gt;"", VLOOKUP(B27,Inventario!$B$5:$I$54,2), "")</f>
        <v/>
      </c>
      <c r="E27" s="108"/>
      <c r="F27" s="108"/>
      <c r="G27" s="33" t="str">
        <f>IF(B27&lt;&gt; "", VLOOKUP(B27,Inventario!$B$5:$I$54,8), IF(H27&lt;&gt;"","Total",""))</f>
        <v/>
      </c>
      <c r="H27" s="33" t="str">
        <f>IF(AND(B27&lt;&gt;"",C27&lt;&gt;""),C27*G27,IF(D26&lt;&gt;"",SUM($H$11:H26),""))</f>
        <v/>
      </c>
    </row>
    <row r="28" spans="2:8" x14ac:dyDescent="0.25">
      <c r="B28" s="73"/>
      <c r="C28" s="32"/>
      <c r="D28" s="108" t="str">
        <f>IF(B28 &lt;&gt;"", VLOOKUP(B28,Inventario!$B$5:$I$54,2), "")</f>
        <v/>
      </c>
      <c r="E28" s="108"/>
      <c r="F28" s="108"/>
      <c r="G28" s="33" t="str">
        <f>IF(B28&lt;&gt; "", VLOOKUP(B28,Inventario!$B$5:$I$54,8), IF(H28&lt;&gt;"","Total",""))</f>
        <v/>
      </c>
      <c r="H28" s="33" t="str">
        <f>IF(AND(B28&lt;&gt;"",C28&lt;&gt;""),C28*G28,IF(D27&lt;&gt;"",SUM($H$11:H27),""))</f>
        <v/>
      </c>
    </row>
    <row r="29" spans="2:8" x14ac:dyDescent="0.25">
      <c r="B29" s="73"/>
      <c r="C29" s="32"/>
      <c r="D29" s="108" t="str">
        <f>IF(B29 &lt;&gt;"", VLOOKUP(B29,Inventario!$B$5:$I$54,2), "")</f>
        <v/>
      </c>
      <c r="E29" s="108"/>
      <c r="F29" s="108"/>
      <c r="G29" s="33" t="str">
        <f>IF(B29&lt;&gt; "", VLOOKUP(B29,Inventario!$B$5:$I$54,8), IF(H29&lt;&gt;"","Total",""))</f>
        <v/>
      </c>
      <c r="H29" s="33" t="str">
        <f>IF(AND(B29&lt;&gt;"",C29&lt;&gt;""),C29*G29,IF(D28&lt;&gt;"",SUM($H$11:H28),""))</f>
        <v/>
      </c>
    </row>
    <row r="30" spans="2:8" x14ac:dyDescent="0.25">
      <c r="B30" s="73"/>
      <c r="C30" s="32"/>
      <c r="D30" s="108" t="str">
        <f>IF(B30 &lt;&gt;"", VLOOKUP(B30,Inventario!$B$5:$I$54,2), "")</f>
        <v/>
      </c>
      <c r="E30" s="108"/>
      <c r="F30" s="108"/>
      <c r="G30" s="33" t="str">
        <f>IF(B30&lt;&gt; "", VLOOKUP(B30,Inventario!$B$5:$I$54,8), IF(H30&lt;&gt;"","Total",""))</f>
        <v/>
      </c>
      <c r="H30" s="33" t="str">
        <f>IF(AND(B30&lt;&gt;"",C30&lt;&gt;""),C30*G30,IF(D29&lt;&gt;"",SUM($H$11:H29),""))</f>
        <v/>
      </c>
    </row>
    <row r="31" spans="2:8" x14ac:dyDescent="0.25">
      <c r="B31" s="73"/>
      <c r="C31" s="32"/>
      <c r="D31" s="108" t="str">
        <f>IF(B31 &lt;&gt;"", VLOOKUP(B31,Inventario!$B$5:$I$54,2), "")</f>
        <v/>
      </c>
      <c r="E31" s="108"/>
      <c r="F31" s="108"/>
      <c r="G31" s="33" t="str">
        <f>IF(B31&lt;&gt; "", VLOOKUP(B31,Inventario!$B$5:$I$54,8), IF(H31&lt;&gt;"","Total",""))</f>
        <v/>
      </c>
      <c r="H31" s="33" t="str">
        <f>IF(AND(B31&lt;&gt;"",C31&lt;&gt;""),C31*G31,IF(D30&lt;&gt;"",SUM($H$11:H30),""))</f>
        <v/>
      </c>
    </row>
    <row r="32" spans="2:8" x14ac:dyDescent="0.25">
      <c r="B32" s="73"/>
      <c r="C32" s="32"/>
      <c r="D32" s="108" t="str">
        <f>IF(B32 &lt;&gt;"", VLOOKUP(B32,Inventario!$B$5:$I$54,2), "")</f>
        <v/>
      </c>
      <c r="E32" s="108"/>
      <c r="F32" s="108"/>
      <c r="G32" s="33" t="str">
        <f>IF(B32&lt;&gt; "", VLOOKUP(B32,Inventario!$B$5:$I$54,8), IF(H32&lt;&gt;"","Total",""))</f>
        <v/>
      </c>
      <c r="H32" s="33" t="str">
        <f>IF(AND(B32&lt;&gt;"",C32&lt;&gt;""),C32*G32,IF(D31&lt;&gt;"",SUM($H$11:H31),""))</f>
        <v/>
      </c>
    </row>
    <row r="33" spans="2:8" x14ac:dyDescent="0.25">
      <c r="B33" s="73"/>
      <c r="C33" s="32"/>
      <c r="D33" s="108" t="str">
        <f>IF(B33 &lt;&gt;"", VLOOKUP(B33,Inventario!$B$5:$I$54,2), "")</f>
        <v/>
      </c>
      <c r="E33" s="108"/>
      <c r="F33" s="108"/>
      <c r="G33" s="33" t="str">
        <f>IF(B33&lt;&gt; "", VLOOKUP(B33,Inventario!$B$5:$I$54,8), IF(H33&lt;&gt;"","Total",""))</f>
        <v/>
      </c>
      <c r="H33" s="33" t="str">
        <f>IF(AND(B33&lt;&gt;"",C33&lt;&gt;""),C33*G33,IF(D32&lt;&gt;"",SUM($H$11:H32),""))</f>
        <v/>
      </c>
    </row>
    <row r="34" spans="2:8" x14ac:dyDescent="0.25">
      <c r="B34" s="73"/>
      <c r="C34" s="32"/>
      <c r="D34" s="108" t="str">
        <f>IF(B34 &lt;&gt;"", VLOOKUP(B34,Inventario!$B$5:$I$54,2), "")</f>
        <v/>
      </c>
      <c r="E34" s="108"/>
      <c r="F34" s="108"/>
      <c r="G34" s="33" t="str">
        <f>IF(B34&lt;&gt; "", VLOOKUP(B34,Inventario!$B$5:$I$54,8), IF(H34&lt;&gt;"","Total",""))</f>
        <v/>
      </c>
      <c r="H34" s="33" t="str">
        <f>IF(AND(B34&lt;&gt;"",C34&lt;&gt;""),C34*G34,IF(D33&lt;&gt;"",SUM($H$11:H33),""))</f>
        <v/>
      </c>
    </row>
    <row r="35" spans="2:8" x14ac:dyDescent="0.25">
      <c r="B35" s="73"/>
      <c r="C35" s="32"/>
      <c r="D35" s="108" t="str">
        <f>IF(B35 &lt;&gt;"", VLOOKUP(B35,Inventario!$B$5:$I$54,2), "")</f>
        <v/>
      </c>
      <c r="E35" s="108"/>
      <c r="F35" s="108"/>
      <c r="G35" s="33" t="str">
        <f>IF(B35&lt;&gt; "", VLOOKUP(B35,Inventario!$B$5:$I$54,8), IF(H35&lt;&gt;"","Total",""))</f>
        <v/>
      </c>
      <c r="H35" s="33" t="str">
        <f>IF(AND(B35&lt;&gt;"",C35&lt;&gt;""),C35*G35,IF(D34&lt;&gt;"",SUM($H$11:H34),""))</f>
        <v/>
      </c>
    </row>
    <row r="36" spans="2:8" x14ac:dyDescent="0.25">
      <c r="B36" s="73"/>
      <c r="C36" s="32"/>
      <c r="D36" s="108" t="str">
        <f>IF(B36 &lt;&gt;"", VLOOKUP(B36,Inventario!$B$5:$I$54,2), "")</f>
        <v/>
      </c>
      <c r="E36" s="108"/>
      <c r="F36" s="108"/>
      <c r="G36" s="33" t="str">
        <f>IF(B36&lt;&gt; "", VLOOKUP(B36,Inventario!$B$5:$I$54,8), IF(H36&lt;&gt;"","Total",""))</f>
        <v/>
      </c>
      <c r="H36" s="33" t="str">
        <f>IF(AND(B36&lt;&gt;"",C36&lt;&gt;""),C36*G36,IF(D35&lt;&gt;"",SUM($H$11:H35),""))</f>
        <v/>
      </c>
    </row>
    <row r="37" spans="2:8" x14ac:dyDescent="0.25">
      <c r="B37" s="73"/>
      <c r="C37" s="32"/>
      <c r="D37" s="108" t="str">
        <f>IF(B37 &lt;&gt;"", VLOOKUP(B37,Inventario!$B$5:$I$54,2), "")</f>
        <v/>
      </c>
      <c r="E37" s="108"/>
      <c r="F37" s="108"/>
      <c r="G37" s="33" t="str">
        <f>IF(B37&lt;&gt; "", VLOOKUP(B37,Inventario!$B$5:$I$54,8), IF(H37&lt;&gt;"","Total",""))</f>
        <v/>
      </c>
      <c r="H37" s="33" t="str">
        <f>IF(AND(B37&lt;&gt;"",C37&lt;&gt;""),C37*G37,IF(D36&lt;&gt;"",SUM($H$11:H36),""))</f>
        <v/>
      </c>
    </row>
    <row r="38" spans="2:8" x14ac:dyDescent="0.25">
      <c r="B38" s="73"/>
      <c r="C38" s="32"/>
      <c r="D38" s="108" t="str">
        <f>IF(B38 &lt;&gt;"", VLOOKUP(B38,Inventario!$B$5:$I$54,2), "")</f>
        <v/>
      </c>
      <c r="E38" s="108"/>
      <c r="F38" s="108"/>
      <c r="G38" s="33" t="str">
        <f>IF(B38&lt;&gt; "", VLOOKUP(B38,Inventario!$B$5:$I$54,8), IF(H38&lt;&gt;"","Total",""))</f>
        <v/>
      </c>
      <c r="H38" s="33" t="str">
        <f>IF(AND(B38&lt;&gt;"",C38&lt;&gt;""),C38*G38,IF(D37&lt;&gt;"",SUM($H$11:H37),""))</f>
        <v/>
      </c>
    </row>
    <row r="39" spans="2:8" x14ac:dyDescent="0.25">
      <c r="B39" s="73"/>
      <c r="C39" s="32"/>
      <c r="D39" s="108" t="str">
        <f>IF(B39 &lt;&gt;"", VLOOKUP(B39,Inventario!$B$5:$I$54,2), "")</f>
        <v/>
      </c>
      <c r="E39" s="108"/>
      <c r="F39" s="108"/>
      <c r="G39" s="33" t="str">
        <f>IF(B39&lt;&gt; "", VLOOKUP(B39,Inventario!$B$5:$I$54,8), IF(H39&lt;&gt;"","Total",""))</f>
        <v/>
      </c>
      <c r="H39" s="33" t="str">
        <f>IF(AND(B39&lt;&gt;"",C39&lt;&gt;""),C39*G39,IF(D38&lt;&gt;"",SUM($H$11:H38),""))</f>
        <v/>
      </c>
    </row>
    <row r="40" spans="2:8" x14ac:dyDescent="0.25">
      <c r="B40" s="73"/>
      <c r="C40" s="32"/>
      <c r="D40" s="108" t="str">
        <f>IF(B40 &lt;&gt;"", VLOOKUP(B40,Inventario!$B$5:$I$54,2), "")</f>
        <v/>
      </c>
      <c r="E40" s="108"/>
      <c r="F40" s="108"/>
      <c r="G40" s="33" t="str">
        <f>IF(B40&lt;&gt; "", VLOOKUP(B40,Inventario!$B$5:$I$54,8), IF(H40&lt;&gt;"","Total",""))</f>
        <v/>
      </c>
      <c r="H40" s="33" t="str">
        <f>IF(AND(B40&lt;&gt;"",C40&lt;&gt;""),C40*G40,IF(D39&lt;&gt;"",SUM($H$11:H39),""))</f>
        <v/>
      </c>
    </row>
    <row r="41" spans="2:8" x14ac:dyDescent="0.25">
      <c r="B41" s="73"/>
      <c r="C41" s="32"/>
      <c r="D41" s="108" t="str">
        <f>IF(B41 &lt;&gt;"", VLOOKUP(B41,Inventario!$B$5:$I$54,2), "")</f>
        <v/>
      </c>
      <c r="E41" s="108"/>
      <c r="F41" s="108"/>
      <c r="G41" s="33" t="str">
        <f>IF(B41&lt;&gt; "", VLOOKUP(B41,Inventario!$B$5:$I$54,8), IF(H41&lt;&gt;"","Total",""))</f>
        <v/>
      </c>
      <c r="H41" s="33" t="str">
        <f>IF(AND(B41&lt;&gt;"",C41&lt;&gt;""),C41*G41,IF(D40&lt;&gt;"",SUM($H$11:H40),""))</f>
        <v/>
      </c>
    </row>
    <row r="42" spans="2:8" x14ac:dyDescent="0.25">
      <c r="B42" s="73"/>
      <c r="C42" s="32"/>
      <c r="D42" s="108" t="str">
        <f>IF(B42 &lt;&gt;"", VLOOKUP(B42,Inventario!$B$5:$I$54,2), "")</f>
        <v/>
      </c>
      <c r="E42" s="108"/>
      <c r="F42" s="108"/>
      <c r="G42" s="33" t="str">
        <f>IF(B42&lt;&gt; "", VLOOKUP(B42,Inventario!$B$5:$I$54,8), IF(H42&lt;&gt;"","Total",""))</f>
        <v/>
      </c>
      <c r="H42" s="33" t="str">
        <f>IF(AND(B42&lt;&gt;"",C42&lt;&gt;""),C42*G42,IF(D41&lt;&gt;"",SUM($H$11:H41),""))</f>
        <v/>
      </c>
    </row>
    <row r="43" spans="2:8" x14ac:dyDescent="0.25">
      <c r="B43" s="73"/>
      <c r="C43" s="32"/>
      <c r="D43" s="108" t="str">
        <f>IF(B43 &lt;&gt;"", VLOOKUP(B43,Inventario!$B$5:$I$54,2), "")</f>
        <v/>
      </c>
      <c r="E43" s="108"/>
      <c r="F43" s="108"/>
      <c r="G43" s="33" t="str">
        <f>IF(B43&lt;&gt; "", VLOOKUP(B43,Inventario!$B$5:$I$54,8), IF(H43&lt;&gt;"","Total",""))</f>
        <v/>
      </c>
      <c r="H43" s="33" t="str">
        <f>IF(AND(B43&lt;&gt;"",C43&lt;&gt;""),C43*G43,IF(D42&lt;&gt;"",SUM($H$11:H42),""))</f>
        <v/>
      </c>
    </row>
    <row r="44" spans="2:8" x14ac:dyDescent="0.25">
      <c r="B44" s="73"/>
      <c r="C44" s="32"/>
      <c r="D44" s="108" t="str">
        <f>IF(B44 &lt;&gt;"", VLOOKUP(B44,Inventario!$B$5:$I$54,2), "")</f>
        <v/>
      </c>
      <c r="E44" s="108"/>
      <c r="F44" s="108"/>
      <c r="G44" s="33" t="str">
        <f>IF(B44&lt;&gt; "", VLOOKUP(B44,Inventario!$B$5:$I$54,8), IF(H44&lt;&gt;"","Total",""))</f>
        <v/>
      </c>
      <c r="H44" s="33" t="str">
        <f>IF(AND(B44&lt;&gt;"",C44&lt;&gt;""),C44*G44,IF(D43&lt;&gt;"",SUM($H$11:H43),""))</f>
        <v/>
      </c>
    </row>
    <row r="45" spans="2:8" x14ac:dyDescent="0.25">
      <c r="B45" s="73"/>
      <c r="C45" s="32"/>
      <c r="D45" s="108" t="str">
        <f>IF(B45 &lt;&gt;"", VLOOKUP(B45,Inventario!$B$5:$I$54,2), "")</f>
        <v/>
      </c>
      <c r="E45" s="108"/>
      <c r="F45" s="108"/>
      <c r="G45" s="33" t="str">
        <f>IF(B45&lt;&gt; "", VLOOKUP(B45,Inventario!$B$5:$I$54,8), IF(H45&lt;&gt;"","Total",""))</f>
        <v/>
      </c>
      <c r="H45" s="33" t="str">
        <f>IF(AND(B45&lt;&gt;"",C45&lt;&gt;""),C45*G45,IF(D44&lt;&gt;"",SUM($H$11:H44),""))</f>
        <v/>
      </c>
    </row>
    <row r="46" spans="2:8" x14ac:dyDescent="0.25">
      <c r="B46" s="73"/>
      <c r="C46" s="32"/>
      <c r="D46" s="108" t="str">
        <f>IF(B46 &lt;&gt;"", VLOOKUP(B46,Inventario!$B$5:$I$54,2), "")</f>
        <v/>
      </c>
      <c r="E46" s="108"/>
      <c r="F46" s="108"/>
      <c r="G46" s="33" t="str">
        <f>IF(B46&lt;&gt; "", VLOOKUP(B46,Inventario!$B$5:$I$54,8), IF(H46&lt;&gt;"","Total",""))</f>
        <v/>
      </c>
      <c r="H46" s="33" t="str">
        <f>IF(AND(B46&lt;&gt;"",C46&lt;&gt;""),C46*G46,IF(D45&lt;&gt;"",SUM($H$11:H45),""))</f>
        <v/>
      </c>
    </row>
    <row r="47" spans="2:8" x14ac:dyDescent="0.25">
      <c r="B47" s="73"/>
      <c r="C47" s="32"/>
      <c r="D47" s="32"/>
      <c r="E47" s="32"/>
      <c r="F47" s="32"/>
      <c r="G47" s="33" t="str">
        <f>IF(B47&lt;&gt; "", VLOOKUP(B47,Inventario!$B$5:$I$54,8), IF(H47&lt;&gt;"","Total",""))</f>
        <v/>
      </c>
      <c r="H47" s="33" t="str">
        <f>IF(AND(B47&lt;&gt;"",C47&lt;&gt;""),C47*G47,IF(D46&lt;&gt;"",SUM($H$11:H46),""))</f>
        <v/>
      </c>
    </row>
    <row r="48" spans="2:8" x14ac:dyDescent="0.25">
      <c r="B48" s="73"/>
      <c r="G48" s="33" t="str">
        <f>IF(B48&lt;&gt; "", VLOOKUP(B48,Inventario!$B$5:$I$54,8), IF(H48&lt;&gt;"","Total",""))</f>
        <v/>
      </c>
      <c r="H48" s="33" t="str">
        <f>IF(AND(B48&lt;&gt;"",C48&lt;&gt;""),C48*G48,IF(D47&lt;&gt;"",SUM($H$11:H47),""))</f>
        <v/>
      </c>
    </row>
    <row r="49" spans="2:8" x14ac:dyDescent="0.25">
      <c r="B49" s="73"/>
      <c r="G49" s="33" t="str">
        <f>IF(B49&lt;&gt; "", VLOOKUP(B49,Inventario!$B$5:$I$54,8), IF(H49&lt;&gt;"","Total",""))</f>
        <v/>
      </c>
      <c r="H49" s="33" t="str">
        <f>IF(AND(B49&lt;&gt;"",C49&lt;&gt;""),C49*G49,IF(D48&lt;&gt;"",SUM($H$11:H48),""))</f>
        <v/>
      </c>
    </row>
    <row r="50" spans="2:8" x14ac:dyDescent="0.25">
      <c r="B50" s="73"/>
      <c r="G50" s="33" t="str">
        <f>IF(B50&lt;&gt; "", VLOOKUP(B50,Inventario!$B$5:$I$54,8), IF(H50&lt;&gt;"","Total",""))</f>
        <v/>
      </c>
      <c r="H50" s="33" t="str">
        <f>IF(AND(B50&lt;&gt;"",C50&lt;&gt;""),C50*G50,IF(D49&lt;&gt;"",SUM($H$11:H49),""))</f>
        <v/>
      </c>
    </row>
    <row r="51" spans="2:8" x14ac:dyDescent="0.25">
      <c r="B51" s="73"/>
      <c r="G51" s="33" t="str">
        <f>IF(B51&lt;&gt; "", VLOOKUP(B51,Inventario!$B$5:$I$54,8), IF(H51&lt;&gt;"","Total",""))</f>
        <v/>
      </c>
      <c r="H51" s="33" t="str">
        <f>IF(AND(B51&lt;&gt;"",C51&lt;&gt;""),C51*G51,IF(D50&lt;&gt;"",SUM($H$11:H50),""))</f>
        <v/>
      </c>
    </row>
    <row r="52" spans="2:8" x14ac:dyDescent="0.25">
      <c r="B52" s="73"/>
      <c r="G52" s="33" t="str">
        <f>IF(B52&lt;&gt; "", VLOOKUP(B52,Inventario!$B$5:$I$54,8), IF(H52&lt;&gt;"","Total",""))</f>
        <v/>
      </c>
      <c r="H52" s="33" t="str">
        <f>IF(AND(B52&lt;&gt;"",C52&lt;&gt;""),C52*G52,IF(D51&lt;&gt;"",SUM($H$11:H51),""))</f>
        <v/>
      </c>
    </row>
    <row r="53" spans="2:8" x14ac:dyDescent="0.25">
      <c r="B53" s="73"/>
      <c r="G53" s="33" t="str">
        <f>IF(B53&lt;&gt; "", VLOOKUP(B53,Inventario!$B$5:$I$54,8), IF(H53&lt;&gt;"","Total",""))</f>
        <v/>
      </c>
      <c r="H53" s="33" t="str">
        <f>IF(AND(B53&lt;&gt;"",C53&lt;&gt;""),C53*G53,IF(D52&lt;&gt;"",SUM($H$11:H52),""))</f>
        <v/>
      </c>
    </row>
    <row r="54" spans="2:8" x14ac:dyDescent="0.25">
      <c r="B54" s="73"/>
      <c r="G54" s="33" t="str">
        <f>IF(B54&lt;&gt; "", VLOOKUP(B54,Inventario!$B$5:$I$54,8), IF(H54&lt;&gt;"","Total",""))</f>
        <v/>
      </c>
      <c r="H54" s="33" t="str">
        <f>IF(AND(B54&lt;&gt;"",C54&lt;&gt;""),C54*G54,IF(D53&lt;&gt;"",SUM($H$11:H53),""))</f>
        <v/>
      </c>
    </row>
    <row r="55" spans="2:8" x14ac:dyDescent="0.25">
      <c r="B55" s="73"/>
      <c r="G55" s="33" t="str">
        <f>IF(B55&lt;&gt; "", VLOOKUP(B55,Inventario!$B$5:$I$54,8), IF(H55&lt;&gt;"","Total",""))</f>
        <v/>
      </c>
      <c r="H55" s="33" t="str">
        <f>IF(AND(B55&lt;&gt;"",C55&lt;&gt;""),C55*G55,IF(D54&lt;&gt;"",SUM($H$11:H54),""))</f>
        <v/>
      </c>
    </row>
    <row r="56" spans="2:8" x14ac:dyDescent="0.25">
      <c r="B56" s="73"/>
      <c r="G56" s="33" t="str">
        <f>IF(B56&lt;&gt; "", VLOOKUP(B56,Inventario!$B$5:$I$54,8), IF(H56&lt;&gt;"","Total",""))</f>
        <v/>
      </c>
      <c r="H56" s="33" t="str">
        <f>IF(AND(B56&lt;&gt;"",C56&lt;&gt;""),C56*G56,IF(D55&lt;&gt;"",SUM($H$11:H55),""))</f>
        <v/>
      </c>
    </row>
    <row r="57" spans="2:8" x14ac:dyDescent="0.25">
      <c r="B57" s="73"/>
      <c r="G57" s="33" t="str">
        <f>IF(B57&lt;&gt; "", VLOOKUP(B57,Inventario!$B$5:$I$54,8), IF(H57&lt;&gt;"","Total",""))</f>
        <v/>
      </c>
      <c r="H57" s="33" t="str">
        <f>IF(AND(B57&lt;&gt;"",C57&lt;&gt;""),C57*G57,IF(D56&lt;&gt;"",SUM($H$11:H56),""))</f>
        <v/>
      </c>
    </row>
    <row r="58" spans="2:8" x14ac:dyDescent="0.25">
      <c r="B58" s="73"/>
      <c r="G58" s="33" t="str">
        <f>IF(B58&lt;&gt; "", VLOOKUP(B58,Inventario!$B$5:$I$54,8), IF(H58&lt;&gt;"","Total",""))</f>
        <v/>
      </c>
      <c r="H58" s="33" t="str">
        <f>IF(AND(B58&lt;&gt;"",C58&lt;&gt;""),C58*G58,IF(D57&lt;&gt;"",SUM($H$11:H57),""))</f>
        <v/>
      </c>
    </row>
    <row r="59" spans="2:8" x14ac:dyDescent="0.25">
      <c r="B59" s="73"/>
      <c r="G59" s="33" t="str">
        <f>IF(B59&lt;&gt; "", VLOOKUP(B59,Inventario!$B$5:$I$54,8), IF(H59&lt;&gt;"","Total",""))</f>
        <v/>
      </c>
      <c r="H59" s="33" t="str">
        <f>IF(AND(B59&lt;&gt;"",C59&lt;&gt;""),C59*G59,IF(D58&lt;&gt;"",SUM($H$11:H58),""))</f>
        <v/>
      </c>
    </row>
    <row r="60" spans="2:8" x14ac:dyDescent="0.25">
      <c r="B60" s="73"/>
      <c r="G60" s="33" t="str">
        <f>IF(B60&lt;&gt; "", VLOOKUP(B60,Inventario!$B$5:$I$54,8), IF(H60&lt;&gt;"","Total",""))</f>
        <v/>
      </c>
      <c r="H60" s="33" t="str">
        <f>IF(AND(B60&lt;&gt;"",C60&lt;&gt;""),C60*G60,IF(D59&lt;&gt;"",SUM($H$11:H59),""))</f>
        <v/>
      </c>
    </row>
    <row r="61" spans="2:8" x14ac:dyDescent="0.25">
      <c r="B61" s="73"/>
      <c r="G61" s="33" t="str">
        <f>IF(B61&lt;&gt; "", VLOOKUP(B61,Inventario!$B$5:$I$54,8), IF(H61&lt;&gt;"","Total",""))</f>
        <v/>
      </c>
      <c r="H61" s="33" t="str">
        <f>IF(AND(B61&lt;&gt;"",C61&lt;&gt;""),C61*G61,IF(D60&lt;&gt;"",SUM($H$11:H60),""))</f>
        <v/>
      </c>
    </row>
    <row r="62" spans="2:8" x14ac:dyDescent="0.25">
      <c r="B62" s="73"/>
      <c r="G62" s="33" t="str">
        <f>IF(B62&lt;&gt; "", VLOOKUP(B62,Inventario!$B$5:$I$54,8), IF(H62&lt;&gt;"","Total",""))</f>
        <v/>
      </c>
      <c r="H62" s="33" t="str">
        <f>IF(AND(B62&lt;&gt;"",C62&lt;&gt;""),C62*G62,IF(D61&lt;&gt;"",SUM($H$11:H61),""))</f>
        <v/>
      </c>
    </row>
    <row r="63" spans="2:8" x14ac:dyDescent="0.25">
      <c r="B63" s="73"/>
      <c r="G63" s="33" t="str">
        <f>IF(B63&lt;&gt; "", VLOOKUP(B63,Inventario!$B$5:$I$54,8), IF(H63&lt;&gt;"","Total",""))</f>
        <v/>
      </c>
      <c r="H63" s="33" t="str">
        <f>IF(AND(B63&lt;&gt;"",C63&lt;&gt;""),C63*G63,IF(D62&lt;&gt;"",SUM($H$11:H62),""))</f>
        <v/>
      </c>
    </row>
    <row r="64" spans="2:8" x14ac:dyDescent="0.25">
      <c r="B64" s="73"/>
      <c r="G64" s="33" t="str">
        <f>IF(B64&lt;&gt; "", VLOOKUP(B64,Inventario!$B$5:$I$54,8), IF(H64&lt;&gt;"","Total",""))</f>
        <v/>
      </c>
      <c r="H64" s="33" t="str">
        <f>IF(AND(B64&lt;&gt;"",C64&lt;&gt;""),C64*G64,IF(D63&lt;&gt;"",SUM($H$11:H63),""))</f>
        <v/>
      </c>
    </row>
    <row r="65" spans="2:8" x14ac:dyDescent="0.25">
      <c r="B65" s="73"/>
      <c r="G65" s="33" t="str">
        <f>IF(B65&lt;&gt; "", VLOOKUP(B65,Inventario!$B$5:$I$54,8), IF(H65&lt;&gt;"","Total",""))</f>
        <v/>
      </c>
      <c r="H65" s="33" t="str">
        <f>IF(AND(B65&lt;&gt;"",C65&lt;&gt;""),C65*G65,IF(D64&lt;&gt;"",SUM($H$11:H64),""))</f>
        <v/>
      </c>
    </row>
    <row r="66" spans="2:8" x14ac:dyDescent="0.25">
      <c r="B66" s="73"/>
      <c r="G66" s="33" t="str">
        <f>IF(B66&lt;&gt; "", VLOOKUP(B66,Inventario!$B$5:$I$54,8), IF(H66&lt;&gt;"","Total",""))</f>
        <v/>
      </c>
      <c r="H66" s="33" t="str">
        <f>IF(AND(B66&lt;&gt;"",C66&lt;&gt;""),C66*G66,IF(D65&lt;&gt;"",SUM($H$11:H65),""))</f>
        <v/>
      </c>
    </row>
    <row r="67" spans="2:8" x14ac:dyDescent="0.25">
      <c r="B67" s="73"/>
      <c r="G67" s="33" t="str">
        <f>IF(B67&lt;&gt; "", VLOOKUP(B67,Inventario!$B$5:$I$54,8), IF(H67&lt;&gt;"","Total",""))</f>
        <v/>
      </c>
      <c r="H67" s="33" t="str">
        <f>IF(AND(B67&lt;&gt;"",C67&lt;&gt;""),C67*G67,IF(D66&lt;&gt;"",SUM($H$11:H66),""))</f>
        <v/>
      </c>
    </row>
    <row r="68" spans="2:8" x14ac:dyDescent="0.25">
      <c r="B68" s="69"/>
      <c r="G68" s="33" t="str">
        <f>IF(B68&lt;&gt; "", VLOOKUP(B68,Inventario!$B$5:$I$54,8), IF(H68&lt;&gt;"","Total",""))</f>
        <v/>
      </c>
      <c r="H68" s="33" t="str">
        <f>IF(AND(B68&lt;&gt;"",C68&lt;&gt;""),C68*G68,IF(D67&lt;&gt;"",SUM($H$11:H67),""))</f>
        <v/>
      </c>
    </row>
    <row r="69" spans="2:8" x14ac:dyDescent="0.25">
      <c r="B69" s="69"/>
      <c r="G69" s="33" t="str">
        <f>IF(B69&lt;&gt; "", VLOOKUP(B69,Inventario!$B$5:$I$54,8), IF(H69&lt;&gt;"","Total",""))</f>
        <v/>
      </c>
      <c r="H69" s="33" t="str">
        <f>IF(AND(B69&lt;&gt;"",C69&lt;&gt;""),C69*G69,IF(D68&lt;&gt;"",SUM($H$11:H68),""))</f>
        <v/>
      </c>
    </row>
    <row r="70" spans="2:8" x14ac:dyDescent="0.25">
      <c r="B70" s="69"/>
      <c r="G70" s="33" t="str">
        <f>IF(B70&lt;&gt; "", VLOOKUP(B70,Inventario!$B$5:$I$54,8), IF(H70&lt;&gt;"","Total",""))</f>
        <v/>
      </c>
      <c r="H70" s="33" t="str">
        <f>IF(AND(B70&lt;&gt;"",C70&lt;&gt;""),C70*G70,IF(D69&lt;&gt;"",SUM($H$11:H69),""))</f>
        <v/>
      </c>
    </row>
    <row r="71" spans="2:8" x14ac:dyDescent="0.25">
      <c r="B71" s="69"/>
      <c r="G71" s="33" t="str">
        <f>IF(B71&lt;&gt; "", VLOOKUP(B71,Inventario!$B$5:$I$54,8), IF(H71&lt;&gt;"","Total",""))</f>
        <v/>
      </c>
      <c r="H71" s="33" t="str">
        <f>IF(AND(B71&lt;&gt;"",C71&lt;&gt;""),C71*G71,IF(D70&lt;&gt;"",SUM($H$11:H70),""))</f>
        <v/>
      </c>
    </row>
    <row r="72" spans="2:8" x14ac:dyDescent="0.25">
      <c r="B72" s="69"/>
      <c r="G72" s="33" t="str">
        <f>IF(B72&lt;&gt; "", VLOOKUP(B72,Inventario!$B$5:$I$54,8), IF(H72&lt;&gt;"","Total",""))</f>
        <v/>
      </c>
      <c r="H72" s="33" t="str">
        <f>IF(AND(B72&lt;&gt;"",C72&lt;&gt;""),C72*G72,IF(D71&lt;&gt;"",SUM($H$11:H71),""))</f>
        <v/>
      </c>
    </row>
    <row r="73" spans="2:8" x14ac:dyDescent="0.25">
      <c r="B73" s="69"/>
      <c r="G73" s="33" t="str">
        <f>IF(B73&lt;&gt; "", VLOOKUP(B73,Inventario!$B$5:$I$54,8), IF(H73&lt;&gt;"","Total",""))</f>
        <v/>
      </c>
      <c r="H73" s="33" t="str">
        <f>IF(AND(B73&lt;&gt;"",C73&lt;&gt;""),C73*G73,IF(D72&lt;&gt;"",SUM($H$11:H72),""))</f>
        <v/>
      </c>
    </row>
    <row r="74" spans="2:8" x14ac:dyDescent="0.25">
      <c r="B74" s="69"/>
      <c r="G74" s="33" t="str">
        <f>IF(B74&lt;&gt; "", VLOOKUP(B74,Inventario!$B$5:$I$54,8), IF(H74&lt;&gt;"","Total",""))</f>
        <v/>
      </c>
      <c r="H74" s="33" t="str">
        <f>IF(AND(B74&lt;&gt;"",C74&lt;&gt;""),C74*G74,IF(D73&lt;&gt;"",SUM($H$11:H73),""))</f>
        <v/>
      </c>
    </row>
    <row r="75" spans="2:8" x14ac:dyDescent="0.25">
      <c r="B75" s="69"/>
      <c r="G75" s="33" t="str">
        <f>IF(B75&lt;&gt; "", VLOOKUP(B75,Inventario!$B$5:$I$54,8), IF(H75&lt;&gt;"","Total",""))</f>
        <v/>
      </c>
      <c r="H75" s="33" t="str">
        <f>IF(AND(B75&lt;&gt;"",C75&lt;&gt;""),C75*G75,IF(D74&lt;&gt;"",SUM($H$11:H74),""))</f>
        <v/>
      </c>
    </row>
    <row r="76" spans="2:8" x14ac:dyDescent="0.25">
      <c r="B76" s="69"/>
      <c r="G76" s="33" t="str">
        <f>IF(B76&lt;&gt; "", VLOOKUP(B76,Inventario!$B$5:$I$54,8), IF(H76&lt;&gt;"","Total",""))</f>
        <v/>
      </c>
      <c r="H76" s="33" t="str">
        <f>IF(AND(B76&lt;&gt;"",C76&lt;&gt;""),C76*G76,IF(D75&lt;&gt;"",SUM($H$11:H75),""))</f>
        <v/>
      </c>
    </row>
    <row r="77" spans="2:8" x14ac:dyDescent="0.25">
      <c r="B77" s="69"/>
      <c r="G77" s="33" t="str">
        <f>IF(B77&lt;&gt; "", VLOOKUP(B77,Inventario!$B$5:$I$54,8), IF(H77&lt;&gt;"","Total",""))</f>
        <v/>
      </c>
      <c r="H77" s="33" t="str">
        <f>IF(AND(B77&lt;&gt;"",C77&lt;&gt;""),C77*G77,IF(D76&lt;&gt;"",SUM($H$11:H76),""))</f>
        <v/>
      </c>
    </row>
    <row r="78" spans="2:8" x14ac:dyDescent="0.25">
      <c r="B78" s="69"/>
      <c r="G78" s="33" t="str">
        <f>IF(B78&lt;&gt; "", VLOOKUP(B78,Inventario!$B$5:$I$54,8), IF(H78&lt;&gt;"","Total",""))</f>
        <v/>
      </c>
      <c r="H78" s="33" t="str">
        <f>IF(AND(B78&lt;&gt;"",C78&lt;&gt;""),C78*G78,IF(D77&lt;&gt;"",SUM($H$11:H77),""))</f>
        <v/>
      </c>
    </row>
    <row r="79" spans="2:8" x14ac:dyDescent="0.25">
      <c r="B79" s="69"/>
      <c r="G79" s="33" t="str">
        <f>IF(B79&lt;&gt; "", VLOOKUP(B79,Inventario!$B$5:$I$54,8), IF(H79&lt;&gt;"","Total",""))</f>
        <v/>
      </c>
      <c r="H79" s="33" t="str">
        <f>IF(AND(B79&lt;&gt;"",C79&lt;&gt;""),C79*G79,IF(D78&lt;&gt;"",SUM($H$11:H78),""))</f>
        <v/>
      </c>
    </row>
    <row r="80" spans="2:8" x14ac:dyDescent="0.25">
      <c r="B80" s="69"/>
      <c r="G80" s="33" t="str">
        <f>IF(B80&lt;&gt; "", VLOOKUP(B80,Inventario!$B$5:$I$54,8), IF(H80&lt;&gt;"","Total",""))</f>
        <v/>
      </c>
      <c r="H80" s="33" t="str">
        <f>IF(AND(B80&lt;&gt;"",C80&lt;&gt;""),C80*G80,IF(D79&lt;&gt;"",SUM($H$11:H79),""))</f>
        <v/>
      </c>
    </row>
    <row r="81" spans="2:8" x14ac:dyDescent="0.25">
      <c r="B81" s="69"/>
      <c r="G81" s="33" t="str">
        <f>IF(B81&lt;&gt; "", VLOOKUP(B81,Inventario!$B$5:$I$54,8), IF(H81&lt;&gt;"","Total",""))</f>
        <v/>
      </c>
      <c r="H81" s="33" t="str">
        <f>IF(AND(B81&lt;&gt;"",C81&lt;&gt;""),C81*G81,IF(D80&lt;&gt;"",SUM($H$11:H80),""))</f>
        <v/>
      </c>
    </row>
    <row r="82" spans="2:8" x14ac:dyDescent="0.25">
      <c r="B82" s="69"/>
      <c r="G82" s="33" t="str">
        <f>IF(B82&lt;&gt; "", VLOOKUP(B82,Inventario!$B$5:$I$54,8), IF(H82&lt;&gt;"","Total",""))</f>
        <v/>
      </c>
      <c r="H82" s="33" t="str">
        <f>IF(AND(B82&lt;&gt;"",C82&lt;&gt;""),C82*G82,IF(D81&lt;&gt;"",SUM($H$11:H81),""))</f>
        <v/>
      </c>
    </row>
    <row r="83" spans="2:8" x14ac:dyDescent="0.25">
      <c r="B83" s="69"/>
      <c r="G83" s="33" t="str">
        <f>IF(B83&lt;&gt; "", VLOOKUP(B83,Inventario!$B$5:$I$54,8), IF(H83&lt;&gt;"","Total",""))</f>
        <v/>
      </c>
      <c r="H83" s="33" t="str">
        <f>IF(AND(B83&lt;&gt;"",C83&lt;&gt;""),C83*G83,IF(D82&lt;&gt;"",SUM($H$11:H82),""))</f>
        <v/>
      </c>
    </row>
    <row r="84" spans="2:8" x14ac:dyDescent="0.25">
      <c r="B84" s="69"/>
      <c r="G84" s="33" t="str">
        <f>IF(B84&lt;&gt; "", VLOOKUP(B84,Inventario!$B$5:$I$54,8), IF(H84&lt;&gt;"","Total",""))</f>
        <v/>
      </c>
      <c r="H84" s="33" t="str">
        <f>IF(AND(B84&lt;&gt;"",C84&lt;&gt;""),C84*G84,IF(D83&lt;&gt;"",SUM($H$11:H83),""))</f>
        <v/>
      </c>
    </row>
    <row r="85" spans="2:8" x14ac:dyDescent="0.25">
      <c r="B85" s="69"/>
      <c r="G85" s="33" t="str">
        <f>IF(B85&lt;&gt; "", VLOOKUP(B85,Inventario!$B$5:$I$54,8), IF(H85&lt;&gt;"","Total",""))</f>
        <v/>
      </c>
      <c r="H85" s="33" t="str">
        <f>IF(AND(B85&lt;&gt;"",C85&lt;&gt;""),C85*G85,IF(D84&lt;&gt;"",SUM($H$11:H84),""))</f>
        <v/>
      </c>
    </row>
    <row r="86" spans="2:8" x14ac:dyDescent="0.25">
      <c r="B86" s="69"/>
      <c r="G86" s="33" t="str">
        <f>IF(B86&lt;&gt; "", VLOOKUP(B86,Inventario!$B$5:$I$54,8), IF(H86&lt;&gt;"","Total",""))</f>
        <v/>
      </c>
      <c r="H86" s="33" t="str">
        <f>IF(AND(B86&lt;&gt;"",C86&lt;&gt;""),C86*G86,IF(D85&lt;&gt;"",SUM($H$11:H85),""))</f>
        <v/>
      </c>
    </row>
    <row r="87" spans="2:8" x14ac:dyDescent="0.25">
      <c r="B87" s="69"/>
      <c r="G87" s="33" t="str">
        <f>IF(B87&lt;&gt; "", VLOOKUP(B87,Inventario!$B$5:$I$54,8), IF(H87&lt;&gt;"","Total",""))</f>
        <v/>
      </c>
      <c r="H87" s="33" t="str">
        <f>IF(AND(B87&lt;&gt;"",C87&lt;&gt;""),C87*G87,IF(D86&lt;&gt;"",SUM($H$11:H86),""))</f>
        <v/>
      </c>
    </row>
    <row r="88" spans="2:8" x14ac:dyDescent="0.25">
      <c r="B88" s="69"/>
      <c r="G88" s="33" t="str">
        <f>IF(B88&lt;&gt; "", VLOOKUP(B88,Inventario!$B$5:$I$54,8), IF(H88&lt;&gt;"","Total",""))</f>
        <v/>
      </c>
      <c r="H88" s="33" t="str">
        <f>IF(AND(B88&lt;&gt;"",C88&lt;&gt;""),C88*G88,IF(D87&lt;&gt;"",SUM($H$11:H87),""))</f>
        <v/>
      </c>
    </row>
    <row r="89" spans="2:8" x14ac:dyDescent="0.25">
      <c r="B89" s="69"/>
      <c r="G89" s="33" t="str">
        <f>IF(B89&lt;&gt; "", VLOOKUP(B89,Inventario!$B$5:$I$54,8), IF(H89&lt;&gt;"","Total",""))</f>
        <v/>
      </c>
      <c r="H89" s="33" t="str">
        <f>IF(AND(B89&lt;&gt;"",C89&lt;&gt;""),C89*G89,IF(D88&lt;&gt;"",SUM($H$11:H88),""))</f>
        <v/>
      </c>
    </row>
    <row r="90" spans="2:8" x14ac:dyDescent="0.25">
      <c r="B90" s="69"/>
      <c r="G90" s="33" t="str">
        <f>IF(B90&lt;&gt; "", VLOOKUP(B90,Inventario!$B$5:$I$54,8), IF(H90&lt;&gt;"","Total",""))</f>
        <v/>
      </c>
      <c r="H90" s="33" t="str">
        <f>IF(AND(B90&lt;&gt;"",C90&lt;&gt;""),C90*G90,IF(D89&lt;&gt;"",SUM($H$11:H89),""))</f>
        <v/>
      </c>
    </row>
    <row r="91" spans="2:8" x14ac:dyDescent="0.25">
      <c r="B91" s="69"/>
      <c r="G91" s="33" t="str">
        <f>IF(B91&lt;&gt; "", VLOOKUP(B91,Inventario!$B$5:$I$54,8), IF(H91&lt;&gt;"","Total",""))</f>
        <v/>
      </c>
      <c r="H91" s="33" t="str">
        <f>IF(AND(B91&lt;&gt;"",C91&lt;&gt;""),C91*G91,IF(D90&lt;&gt;"",SUM($H$11:H90),""))</f>
        <v/>
      </c>
    </row>
    <row r="92" spans="2:8" x14ac:dyDescent="0.25">
      <c r="B92" s="69"/>
      <c r="G92" s="33" t="str">
        <f>IF(B92&lt;&gt; "", VLOOKUP(B92,Inventario!$B$5:$I$54,8), IF(H92&lt;&gt;"","Total",""))</f>
        <v/>
      </c>
      <c r="H92" s="33" t="str">
        <f>IF(AND(B92&lt;&gt;"",C92&lt;&gt;""),C92*G92,IF(D91&lt;&gt;"",SUM($H$11:H91),""))</f>
        <v/>
      </c>
    </row>
    <row r="93" spans="2:8" x14ac:dyDescent="0.25">
      <c r="B93" s="69"/>
      <c r="G93" s="33" t="str">
        <f>IF(B93&lt;&gt; "", VLOOKUP(B93,Inventario!$B$5:$I$54,8), IF(H93&lt;&gt;"","Total",""))</f>
        <v/>
      </c>
      <c r="H93" s="33" t="str">
        <f>IF(AND(B93&lt;&gt;"",C93&lt;&gt;""),C93*G93,IF(D92&lt;&gt;"",SUM($H$11:H92),""))</f>
        <v/>
      </c>
    </row>
    <row r="94" spans="2:8" x14ac:dyDescent="0.25">
      <c r="B94" s="69"/>
      <c r="G94" s="33" t="str">
        <f>IF(B94&lt;&gt; "", VLOOKUP(B94,Inventario!$B$5:$I$54,8), IF(H94&lt;&gt;"","Total",""))</f>
        <v/>
      </c>
      <c r="H94" s="33" t="str">
        <f>IF(AND(B94&lt;&gt;"",C94&lt;&gt;""),C94*G94,IF(D93&lt;&gt;"",SUM($H$11:H93),""))</f>
        <v/>
      </c>
    </row>
    <row r="95" spans="2:8" x14ac:dyDescent="0.25">
      <c r="B95" s="69"/>
      <c r="G95" s="33" t="str">
        <f>IF(B95&lt;&gt; "", VLOOKUP(B95,Inventario!$B$5:$I$54,8), IF(H95&lt;&gt;"","Total",""))</f>
        <v/>
      </c>
      <c r="H95" s="33" t="str">
        <f>IF(AND(B95&lt;&gt;"",C95&lt;&gt;""),C95*G95,IF(D94&lt;&gt;"",SUM($H$11:H94),""))</f>
        <v/>
      </c>
    </row>
    <row r="96" spans="2:8" x14ac:dyDescent="0.25">
      <c r="B96" s="69"/>
      <c r="G96" s="33" t="str">
        <f>IF(B96&lt;&gt; "", VLOOKUP(B96,Inventario!$B$5:$I$54,8), IF(H96&lt;&gt;"","Total",""))</f>
        <v/>
      </c>
      <c r="H96" s="33" t="str">
        <f>IF(AND(B96&lt;&gt;"",C96&lt;&gt;""),C96*G96,IF(D95&lt;&gt;"",SUM($H$11:H95),""))</f>
        <v/>
      </c>
    </row>
    <row r="97" spans="2:8" x14ac:dyDescent="0.25">
      <c r="B97" s="69"/>
      <c r="G97" s="33" t="str">
        <f>IF(B97&lt;&gt; "", VLOOKUP(B97,Inventario!$B$5:$I$54,8), IF(H97&lt;&gt;"","Total",""))</f>
        <v/>
      </c>
      <c r="H97" s="33" t="str">
        <f>IF(AND(B97&lt;&gt;"",C97&lt;&gt;""),C97*G97,IF(D96&lt;&gt;"",SUM($H$11:H96),""))</f>
        <v/>
      </c>
    </row>
    <row r="98" spans="2:8" x14ac:dyDescent="0.25">
      <c r="B98" s="69"/>
      <c r="G98" s="33" t="str">
        <f>IF(B98&lt;&gt; "", VLOOKUP(B98,Inventario!$B$5:$I$54,8), IF(H98&lt;&gt;"","Total",""))</f>
        <v/>
      </c>
      <c r="H98" s="33" t="str">
        <f>IF(AND(B98&lt;&gt;"",C98&lt;&gt;""),C98*G98,IF(D97&lt;&gt;"",SUM($H$11:H97),""))</f>
        <v/>
      </c>
    </row>
    <row r="99" spans="2:8" x14ac:dyDescent="0.25">
      <c r="B99" s="69"/>
      <c r="G99" s="33" t="str">
        <f>IF(B99&lt;&gt; "", VLOOKUP(B99,Inventario!$B$5:$I$54,8), IF(H99&lt;&gt;"","Total",""))</f>
        <v/>
      </c>
      <c r="H99" s="33" t="str">
        <f>IF(AND(B99&lt;&gt;"",C99&lt;&gt;""),C99*G99,IF(D98&lt;&gt;"",SUM($H$11:H98),""))</f>
        <v/>
      </c>
    </row>
    <row r="100" spans="2:8" x14ac:dyDescent="0.25">
      <c r="B100" s="69"/>
      <c r="G100" s="33" t="str">
        <f>IF(B100&lt;&gt; "", VLOOKUP(B100,Inventario!$B$5:$I$54,8), IF(H100&lt;&gt;"","Total",""))</f>
        <v/>
      </c>
      <c r="H100" s="33" t="str">
        <f>IF(AND(B100&lt;&gt;"",C100&lt;&gt;""),C100*G100,IF(D99&lt;&gt;"",SUM($H$11:H99),""))</f>
        <v/>
      </c>
    </row>
    <row r="101" spans="2:8" x14ac:dyDescent="0.25">
      <c r="B101" s="69"/>
      <c r="G101" s="33" t="str">
        <f>IF(B101&lt;&gt; "", VLOOKUP(B101,Inventario!$B$5:$I$54,8), IF(H101&lt;&gt;"","Total",""))</f>
        <v/>
      </c>
      <c r="H101" s="33" t="str">
        <f>IF(AND(B101&lt;&gt;"",C101&lt;&gt;""),C101*G101,IF(D100&lt;&gt;"",SUM($H$11:H100),""))</f>
        <v/>
      </c>
    </row>
    <row r="102" spans="2:8" x14ac:dyDescent="0.25">
      <c r="B102" s="69"/>
      <c r="G102" s="33" t="str">
        <f>IF(B102&lt;&gt; "", VLOOKUP(B102,Inventario!$B$5:$I$54,8), IF(H102&lt;&gt;"","Total",""))</f>
        <v/>
      </c>
      <c r="H102" s="33" t="str">
        <f>IF(AND(B102&lt;&gt;"",C102&lt;&gt;""),C102*G102,IF(D101&lt;&gt;"",SUM($H$11:H101),""))</f>
        <v/>
      </c>
    </row>
    <row r="103" spans="2:8" x14ac:dyDescent="0.25">
      <c r="B103" s="69"/>
      <c r="G103" s="33" t="str">
        <f>IF(B103&lt;&gt; "", VLOOKUP(B103,Inventario!$B$5:$I$54,8), IF(H103&lt;&gt;"","Total",""))</f>
        <v/>
      </c>
      <c r="H103" s="33" t="str">
        <f>IF(AND(B103&lt;&gt;"",C103&lt;&gt;""),C103*G103,IF(D102&lt;&gt;"",SUM($H$11:H102),""))</f>
        <v/>
      </c>
    </row>
    <row r="104" spans="2:8" x14ac:dyDescent="0.25">
      <c r="B104" s="69"/>
      <c r="G104" s="33" t="str">
        <f>IF(B104&lt;&gt; "", VLOOKUP(B104,Inventario!$B$5:$I$54,8), IF(H104&lt;&gt;"","Total",""))</f>
        <v/>
      </c>
      <c r="H104" s="33" t="str">
        <f>IF(AND(B104&lt;&gt;"",C104&lt;&gt;""),C104*G104,IF(D103&lt;&gt;"",SUM($H$11:H103),""))</f>
        <v/>
      </c>
    </row>
    <row r="105" spans="2:8" x14ac:dyDescent="0.25">
      <c r="B105" s="69"/>
      <c r="G105" s="33" t="str">
        <f>IF(B105&lt;&gt; "", VLOOKUP(B105,Inventario!$B$5:$I$54,8), IF(H105&lt;&gt;"","Total",""))</f>
        <v/>
      </c>
      <c r="H105" s="33" t="str">
        <f>IF(AND(B105&lt;&gt;"",C105&lt;&gt;""),C105*G105,IF(D104&lt;&gt;"",SUM($H$11:H104),""))</f>
        <v/>
      </c>
    </row>
    <row r="106" spans="2:8" x14ac:dyDescent="0.25">
      <c r="B106" s="69"/>
      <c r="G106" s="33" t="str">
        <f>IF(B106&lt;&gt; "", VLOOKUP(B106,Inventario!$B$5:$I$54,8), IF(H106&lt;&gt;"","Total",""))</f>
        <v/>
      </c>
      <c r="H106" s="33" t="str">
        <f>IF(AND(B106&lt;&gt;"",C106&lt;&gt;""),C106*G106,IF(D105&lt;&gt;"",SUM($H$11:H105),""))</f>
        <v/>
      </c>
    </row>
    <row r="107" spans="2:8" x14ac:dyDescent="0.25">
      <c r="B107" s="69"/>
      <c r="G107" s="33" t="str">
        <f>IF(B107&lt;&gt; "", VLOOKUP(B107,Inventario!$B$5:$I$54,8), IF(H107&lt;&gt;"","Total",""))</f>
        <v/>
      </c>
      <c r="H107" s="33" t="str">
        <f>IF(AND(B107&lt;&gt;"",C107&lt;&gt;""),C107*G107,IF(D106&lt;&gt;"",SUM($H$11:H106),""))</f>
        <v/>
      </c>
    </row>
    <row r="108" spans="2:8" x14ac:dyDescent="0.25">
      <c r="B108" s="69"/>
      <c r="G108" s="33" t="str">
        <f>IF(B108&lt;&gt; "", VLOOKUP(B108,Inventario!$B$5:$I$54,8), IF(H108&lt;&gt;"","Total",""))</f>
        <v/>
      </c>
      <c r="H108" s="33" t="str">
        <f>IF(AND(B108&lt;&gt;"",C108&lt;&gt;""),C108*G108,IF(D107&lt;&gt;"",SUM($H$11:H107),""))</f>
        <v/>
      </c>
    </row>
    <row r="109" spans="2:8" x14ac:dyDescent="0.25">
      <c r="B109" s="69"/>
      <c r="G109" s="33" t="str">
        <f>IF(B109&lt;&gt; "", VLOOKUP(B109,Inventario!$B$5:$I$54,8), IF(H109&lt;&gt;"","Total",""))</f>
        <v/>
      </c>
      <c r="H109" s="33" t="str">
        <f>IF(AND(B109&lt;&gt;"",C109&lt;&gt;""),C109*G109,IF(D108&lt;&gt;"",SUM($H$11:H108),""))</f>
        <v/>
      </c>
    </row>
    <row r="110" spans="2:8" x14ac:dyDescent="0.25">
      <c r="B110" s="69"/>
      <c r="G110" s="33" t="str">
        <f>IF(B110&lt;&gt; "", VLOOKUP(B110,Inventario!$B$5:$I$54,8), IF(H110&lt;&gt;"","Total",""))</f>
        <v/>
      </c>
      <c r="H110" s="33" t="str">
        <f>IF(AND(B110&lt;&gt;"",C110&lt;&gt;""),C110*G110,IF(D109&lt;&gt;"",SUM($H$11:H109),""))</f>
        <v/>
      </c>
    </row>
    <row r="111" spans="2:8" x14ac:dyDescent="0.25">
      <c r="B111" s="69"/>
      <c r="G111" s="33" t="str">
        <f>IF(B111&lt;&gt; "", VLOOKUP(B111,Inventario!$B$5:$I$54,8), IF(H111&lt;&gt;"","Total",""))</f>
        <v/>
      </c>
      <c r="H111" s="33" t="str">
        <f>IF(AND(B111&lt;&gt;"",C111&lt;&gt;""),C111*G111,IF(D110&lt;&gt;"",SUM($H$11:H110),""))</f>
        <v/>
      </c>
    </row>
    <row r="112" spans="2:8" x14ac:dyDescent="0.25">
      <c r="B112" s="69"/>
      <c r="G112" s="33" t="str">
        <f>IF(B112&lt;&gt; "", VLOOKUP(B112,Inventario!$B$5:$I$54,8), IF(H112&lt;&gt;"","Total",""))</f>
        <v/>
      </c>
      <c r="H112" s="33" t="str">
        <f>IF(AND(B112&lt;&gt;"",C112&lt;&gt;""),C112*G112,IF(D111&lt;&gt;"",SUM($H$11:H111),""))</f>
        <v/>
      </c>
    </row>
    <row r="113" spans="2:8" x14ac:dyDescent="0.25">
      <c r="B113" s="69"/>
      <c r="G113" s="33" t="str">
        <f>IF(B113&lt;&gt; "", VLOOKUP(B113,Inventario!$B$5:$I$54,8), IF(H113&lt;&gt;"","Total",""))</f>
        <v/>
      </c>
      <c r="H113" s="33" t="str">
        <f>IF(AND(B113&lt;&gt;"",C113&lt;&gt;""),C113*G113,IF(D112&lt;&gt;"",SUM($H$11:H112),""))</f>
        <v/>
      </c>
    </row>
    <row r="114" spans="2:8" x14ac:dyDescent="0.25">
      <c r="B114" s="69"/>
      <c r="G114" s="33" t="str">
        <f>IF(B114&lt;&gt; "", VLOOKUP(B114,Inventario!$B$5:$I$54,8), IF(H114&lt;&gt;"","Total",""))</f>
        <v/>
      </c>
      <c r="H114" s="33" t="str">
        <f>IF(AND(B114&lt;&gt;"",C114&lt;&gt;""),C114*G114,IF(D113&lt;&gt;"",SUM($H$11:H113),""))</f>
        <v/>
      </c>
    </row>
    <row r="115" spans="2:8" x14ac:dyDescent="0.25">
      <c r="B115" s="69"/>
      <c r="G115" s="33" t="str">
        <f>IF(B115&lt;&gt; "", VLOOKUP(B115,Inventario!$B$5:$I$54,8), IF(H115&lt;&gt;"","Total",""))</f>
        <v/>
      </c>
      <c r="H115" s="33" t="str">
        <f>IF(AND(B115&lt;&gt;"",C115&lt;&gt;""),C115*G115,IF(D114&lt;&gt;"",SUM($H$11:H114),""))</f>
        <v/>
      </c>
    </row>
    <row r="116" spans="2:8" x14ac:dyDescent="0.25">
      <c r="B116" s="69"/>
      <c r="G116" s="33" t="str">
        <f>IF(B116&lt;&gt; "", VLOOKUP(B116,Inventario!$B$5:$I$54,8), IF(H116&lt;&gt;"","Total",""))</f>
        <v/>
      </c>
      <c r="H116" s="33" t="str">
        <f>IF(AND(B116&lt;&gt;"",C116&lt;&gt;""),C116*G116,IF(D115&lt;&gt;"",SUM($H$11:H115),""))</f>
        <v/>
      </c>
    </row>
    <row r="117" spans="2:8" x14ac:dyDescent="0.25">
      <c r="B117" s="69"/>
      <c r="G117" s="33" t="str">
        <f>IF(B117&lt;&gt; "", VLOOKUP(B117,Inventario!$B$5:$I$54,8), IF(H117&lt;&gt;"","Total",""))</f>
        <v/>
      </c>
      <c r="H117" s="33" t="str">
        <f>IF(AND(B117&lt;&gt;"",C117&lt;&gt;""),C117*G117,IF(D116&lt;&gt;"",SUM($H$11:H116),""))</f>
        <v/>
      </c>
    </row>
    <row r="118" spans="2:8" x14ac:dyDescent="0.25">
      <c r="B118" s="69"/>
      <c r="G118" s="33" t="str">
        <f>IF(B118&lt;&gt; "", VLOOKUP(B118,Inventario!$B$5:$I$54,8), IF(H118&lt;&gt;"","Total",""))</f>
        <v/>
      </c>
      <c r="H118" s="33" t="str">
        <f>IF(AND(B118&lt;&gt;"",C118&lt;&gt;""),C118*G118,IF(D117&lt;&gt;"",SUM($H$11:H117),""))</f>
        <v/>
      </c>
    </row>
    <row r="119" spans="2:8" x14ac:dyDescent="0.25">
      <c r="B119" s="69"/>
      <c r="G119" s="33" t="str">
        <f>IF(B119&lt;&gt; "", VLOOKUP(B119,Inventario!$B$5:$I$54,8), IF(H119&lt;&gt;"","Total",""))</f>
        <v/>
      </c>
      <c r="H119" s="33" t="str">
        <f>IF(AND(B119&lt;&gt;"",C119&lt;&gt;""),C119*G119,IF(D118&lt;&gt;"",SUM($H$11:H118),""))</f>
        <v/>
      </c>
    </row>
    <row r="120" spans="2:8" x14ac:dyDescent="0.25">
      <c r="B120" s="69"/>
      <c r="G120" s="33" t="str">
        <f>IF(B120&lt;&gt; "", VLOOKUP(B120,Inventario!$B$5:$I$54,8), IF(H120&lt;&gt;"","Total",""))</f>
        <v/>
      </c>
      <c r="H120" s="33" t="str">
        <f>IF(AND(B120&lt;&gt;"",C120&lt;&gt;""),C120*G120,IF(D119&lt;&gt;"",SUM($H$11:H119),""))</f>
        <v/>
      </c>
    </row>
    <row r="121" spans="2:8" x14ac:dyDescent="0.25">
      <c r="B121" s="69"/>
      <c r="G121" s="33" t="str">
        <f>IF(B121&lt;&gt; "", VLOOKUP(B121,Inventario!$B$5:$I$54,8), IF(H121&lt;&gt;"","Total",""))</f>
        <v/>
      </c>
      <c r="H121" s="33" t="str">
        <f>IF(AND(B121&lt;&gt;"",C121&lt;&gt;""),C121*G121,IF(D120&lt;&gt;"",SUM($H$11:H120),""))</f>
        <v/>
      </c>
    </row>
    <row r="122" spans="2:8" x14ac:dyDescent="0.25">
      <c r="B122" s="69"/>
      <c r="G122" s="33" t="str">
        <f>IF(B122&lt;&gt; "", VLOOKUP(B122,Inventario!$B$5:$I$54,8), IF(H122&lt;&gt;"","Total",""))</f>
        <v/>
      </c>
      <c r="H122" s="33" t="str">
        <f>IF(AND(B122&lt;&gt;"",C122&lt;&gt;""),C122*G122,IF(D121&lt;&gt;"",SUM($H$11:H121),""))</f>
        <v/>
      </c>
    </row>
    <row r="123" spans="2:8" x14ac:dyDescent="0.25">
      <c r="B123" s="69"/>
      <c r="G123" s="33" t="str">
        <f>IF(B123&lt;&gt; "", VLOOKUP(B123,Inventario!$B$5:$I$54,8), IF(H123&lt;&gt;"","Total",""))</f>
        <v/>
      </c>
      <c r="H123" s="33" t="str">
        <f>IF(AND(B123&lt;&gt;"",C123&lt;&gt;""),C123*G123,IF(D122&lt;&gt;"",SUM($H$11:H122),""))</f>
        <v/>
      </c>
    </row>
    <row r="124" spans="2:8" x14ac:dyDescent="0.25">
      <c r="B124" s="69"/>
      <c r="G124" s="33" t="str">
        <f>IF(B124&lt;&gt; "", VLOOKUP(B124,Inventario!$B$5:$I$54,8), IF(H124&lt;&gt;"","Total",""))</f>
        <v/>
      </c>
      <c r="H124" s="33" t="str">
        <f>IF(AND(B124&lt;&gt;"",C124&lt;&gt;""),C124*G124,IF(D123&lt;&gt;"",SUM($H$11:H123),""))</f>
        <v/>
      </c>
    </row>
    <row r="125" spans="2:8" x14ac:dyDescent="0.25">
      <c r="B125" s="69"/>
      <c r="G125" s="33" t="str">
        <f>IF(B125&lt;&gt; "", VLOOKUP(B125,Inventario!$B$5:$I$54,8), IF(H125&lt;&gt;"","Total",""))</f>
        <v/>
      </c>
      <c r="H125" s="33" t="str">
        <f>IF(AND(B125&lt;&gt;"",C125&lt;&gt;""),C125*G125,IF(D124&lt;&gt;"",SUM($H$11:H124),""))</f>
        <v/>
      </c>
    </row>
    <row r="126" spans="2:8" x14ac:dyDescent="0.25">
      <c r="B126" s="69"/>
      <c r="G126" s="33" t="str">
        <f>IF(B126&lt;&gt; "", VLOOKUP(B126,Inventario!$B$5:$I$54,8), IF(H126&lt;&gt;"","Total",""))</f>
        <v/>
      </c>
      <c r="H126" s="33" t="str">
        <f>IF(AND(B126&lt;&gt;"",C126&lt;&gt;""),C126*G126,IF(D125&lt;&gt;"",SUM($H$11:H125),""))</f>
        <v/>
      </c>
    </row>
    <row r="127" spans="2:8" x14ac:dyDescent="0.25">
      <c r="B127" s="69"/>
      <c r="G127" s="33" t="str">
        <f>IF(B127&lt;&gt; "", VLOOKUP(B127,Inventario!$B$5:$I$54,8), IF(H127&lt;&gt;"","Total",""))</f>
        <v/>
      </c>
      <c r="H127" s="33" t="str">
        <f>IF(AND(B127&lt;&gt;"",C127&lt;&gt;""),C127*G127,IF(D126&lt;&gt;"",SUM($H$11:H126),""))</f>
        <v/>
      </c>
    </row>
    <row r="128" spans="2:8" x14ac:dyDescent="0.25">
      <c r="B128" s="69"/>
      <c r="G128" s="33" t="str">
        <f>IF(B128&lt;&gt; "", VLOOKUP(B128,Inventario!$B$5:$I$54,8), IF(H128&lt;&gt;"","Total",""))</f>
        <v/>
      </c>
      <c r="H128" s="33" t="str">
        <f>IF(AND(B128&lt;&gt;"",C128&lt;&gt;""),C128*G128,IF(D127&lt;&gt;"",SUM($H$11:H127),""))</f>
        <v/>
      </c>
    </row>
    <row r="129" spans="2:7" x14ac:dyDescent="0.25">
      <c r="B129" s="69"/>
      <c r="G129" s="33" t="str">
        <f>IF(B129&lt;&gt; "", VLOOKUP(B129,Inventario!$B$5:$I$54,8), IF(H129&lt;&gt;"","Total",""))</f>
        <v/>
      </c>
    </row>
    <row r="130" spans="2:7" x14ac:dyDescent="0.25">
      <c r="G130" s="33" t="str">
        <f>IF(B130&lt;&gt; "", VLOOKUP(B130,Inventario!$B$5:$I$54,8), IF(H130&lt;&gt;"","Total",""))</f>
        <v/>
      </c>
    </row>
    <row r="131" spans="2:7" x14ac:dyDescent="0.25">
      <c r="G131" s="33" t="str">
        <f>IF(B131&lt;&gt; "", VLOOKUP(B131,Inventario!$B$5:$I$54,8), IF(H131&lt;&gt;"","Total",""))</f>
        <v/>
      </c>
    </row>
    <row r="132" spans="2:7" x14ac:dyDescent="0.25">
      <c r="G132" s="33" t="str">
        <f>IF(B132&lt;&gt; "", VLOOKUP(B132,Inventario!$B$5:$I$54,8), IF(H132&lt;&gt;"","Total",""))</f>
        <v/>
      </c>
    </row>
    <row r="133" spans="2:7" x14ac:dyDescent="0.25">
      <c r="G133" s="33" t="str">
        <f>IF(B133&lt;&gt; "", VLOOKUP(B133,Inventario!$B$5:$I$54,8), IF(H133&lt;&gt;"","Total",""))</f>
        <v/>
      </c>
    </row>
    <row r="134" spans="2:7" x14ac:dyDescent="0.25">
      <c r="G134" s="33" t="str">
        <f>IF(B134&lt;&gt; "", VLOOKUP(B134,Inventario!$B$5:$I$54,8), IF(H134&lt;&gt;"","Total",""))</f>
        <v/>
      </c>
    </row>
    <row r="135" spans="2:7" x14ac:dyDescent="0.25">
      <c r="G135" s="33" t="str">
        <f>IF(B135&lt;&gt; "", VLOOKUP(B135,Inventario!$B$5:$I$54,8), IF(H135&lt;&gt;"","Total",""))</f>
        <v/>
      </c>
    </row>
    <row r="136" spans="2:7" x14ac:dyDescent="0.25">
      <c r="G136" s="33" t="str">
        <f>IF(B136&lt;&gt; "", VLOOKUP(B136,Inventario!$B$5:$I$54,8), IF(H136&lt;&gt;"","Total",""))</f>
        <v/>
      </c>
    </row>
    <row r="137" spans="2:7" x14ac:dyDescent="0.25">
      <c r="G137" s="33" t="str">
        <f>IF(B137&lt;&gt; "", VLOOKUP(B137,Inventario!$B$5:$I$54,8), IF(H137&lt;&gt;"","Total",""))</f>
        <v/>
      </c>
    </row>
    <row r="138" spans="2:7" x14ac:dyDescent="0.25">
      <c r="G138" s="33" t="str">
        <f>IF(B138&lt;&gt; "", VLOOKUP(B138,Inventario!$B$5:$I$54,8), IF(H138&lt;&gt;"","Total",""))</f>
        <v/>
      </c>
    </row>
    <row r="139" spans="2:7" x14ac:dyDescent="0.25">
      <c r="G139" s="33" t="str">
        <f>IF(B139&lt;&gt; "", VLOOKUP(B139,Inventario!$B$5:$I$54,8), IF(H139&lt;&gt;"","Total",""))</f>
        <v/>
      </c>
    </row>
    <row r="140" spans="2:7" x14ac:dyDescent="0.25">
      <c r="G140" s="33" t="str">
        <f>IF(B140&lt;&gt; "", VLOOKUP(B140,Inventario!$B$5:$I$54,8), IF(H140&lt;&gt;"","Total",""))</f>
        <v/>
      </c>
    </row>
    <row r="141" spans="2:7" x14ac:dyDescent="0.25">
      <c r="G141" s="33" t="str">
        <f>IF(B141&lt;&gt; "", VLOOKUP(B141,Inventario!$B$5:$I$54,8), IF(H141&lt;&gt;"","Total",""))</f>
        <v/>
      </c>
    </row>
    <row r="142" spans="2:7" x14ac:dyDescent="0.25">
      <c r="G142" s="33" t="str">
        <f>IF(B142&lt;&gt; "", VLOOKUP(B142,Inventario!$B$5:$I$54,8), IF(H142&lt;&gt;"","Total",""))</f>
        <v/>
      </c>
    </row>
    <row r="143" spans="2:7" x14ac:dyDescent="0.25">
      <c r="G143" s="33" t="str">
        <f>IF(B143&lt;&gt; "", VLOOKUP(B143,Inventario!$B$5:$I$54,8), IF(H143&lt;&gt;"","Total",""))</f>
        <v/>
      </c>
    </row>
    <row r="144" spans="2:7" x14ac:dyDescent="0.25">
      <c r="G144" s="33" t="str">
        <f>IF(B144&lt;&gt; "", VLOOKUP(B144,Inventario!$B$5:$I$54,8), IF(H144&lt;&gt;"","Total",""))</f>
        <v/>
      </c>
    </row>
    <row r="145" spans="7:7" x14ac:dyDescent="0.25">
      <c r="G145" s="33" t="str">
        <f>IF(B145&lt;&gt; "", VLOOKUP(B145,Inventario!$B$5:$I$54,8), IF(H145&lt;&gt;"","Total",""))</f>
        <v/>
      </c>
    </row>
  </sheetData>
  <mergeCells count="48">
    <mergeCell ref="D44:F44"/>
    <mergeCell ref="D45:F45"/>
    <mergeCell ref="D46:F46"/>
    <mergeCell ref="D41:F41"/>
    <mergeCell ref="D16:F16"/>
    <mergeCell ref="D42:F42"/>
    <mergeCell ref="D43:F43"/>
    <mergeCell ref="D35:F35"/>
    <mergeCell ref="D36:F36"/>
    <mergeCell ref="D37:F37"/>
    <mergeCell ref="D38:F38"/>
    <mergeCell ref="D39:F39"/>
    <mergeCell ref="D40:F40"/>
    <mergeCell ref="D29:F29"/>
    <mergeCell ref="D30:F30"/>
    <mergeCell ref="D31:F31"/>
    <mergeCell ref="D32:F32"/>
    <mergeCell ref="D33:F33"/>
    <mergeCell ref="D34:F34"/>
    <mergeCell ref="D23:F23"/>
    <mergeCell ref="D24:F24"/>
    <mergeCell ref="D25:F25"/>
    <mergeCell ref="D26:F26"/>
    <mergeCell ref="D27:F27"/>
    <mergeCell ref="D28:F28"/>
    <mergeCell ref="D22:F22"/>
    <mergeCell ref="D11:F11"/>
    <mergeCell ref="D12:F12"/>
    <mergeCell ref="D13:F13"/>
    <mergeCell ref="D14:F14"/>
    <mergeCell ref="D15:F15"/>
    <mergeCell ref="D17:F17"/>
    <mergeCell ref="D18:F18"/>
    <mergeCell ref="D19:F19"/>
    <mergeCell ref="D20:F20"/>
    <mergeCell ref="D21:F21"/>
    <mergeCell ref="D10:F10"/>
    <mergeCell ref="B2:D3"/>
    <mergeCell ref="G2:H2"/>
    <mergeCell ref="E3:E5"/>
    <mergeCell ref="G3:H3"/>
    <mergeCell ref="G4:H4"/>
    <mergeCell ref="C6:E6"/>
    <mergeCell ref="C7:E7"/>
    <mergeCell ref="G7:H7"/>
    <mergeCell ref="C8:E8"/>
    <mergeCell ref="C9:E9"/>
    <mergeCell ref="G9:H9"/>
  </mergeCells>
  <conditionalFormatting sqref="G21">
    <cfRule type="cellIs" dxfId="2" priority="2" operator="equal">
      <formula>"Total"</formula>
    </cfRule>
    <cfRule type="cellIs" dxfId="1" priority="3" operator="equal">
      <formula>"Total"</formula>
    </cfRule>
  </conditionalFormatting>
  <conditionalFormatting sqref="G22:G64">
    <cfRule type="cellIs" dxfId="0" priority="1" operator="equal">
      <formula>"Total"</formula>
    </cfRule>
  </conditionalFormatting>
  <dataValidations disablePrompts="1" count="2">
    <dataValidation type="list" allowBlank="1" showInputMessage="1" showErrorMessage="1" sqref="C9:E9" xr:uid="{206F66BC-74FA-45E8-A9F9-8C53B2AC7472}">
      <formula1>"Responsable Inscripto, Consumidor Final, Exento, Monotributista"</formula1>
    </dataValidation>
    <dataValidation type="list" allowBlank="1" showInputMessage="1" showErrorMessage="1" sqref="C8:E8" xr:uid="{54EE6D29-A643-4401-B6D4-C67A52A9F2F6}">
      <formula1>"Contado, T.Credito, Cta Cte"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379E-BBAF-46EC-BED6-A6BE7A3DBB56}">
  <dimension ref="B1:N33"/>
  <sheetViews>
    <sheetView tabSelected="1" workbookViewId="0">
      <selection activeCell="D33" sqref="D33"/>
    </sheetView>
  </sheetViews>
  <sheetFormatPr baseColWidth="10" defaultRowHeight="15" x14ac:dyDescent="0.25"/>
  <cols>
    <col min="5" max="5" width="15.85546875" bestFit="1" customWidth="1"/>
    <col min="6" max="6" width="12.28515625" customWidth="1"/>
    <col min="8" max="8" width="13.140625" customWidth="1"/>
    <col min="9" max="9" width="14.85546875" customWidth="1"/>
    <col min="10" max="12" width="11.7109375" customWidth="1"/>
    <col min="13" max="14" width="13.28515625" bestFit="1" customWidth="1"/>
  </cols>
  <sheetData>
    <row r="1" spans="2:13" x14ac:dyDescent="0.25">
      <c r="B1" s="46"/>
      <c r="C1" s="46" t="s">
        <v>114</v>
      </c>
      <c r="D1" s="46" t="s">
        <v>115</v>
      </c>
      <c r="E1" s="46" t="s">
        <v>116</v>
      </c>
      <c r="F1" s="46" t="s">
        <v>117</v>
      </c>
    </row>
    <row r="2" spans="2:13" x14ac:dyDescent="0.25">
      <c r="B2" s="2">
        <v>0</v>
      </c>
      <c r="C2" s="2"/>
      <c r="D2" s="58" t="s">
        <v>174</v>
      </c>
      <c r="E2" s="58" t="s">
        <v>174</v>
      </c>
      <c r="F2" s="58" t="s">
        <v>174</v>
      </c>
      <c r="H2" t="s">
        <v>118</v>
      </c>
    </row>
    <row r="3" spans="2:13" x14ac:dyDescent="0.25">
      <c r="B3" s="2">
        <v>1</v>
      </c>
      <c r="C3" s="2" t="s">
        <v>136</v>
      </c>
      <c r="D3" s="2"/>
      <c r="E3" s="2" t="s">
        <v>164</v>
      </c>
      <c r="F3" s="2" t="s">
        <v>173</v>
      </c>
    </row>
    <row r="4" spans="2:13" x14ac:dyDescent="0.25">
      <c r="B4" s="2">
        <v>2</v>
      </c>
      <c r="C4" s="2" t="s">
        <v>137</v>
      </c>
      <c r="D4" s="2" t="s">
        <v>156</v>
      </c>
      <c r="E4" s="2" t="s">
        <v>165</v>
      </c>
      <c r="F4" s="2" t="s">
        <v>137</v>
      </c>
      <c r="H4" t="s">
        <v>131</v>
      </c>
      <c r="I4" s="47">
        <f>Factura!$H$40</f>
        <v>3208.8110999999999</v>
      </c>
      <c r="K4" t="str">
        <f>$M$12&amp;" PESOS CON "&amp;$L$17&amp;" CENTAVOS"</f>
        <v>TRES MIL DOSCIENTOS  Y OCHENTA PESOS CON OCHENTA Y UNO CENTAVOS</v>
      </c>
    </row>
    <row r="5" spans="2:13" x14ac:dyDescent="0.25">
      <c r="B5" s="2">
        <v>3</v>
      </c>
      <c r="C5" s="2" t="s">
        <v>138</v>
      </c>
      <c r="D5" s="2" t="s">
        <v>157</v>
      </c>
      <c r="E5" s="2" t="s">
        <v>166</v>
      </c>
      <c r="F5" s="2" t="s">
        <v>138</v>
      </c>
      <c r="H5" t="s">
        <v>130</v>
      </c>
      <c r="I5" s="51">
        <f>TRUNC($I$4)</f>
        <v>3208</v>
      </c>
    </row>
    <row r="6" spans="2:13" x14ac:dyDescent="0.25">
      <c r="B6" s="2">
        <v>4</v>
      </c>
      <c r="C6" s="2" t="s">
        <v>139</v>
      </c>
      <c r="D6" s="2" t="s">
        <v>158</v>
      </c>
      <c r="E6" s="2" t="s">
        <v>167</v>
      </c>
      <c r="F6" s="2" t="s">
        <v>139</v>
      </c>
      <c r="H6" t="s">
        <v>129</v>
      </c>
      <c r="I6" s="53">
        <f>(I4-I5)*100</f>
        <v>81.109999999989668</v>
      </c>
    </row>
    <row r="7" spans="2:13" x14ac:dyDescent="0.25">
      <c r="B7" s="2">
        <v>5</v>
      </c>
      <c r="C7" s="2" t="s">
        <v>140</v>
      </c>
      <c r="D7" s="2" t="s">
        <v>159</v>
      </c>
      <c r="E7" s="2" t="s">
        <v>168</v>
      </c>
      <c r="F7" s="2" t="s">
        <v>140</v>
      </c>
    </row>
    <row r="8" spans="2:13" x14ac:dyDescent="0.25">
      <c r="B8" s="2">
        <v>6</v>
      </c>
      <c r="C8" s="2" t="s">
        <v>141</v>
      </c>
      <c r="D8" s="2" t="s">
        <v>160</v>
      </c>
      <c r="E8" s="2" t="s">
        <v>169</v>
      </c>
      <c r="F8" s="2" t="s">
        <v>141</v>
      </c>
      <c r="H8" s="75" t="s">
        <v>128</v>
      </c>
      <c r="I8" s="75"/>
      <c r="J8" s="75"/>
      <c r="K8" s="75"/>
      <c r="L8" s="75"/>
    </row>
    <row r="9" spans="2:13" x14ac:dyDescent="0.25">
      <c r="B9" s="2">
        <v>7</v>
      </c>
      <c r="C9" s="2" t="s">
        <v>142</v>
      </c>
      <c r="D9" s="2" t="s">
        <v>161</v>
      </c>
      <c r="E9" s="2" t="s">
        <v>170</v>
      </c>
      <c r="F9" s="2" t="s">
        <v>142</v>
      </c>
      <c r="H9" s="48" t="s">
        <v>122</v>
      </c>
      <c r="I9" s="48" t="s">
        <v>123</v>
      </c>
      <c r="J9" s="48" t="s">
        <v>124</v>
      </c>
      <c r="K9" s="48" t="s">
        <v>125</v>
      </c>
      <c r="L9" s="48" t="s">
        <v>126</v>
      </c>
    </row>
    <row r="10" spans="2:13" x14ac:dyDescent="0.25">
      <c r="B10" s="2">
        <v>8</v>
      </c>
      <c r="C10" s="2" t="s">
        <v>143</v>
      </c>
      <c r="D10" s="2" t="s">
        <v>162</v>
      </c>
      <c r="E10" s="2" t="s">
        <v>171</v>
      </c>
      <c r="F10" s="2" t="s">
        <v>143</v>
      </c>
      <c r="H10" s="54">
        <f>MOD($I$4,100000)</f>
        <v>3208.8110999999999</v>
      </c>
      <c r="I10" s="54">
        <f>MOD($I$4,10000)</f>
        <v>3208.8110999999999</v>
      </c>
      <c r="J10" s="54">
        <f>MOD($I$4,1000)</f>
        <v>208.8110999999999</v>
      </c>
      <c r="K10" s="54">
        <f>MOD($I$4,100)</f>
        <v>8.8110999999998967</v>
      </c>
      <c r="L10" s="54">
        <f>MOD(I4,10)</f>
        <v>8.8110999999998967</v>
      </c>
    </row>
    <row r="11" spans="2:13" x14ac:dyDescent="0.25">
      <c r="B11" s="2">
        <v>9</v>
      </c>
      <c r="C11" s="2" t="s">
        <v>144</v>
      </c>
      <c r="D11" s="2" t="s">
        <v>163</v>
      </c>
      <c r="E11" s="2" t="s">
        <v>172</v>
      </c>
      <c r="F11" s="2" t="s">
        <v>144</v>
      </c>
      <c r="H11" s="55">
        <f>TRUNC(H10/10000,0)</f>
        <v>0</v>
      </c>
      <c r="I11" s="55">
        <f>TRUNC(I10/1000,0)</f>
        <v>3</v>
      </c>
      <c r="J11" s="55">
        <f>TRUNC(J10/100,0)</f>
        <v>2</v>
      </c>
      <c r="K11" s="55">
        <f>TRUNC(K10/10,0)</f>
        <v>0</v>
      </c>
      <c r="L11" s="55">
        <f>TRUNC(L10,0)</f>
        <v>8</v>
      </c>
    </row>
    <row r="12" spans="2:13" x14ac:dyDescent="0.25">
      <c r="B12" s="2">
        <v>10</v>
      </c>
      <c r="C12" s="2" t="s">
        <v>145</v>
      </c>
      <c r="D12" s="2"/>
      <c r="E12" s="2"/>
      <c r="F12" s="2"/>
      <c r="H12" s="48"/>
      <c r="I12" s="48" t="str">
        <f>VLOOKUP(I11,$B$2:$F$22,5)</f>
        <v>TRES</v>
      </c>
      <c r="J12" s="48" t="str">
        <f>VLOOKUP(J11,$B$2:$F$22,4)</f>
        <v>DOSCIENTOS</v>
      </c>
      <c r="K12" s="48" t="str">
        <f>VLOOKUP(K11,$B$2:$F$22,3)</f>
        <v/>
      </c>
      <c r="L12" s="48" t="str">
        <f>VLOOKUP(L11,$B$2:$F$22,3)</f>
        <v>OCHENTA</v>
      </c>
      <c r="M12" t="str">
        <f>$I$12&amp;" MIL"&amp;" "&amp;$J$12&amp;" "&amp;$K$12&amp;" Y "&amp;$L$12</f>
        <v>TRES MIL DOSCIENTOS  Y OCHENTA</v>
      </c>
    </row>
    <row r="13" spans="2:13" x14ac:dyDescent="0.25">
      <c r="B13" s="2">
        <v>11</v>
      </c>
      <c r="C13" s="2" t="s">
        <v>146</v>
      </c>
      <c r="D13" s="2"/>
      <c r="E13" s="2"/>
      <c r="F13" s="2"/>
    </row>
    <row r="14" spans="2:13" x14ac:dyDescent="0.25">
      <c r="B14" s="2">
        <v>12</v>
      </c>
      <c r="C14" s="2" t="s">
        <v>147</v>
      </c>
      <c r="D14" s="2"/>
      <c r="E14" s="2"/>
      <c r="F14" s="2"/>
      <c r="H14" s="75" t="s">
        <v>127</v>
      </c>
      <c r="I14" s="75"/>
      <c r="J14" s="75"/>
      <c r="K14" s="75"/>
    </row>
    <row r="15" spans="2:13" x14ac:dyDescent="0.25">
      <c r="B15" s="2">
        <v>13</v>
      </c>
      <c r="C15" s="2" t="s">
        <v>148</v>
      </c>
      <c r="D15" s="2"/>
      <c r="E15" s="2"/>
      <c r="F15" s="2"/>
      <c r="H15" s="48" t="s">
        <v>132</v>
      </c>
      <c r="I15" s="48" t="s">
        <v>133</v>
      </c>
      <c r="J15" s="48" t="s">
        <v>134</v>
      </c>
      <c r="K15" s="48" t="s">
        <v>135</v>
      </c>
    </row>
    <row r="16" spans="2:13" x14ac:dyDescent="0.25">
      <c r="B16" s="2">
        <v>14</v>
      </c>
      <c r="C16" s="2" t="s">
        <v>149</v>
      </c>
      <c r="D16" s="2"/>
      <c r="E16" s="2"/>
      <c r="F16" s="2"/>
      <c r="H16" s="54">
        <f>MOD(TRUNC($I$6/1000),10)</f>
        <v>0</v>
      </c>
      <c r="I16" s="54">
        <f>MOD(TRUNC($I$6/100),10)</f>
        <v>0</v>
      </c>
      <c r="J16" s="54">
        <f>MOD(TRUNC($I$6/10),10)</f>
        <v>8</v>
      </c>
      <c r="K16" s="54">
        <f>MOD(TRUNC($I$6/1),10)</f>
        <v>1</v>
      </c>
    </row>
    <row r="17" spans="2:14" x14ac:dyDescent="0.25">
      <c r="B17" s="2">
        <v>15</v>
      </c>
      <c r="C17" s="2" t="s">
        <v>150</v>
      </c>
      <c r="D17" s="2"/>
      <c r="E17" s="2"/>
      <c r="F17" s="2"/>
      <c r="H17" s="48" t="str">
        <f>VLOOKUP(H16,$B$2:$F$22,3)</f>
        <v/>
      </c>
      <c r="I17" s="48" t="str">
        <f t="shared" ref="I17:J17" si="0">VLOOKUP(I16,$B$2:$F$22,3)</f>
        <v/>
      </c>
      <c r="J17" s="48" t="str">
        <f t="shared" si="0"/>
        <v>OCHENTA</v>
      </c>
      <c r="K17" s="48" t="str">
        <f>VLOOKUP(K16,$B$2:$F$22,2)</f>
        <v>UNO</v>
      </c>
      <c r="L17" t="str">
        <f>$J$17&amp;" Y "&amp;$K$17</f>
        <v>OCHENTA Y UNO</v>
      </c>
    </row>
    <row r="18" spans="2:14" x14ac:dyDescent="0.25">
      <c r="B18" s="2">
        <v>16</v>
      </c>
      <c r="C18" s="2" t="s">
        <v>151</v>
      </c>
      <c r="D18" s="2"/>
      <c r="E18" s="2"/>
      <c r="F18" s="2"/>
    </row>
    <row r="19" spans="2:14" x14ac:dyDescent="0.25">
      <c r="B19" s="2">
        <v>17</v>
      </c>
      <c r="C19" s="2" t="s">
        <v>152</v>
      </c>
      <c r="D19" s="2"/>
      <c r="E19" s="2"/>
      <c r="F19" s="2"/>
    </row>
    <row r="20" spans="2:14" x14ac:dyDescent="0.25">
      <c r="B20" s="2">
        <v>18</v>
      </c>
      <c r="C20" s="2" t="s">
        <v>153</v>
      </c>
      <c r="D20" s="2"/>
      <c r="E20" s="2"/>
      <c r="F20" s="2"/>
    </row>
    <row r="21" spans="2:14" x14ac:dyDescent="0.25">
      <c r="B21" s="2">
        <v>19</v>
      </c>
      <c r="C21" s="2" t="s">
        <v>154</v>
      </c>
      <c r="D21" s="2"/>
      <c r="E21" s="2"/>
      <c r="F21" s="2"/>
    </row>
    <row r="22" spans="2:14" x14ac:dyDescent="0.25">
      <c r="B22" s="2">
        <v>20</v>
      </c>
      <c r="C22" s="2" t="s">
        <v>155</v>
      </c>
      <c r="D22" s="2"/>
      <c r="E22" s="2"/>
      <c r="F22" s="2"/>
    </row>
    <row r="28" spans="2:14" x14ac:dyDescent="0.25">
      <c r="M28" s="52"/>
      <c r="N28" s="52"/>
    </row>
    <row r="29" spans="2:14" x14ac:dyDescent="0.25">
      <c r="M29" s="51"/>
      <c r="N29" s="51"/>
    </row>
    <row r="32" spans="2:14" x14ac:dyDescent="0.25">
      <c r="H32" s="52"/>
      <c r="I32" s="52"/>
      <c r="J32" s="52"/>
      <c r="K32" s="52"/>
      <c r="L32" s="52"/>
    </row>
    <row r="33" spans="8:12" x14ac:dyDescent="0.25">
      <c r="H33" s="51"/>
      <c r="I33" s="51"/>
      <c r="J33" s="51"/>
      <c r="K33" s="51"/>
      <c r="L33" s="51"/>
    </row>
  </sheetData>
  <mergeCells count="2">
    <mergeCell ref="H8:L8"/>
    <mergeCell ref="H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Factura (2)</vt:lpstr>
      <vt:lpstr>Factura</vt:lpstr>
      <vt:lpstr>Ticket</vt:lpstr>
      <vt:lpstr>AuxLetras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2023-05-09T20:11:08Z</dcterms:created>
  <dcterms:modified xsi:type="dcterms:W3CDTF">2023-05-17T21:53:49Z</dcterms:modified>
</cp:coreProperties>
</file>