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wenyo/Desktop/NTU/風險管理與保險/HW2/"/>
    </mc:Choice>
  </mc:AlternateContent>
  <xr:revisionPtr revIDLastSave="0" documentId="13_ncr:1_{2DB4C34E-19BF-8646-B9DA-C97ED0CE2A24}" xr6:coauthVersionLast="47" xr6:coauthVersionMax="47" xr10:uidLastSave="{00000000-0000-0000-0000-000000000000}"/>
  <bookViews>
    <workbookView xWindow="0" yWindow="500" windowWidth="28800" windowHeight="15940" activeTab="2" xr2:uid="{47136510-0927-034B-9A7A-4091355C8F1E}"/>
  </bookViews>
  <sheets>
    <sheet name="Grapefruit" sheetId="1" r:id="rId1"/>
    <sheet name="Lemon" sheetId="2" r:id="rId2"/>
    <sheet name="Orange" sheetId="3" r:id="rId3"/>
  </sheets>
  <definedNames>
    <definedName name="CHART" localSheetId="0">#REF!</definedName>
    <definedName name="CHART">#REF!</definedName>
    <definedName name="_xlnm.Print_Area" localSheetId="0">Grapefruit!$A$1:$F$41</definedName>
    <definedName name="_xlnm.Print_Area">#REF!</definedName>
    <definedName name="Print_Area_MI" localSheetId="0">Grapefruit!$A$1:$F$41</definedName>
    <definedName name="PRINT_AREA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3" l="1"/>
  <c r="C41" i="3"/>
  <c r="B41" i="3"/>
  <c r="F41" i="3" s="1"/>
  <c r="D40" i="3"/>
  <c r="F40" i="3" s="1"/>
  <c r="C40" i="3"/>
  <c r="B40" i="3"/>
  <c r="D39" i="3"/>
  <c r="C39" i="3"/>
  <c r="B39" i="3"/>
  <c r="F39" i="3" s="1"/>
  <c r="D38" i="3"/>
  <c r="F38" i="3" s="1"/>
  <c r="C38" i="3"/>
  <c r="B38" i="3"/>
  <c r="D37" i="3"/>
  <c r="C37" i="3"/>
  <c r="B37" i="3"/>
  <c r="F37" i="3" s="1"/>
  <c r="D36" i="3"/>
  <c r="C36" i="3"/>
  <c r="B36" i="3"/>
  <c r="D35" i="3"/>
  <c r="C35" i="3"/>
  <c r="B35" i="3"/>
  <c r="D34" i="3"/>
  <c r="C34" i="3"/>
  <c r="B34" i="3"/>
  <c r="F34" i="3" s="1"/>
  <c r="F33" i="3"/>
  <c r="D33" i="3"/>
  <c r="C33" i="3"/>
  <c r="B33" i="3"/>
  <c r="D32" i="3"/>
  <c r="C32" i="3"/>
  <c r="B32" i="3"/>
  <c r="F32" i="3" s="1"/>
  <c r="F31" i="3"/>
  <c r="D31" i="3"/>
  <c r="C31" i="3"/>
  <c r="B31" i="3"/>
  <c r="E30" i="3"/>
  <c r="D30" i="3"/>
  <c r="C30" i="3"/>
  <c r="B30" i="3"/>
  <c r="F30" i="3" s="1"/>
  <c r="E29" i="3"/>
  <c r="D29" i="3"/>
  <c r="C29" i="3"/>
  <c r="B29" i="3"/>
  <c r="F29" i="3" s="1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D41" i="1" l="1"/>
  <c r="C41" i="1"/>
  <c r="B41" i="1"/>
  <c r="D40" i="1"/>
  <c r="C40" i="1"/>
  <c r="B40" i="1"/>
  <c r="D39" i="1"/>
  <c r="C39" i="1"/>
  <c r="B39" i="1"/>
  <c r="D38" i="1"/>
  <c r="C38" i="1"/>
  <c r="B38" i="1"/>
  <c r="F38" i="1" s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B12" i="1"/>
  <c r="D9" i="1"/>
  <c r="D8" i="1"/>
  <c r="C8" i="1"/>
  <c r="D7" i="1"/>
  <c r="C7" i="1"/>
  <c r="B7" i="1"/>
  <c r="C6" i="1"/>
  <c r="B6" i="1"/>
  <c r="D5" i="1"/>
  <c r="B5" i="1"/>
  <c r="D4" i="1"/>
  <c r="C4" i="1"/>
  <c r="E3" i="1"/>
  <c r="C3" i="1"/>
  <c r="B3" i="1"/>
  <c r="E2" i="1"/>
  <c r="D2" i="1"/>
  <c r="B2" i="1"/>
  <c r="F40" i="1" l="1"/>
  <c r="F35" i="1"/>
  <c r="F39" i="1"/>
  <c r="F33" i="1"/>
  <c r="F36" i="1"/>
  <c r="F37" i="1"/>
  <c r="F34" i="1"/>
  <c r="F41" i="1"/>
</calcChain>
</file>

<file path=xl/sharedStrings.xml><?xml version="1.0" encoding="utf-8"?>
<sst xmlns="http://schemas.openxmlformats.org/spreadsheetml/2006/main" count="148" uniqueCount="92">
  <si>
    <t>Florida</t>
  </si>
  <si>
    <t>California</t>
  </si>
  <si>
    <t>Texas</t>
  </si>
  <si>
    <t>Arizona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</si>
  <si>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</si>
  <si>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</si>
  <si>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</si>
  <si>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</si>
  <si>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</si>
  <si>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</si>
  <si>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</si>
  <si>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</si>
  <si>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 xml:space="preserve">1988/89 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</si>
  <si>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</si>
  <si>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</si>
  <si>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</si>
  <si>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</si>
  <si>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</si>
  <si>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</si>
  <si>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</si>
  <si>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</si>
  <si>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</si>
  <si>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</si>
  <si>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1999/2000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</si>
  <si>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</si>
  <si>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</si>
  <si>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</si>
  <si>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</si>
  <si>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</si>
  <si>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</si>
  <si>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</si>
  <si>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</si>
  <si>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</si>
  <si>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</si>
  <si>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</si>
  <si>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</si>
  <si>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</si>
  <si>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</si>
  <si>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</si>
  <si>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</si>
  <si>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</si>
  <si>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</si>
  <si>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</si>
  <si>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</si>
  <si>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United States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</si>
  <si>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</si>
  <si>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</si>
  <si>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</si>
  <si>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</si>
  <si>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</si>
  <si>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</si>
  <si>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</si>
  <si>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</si>
  <si>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</si>
  <si>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</si>
  <si>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</si>
  <si>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</si>
  <si>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</si>
  <si>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</si>
  <si>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</si>
  <si>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</si>
  <si>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</si>
  <si>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</si>
  <si>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</si>
  <si>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1999/2000</t>
  </si>
  <si>
    <t xml:space="preserve"> 2000/01</t>
  </si>
  <si>
    <t xml:space="preserve"> 2001/02</t>
  </si>
  <si>
    <t xml:space="preserve"> 2002/03</t>
  </si>
  <si>
    <t xml:space="preserve"> 2003/04</t>
  </si>
  <si>
    <t xml:space="preserve"> 2004/05</t>
  </si>
  <si>
    <t xml:space="preserve"> 2005/06</t>
  </si>
  <si>
    <t xml:space="preserve"> 2006/07</t>
  </si>
  <si>
    <t xml:space="preserve"> 2007/08</t>
  </si>
  <si>
    <t xml:space="preserve"> 2008/09</t>
  </si>
  <si>
    <t xml:space="preserve"> 2009/10</t>
  </si>
  <si>
    <t xml:space="preserve"> 2010/11</t>
  </si>
  <si>
    <t xml:space="preserve"> 2011/12</t>
  </si>
  <si>
    <t xml:space="preserve"> 2012/13</t>
  </si>
  <si>
    <t xml:space="preserve"> 2013/14</t>
  </si>
  <si>
    <t xml:space="preserve"> 2014/15</t>
  </si>
  <si>
    <t xml:space="preserve"> 2015/16</t>
  </si>
  <si>
    <t xml:space="preserve"> 2016/17</t>
  </si>
  <si>
    <t xml:space="preserve"> 2017/18</t>
  </si>
  <si>
    <t xml:space="preserve"> 2018/19</t>
  </si>
  <si>
    <t xml:space="preserve"> 2019/20</t>
  </si>
  <si>
    <t>United States</t>
    <phoneticPr fontId="1" type="noConversion"/>
  </si>
  <si>
    <t xml:space="preserve">1987/88 </t>
  </si>
  <si>
    <t xml:space="preserve">1989/90 </t>
  </si>
  <si>
    <t xml:space="preserve">1990/91 </t>
  </si>
  <si>
    <t>#N/A</t>
  </si>
  <si>
    <t>#N/A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</si>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</sst>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____________)"/>
    <numFmt numFmtId="177" formatCode="0.00_);[Red]\(0.00\)"/>
  </numFmts>
  <fonts count="4">
    <font>
      <sz val="9"/>
      <name val="Arial MT"/>
    </font>
    <font>
      <sz val="9"/>
      <name val="GenRyuMin TW B"/>
      <family val="3"/>
      <charset val="136"/>
    </font>
    <font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6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 indent="1"/>
    </xf>
    <xf numFmtId="177" fontId="2" fillId="0" borderId="0" xfId="0" applyNumberFormat="1" applyFont="1"/>
    <xf numFmtId="177" fontId="2" fillId="0" borderId="0" xfId="0" applyNumberFormat="1" applyFont="1" applyAlignment="1">
      <alignment horizontal="right"/>
    </xf>
    <xf numFmtId="177" fontId="2" fillId="0" borderId="0" xfId="0" quotePrefix="1" applyNumberFormat="1" applyFont="1" applyAlignment="1">
      <alignment horizontal="left"/>
    </xf>
    <xf numFmtId="0" fontId="2" fillId="0" borderId="0" xfId="0" quotePrefix="1" applyFont="1" applyAlignment="1">
      <alignment horizontal="left" indent="1"/>
    </xf>
    <xf numFmtId="177" fontId="2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 indent="1"/>
    </xf>
    <xf numFmtId="177" fontId="2" fillId="0" borderId="2" xfId="0" applyNumberFormat="1" applyFont="1" applyBorder="1"/>
    <xf numFmtId="177" fontId="2" fillId="0" borderId="2" xfId="0" quotePrefix="1" applyNumberFormat="1" applyFont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2" fillId="0" borderId="0" xfId="0" quotePrefix="1" applyFont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C3F6-A352-AA41-BC10-6DCF8DCD93F9}">
  <sheetPr transitionEvaluation="1">
    <pageSetUpPr fitToPage="1"/>
  </sheetPr>
  <dimension ref="A1:G41"/>
  <sheetViews>
    <sheetView showGridLines="0" view="pageBreakPreview" zoomScaleNormal="207" zoomScaleSheetLayoutView="100" workbookViewId="0">
      <pane xSplit="1" ySplit="1" topLeftCell="B53" activePane="bottomRight" state="frozen"/>
      <selection pane="topRight" activeCell="B1" sqref="B1"/>
      <selection pane="bottomLeft" activeCell="A5" sqref="A5"/>
      <selection pane="bottomRight" activeCell="F12" sqref="F12"/>
    </sheetView>
  </sheetViews>
  <sheetFormatPr baseColWidth="10" defaultColWidth="9.796875" defaultRowHeight="12"/>
  <cols>
    <col min="1" max="1" width="12.796875" bestFit="1" customWidth="1"/>
    <col min="2" max="2" width="9.59765625" bestFit="1" customWidth="1"/>
    <col min="3" max="3" width="10" bestFit="1" customWidth="1"/>
    <col min="4" max="5" width="8.59765625" bestFit="1" customWidth="1"/>
    <col min="6" max="6" width="13.59765625" bestFit="1" customWidth="1"/>
    <col min="7" max="7" width="14.19921875" bestFit="1" customWidth="1"/>
  </cols>
  <sheetData>
    <row r="1" spans="1:6">
      <c r="A1" s="2" t="s">
        <v>91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85</v>
      </c>
    </row>
    <row r="2" spans="1:6">
      <c r="A2" s="4" t="s">
        <v>4</v>
      </c>
      <c r="B2" s="5">
        <f>50300*85/2000</f>
        <v>2137.75</v>
      </c>
      <c r="C2" s="5">
        <v>263</v>
      </c>
      <c r="D2" s="5">
        <f>6700*80/2000</f>
        <v>268</v>
      </c>
      <c r="E2" s="5">
        <f>2800*64/2000</f>
        <v>89.6</v>
      </c>
      <c r="F2" s="5">
        <v>2759</v>
      </c>
    </row>
    <row r="3" spans="1:6">
      <c r="A3" s="4" t="s">
        <v>5</v>
      </c>
      <c r="B3" s="5">
        <f>48100*85/2000</f>
        <v>2044.25</v>
      </c>
      <c r="C3" s="5">
        <f>3400*64/2000+2750*67/2000</f>
        <v>200.92500000000001</v>
      </c>
      <c r="D3" s="5">
        <v>556</v>
      </c>
      <c r="E3" s="5">
        <f>2400*64/2000</f>
        <v>76.8</v>
      </c>
      <c r="F3" s="5">
        <v>2877.9750000000004</v>
      </c>
    </row>
    <row r="4" spans="1:6">
      <c r="A4" s="4" t="s">
        <v>6</v>
      </c>
      <c r="B4" s="5">
        <v>1674</v>
      </c>
      <c r="C4" s="5">
        <f>4100*64/2000+3200*67/2000</f>
        <v>238.39999999999998</v>
      </c>
      <c r="D4" s="5">
        <f>11200*80/2000</f>
        <v>448</v>
      </c>
      <c r="E4" s="5">
        <v>105</v>
      </c>
      <c r="F4" s="5">
        <v>2465.4</v>
      </c>
    </row>
    <row r="5" spans="1:6">
      <c r="A5" s="4" t="s">
        <v>7</v>
      </c>
      <c r="B5" s="5">
        <f>40900*85/2000</f>
        <v>1738.25</v>
      </c>
      <c r="C5" s="5">
        <v>238</v>
      </c>
      <c r="D5" s="6">
        <f>3200*80/2000</f>
        <v>128</v>
      </c>
      <c r="E5" s="5">
        <v>80</v>
      </c>
      <c r="F5" s="5">
        <v>2184.25</v>
      </c>
    </row>
    <row r="6" spans="1:6">
      <c r="A6" s="4" t="s">
        <v>8</v>
      </c>
      <c r="B6" s="5">
        <f>44000*85/2000</f>
        <v>1870</v>
      </c>
      <c r="C6" s="5">
        <f>3800*64/2000+5000*67/2000</f>
        <v>289.10000000000002</v>
      </c>
      <c r="D6" s="7" t="s">
        <v>90</v>
      </c>
      <c r="E6" s="5">
        <v>107</v>
      </c>
      <c r="F6" s="5">
        <v>2266.1</v>
      </c>
    </row>
    <row r="7" spans="1:6">
      <c r="A7" s="4" t="s">
        <v>9</v>
      </c>
      <c r="B7" s="5">
        <f>46750*85/2000</f>
        <v>1986.875</v>
      </c>
      <c r="C7" s="5">
        <f>3600*64/2000+4500*67/2000</f>
        <v>265.95</v>
      </c>
      <c r="D7" s="6">
        <f>220*80/2000</f>
        <v>8.8000000000000007</v>
      </c>
      <c r="E7" s="5">
        <v>90</v>
      </c>
      <c r="F7" s="5">
        <v>2352</v>
      </c>
    </row>
    <row r="8" spans="1:6">
      <c r="A8" s="4" t="s">
        <v>10</v>
      </c>
      <c r="B8" s="5">
        <v>2116</v>
      </c>
      <c r="C8" s="5">
        <f>4300*64/2000+5000*67/2000</f>
        <v>305.10000000000002</v>
      </c>
      <c r="D8" s="6">
        <f>1925*80/2000</f>
        <v>77</v>
      </c>
      <c r="E8" s="5">
        <v>88</v>
      </c>
      <c r="F8" s="5">
        <v>2586</v>
      </c>
    </row>
    <row r="9" spans="1:6">
      <c r="A9" s="4" t="s">
        <v>11</v>
      </c>
      <c r="B9" s="5">
        <v>2289</v>
      </c>
      <c r="C9" s="5">
        <v>298</v>
      </c>
      <c r="D9" s="6">
        <f>3800*80/2000</f>
        <v>152</v>
      </c>
      <c r="E9" s="5">
        <v>62</v>
      </c>
      <c r="F9" s="5">
        <v>2801</v>
      </c>
    </row>
    <row r="10" spans="1:6">
      <c r="A10" s="4" t="s">
        <v>12</v>
      </c>
      <c r="B10" s="5">
        <v>2327</v>
      </c>
      <c r="C10" s="5">
        <v>263</v>
      </c>
      <c r="D10" s="6">
        <v>192</v>
      </c>
      <c r="E10" s="5">
        <v>62</v>
      </c>
      <c r="F10" s="5">
        <v>2844</v>
      </c>
    </row>
    <row r="11" spans="1:6">
      <c r="A11" s="4" t="s">
        <v>13</v>
      </c>
      <c r="B11" s="5">
        <v>1518</v>
      </c>
      <c r="C11" s="5">
        <v>310</v>
      </c>
      <c r="D11" s="6">
        <v>80</v>
      </c>
      <c r="E11" s="5">
        <v>70</v>
      </c>
      <c r="F11" s="5">
        <v>1978</v>
      </c>
    </row>
    <row r="12" spans="1:6">
      <c r="A12" s="4" t="s">
        <v>14</v>
      </c>
      <c r="B12" s="5">
        <f>45100*85/2000</f>
        <v>1916.75</v>
      </c>
      <c r="C12" s="5">
        <v>262</v>
      </c>
      <c r="D12" s="7" t="s">
        <v>90</v>
      </c>
      <c r="E12" s="5">
        <v>77</v>
      </c>
      <c r="F12" s="5">
        <v>1978</v>
      </c>
    </row>
    <row r="13" spans="1:6">
      <c r="A13" s="4" t="s">
        <v>15</v>
      </c>
      <c r="B13" s="5">
        <f>42400*85/2000</f>
        <v>1802</v>
      </c>
      <c r="C13" s="5">
        <f>3500*64/2000+6500*67/2000</f>
        <v>329.75</v>
      </c>
      <c r="D13" s="6">
        <f>65*80/2000</f>
        <v>2.6</v>
      </c>
      <c r="E13" s="5">
        <f>2800*64/2000</f>
        <v>89.6</v>
      </c>
      <c r="F13" s="5">
        <v>2223.9499999999998</v>
      </c>
    </row>
    <row r="14" spans="1:6">
      <c r="A14" s="4" t="s">
        <v>16</v>
      </c>
      <c r="B14" s="5">
        <f>55150*85/2000</f>
        <v>2343.875</v>
      </c>
      <c r="C14" s="5">
        <f>3500*64/2000+5700*67/2000</f>
        <v>302.95</v>
      </c>
      <c r="D14" s="6">
        <f>1875*80/2000</f>
        <v>75</v>
      </c>
      <c r="E14" s="5">
        <f>2150*64/2000</f>
        <v>68.8</v>
      </c>
      <c r="F14" s="5">
        <v>2791</v>
      </c>
    </row>
    <row r="15" spans="1:6">
      <c r="A15" s="4" t="s">
        <v>17</v>
      </c>
      <c r="B15" s="5">
        <f>51050*85/2000</f>
        <v>2169.625</v>
      </c>
      <c r="C15" s="5">
        <f>9300*67/2000</f>
        <v>311.55</v>
      </c>
      <c r="D15" s="5">
        <f>3000*80/2000</f>
        <v>120</v>
      </c>
      <c r="E15" s="5">
        <f>1750*67/2000</f>
        <v>58.625</v>
      </c>
      <c r="F15" s="5">
        <v>2661</v>
      </c>
    </row>
    <row r="16" spans="1:6">
      <c r="A16" s="4" t="s">
        <v>18</v>
      </c>
      <c r="B16" s="5">
        <f>55700*85/2000</f>
        <v>2367.25</v>
      </c>
      <c r="C16" s="5">
        <v>312</v>
      </c>
      <c r="D16" s="5">
        <f>4650*80/2000</f>
        <v>186</v>
      </c>
      <c r="E16" s="5">
        <f>1400*67/2000</f>
        <v>46.9</v>
      </c>
      <c r="F16" s="5">
        <v>2912</v>
      </c>
    </row>
    <row r="17" spans="1:7">
      <c r="A17" s="4" t="s">
        <v>19</v>
      </c>
      <c r="B17" s="5">
        <f>52350*85/2000</f>
        <v>2224.875</v>
      </c>
      <c r="C17" s="5">
        <f>8100*67/2000</f>
        <v>271.35000000000002</v>
      </c>
      <c r="D17" s="5">
        <f>4550*80/2000</f>
        <v>182</v>
      </c>
      <c r="E17" s="5">
        <f>1200*67/2000</f>
        <v>40.200000000000003</v>
      </c>
      <c r="F17" s="5">
        <v>2718</v>
      </c>
    </row>
    <row r="18" spans="1:7">
      <c r="A18" s="8" t="s">
        <v>20</v>
      </c>
      <c r="B18" s="5">
        <f>55800*85/2000</f>
        <v>2371.5</v>
      </c>
      <c r="C18" s="5">
        <f>8200*67/2000</f>
        <v>274.7</v>
      </c>
      <c r="D18" s="5">
        <f>5300*80/2000</f>
        <v>212</v>
      </c>
      <c r="E18" s="5">
        <f>800*67/2000</f>
        <v>26.8</v>
      </c>
      <c r="F18" s="5">
        <v>2885</v>
      </c>
    </row>
    <row r="19" spans="1:7">
      <c r="A19" s="8" t="s">
        <v>21</v>
      </c>
      <c r="B19" s="5">
        <f>(49550*85)/2000</f>
        <v>2105.875</v>
      </c>
      <c r="C19" s="5">
        <f>(8000*67)/2000</f>
        <v>268</v>
      </c>
      <c r="D19" s="5">
        <f>(4800*80)/2000</f>
        <v>192</v>
      </c>
      <c r="E19" s="5">
        <f>(800*67)/2000</f>
        <v>26.8</v>
      </c>
      <c r="F19" s="5">
        <v>2593</v>
      </c>
    </row>
    <row r="20" spans="1:7">
      <c r="A20" s="8" t="s">
        <v>22</v>
      </c>
      <c r="B20" s="5">
        <f>47050*85/2000</f>
        <v>1999.625</v>
      </c>
      <c r="C20" s="5">
        <f>7300*67/2000</f>
        <v>244.55</v>
      </c>
      <c r="D20" s="5">
        <f>6100*80/2000</f>
        <v>244</v>
      </c>
      <c r="E20" s="5">
        <f>750*67/2000</f>
        <v>25.125</v>
      </c>
      <c r="F20" s="5">
        <v>2513</v>
      </c>
      <c r="G20" s="1"/>
    </row>
    <row r="21" spans="1:7">
      <c r="A21" s="8" t="s">
        <v>23</v>
      </c>
      <c r="B21" s="5">
        <f>53400*85/2000</f>
        <v>2269.5</v>
      </c>
      <c r="C21" s="5">
        <f>7200*67/2000</f>
        <v>241.2</v>
      </c>
      <c r="D21" s="5">
        <f>5930*80/2000</f>
        <v>237.2</v>
      </c>
      <c r="E21" s="5">
        <f>450*67/2000</f>
        <v>15.074999999999999</v>
      </c>
      <c r="F21" s="5">
        <v>2763</v>
      </c>
      <c r="G21" s="1"/>
    </row>
    <row r="22" spans="1:7">
      <c r="A22" s="8" t="s">
        <v>24</v>
      </c>
      <c r="B22" s="5">
        <f>46000*85/2000</f>
        <v>1955</v>
      </c>
      <c r="C22" s="5">
        <f>6300*67/2000</f>
        <v>211.05</v>
      </c>
      <c r="D22" s="5">
        <f>7200*80/2000</f>
        <v>288</v>
      </c>
      <c r="E22" s="5">
        <f>250*67/2000</f>
        <v>8.375</v>
      </c>
      <c r="F22" s="5">
        <v>2462</v>
      </c>
      <c r="G22" s="1"/>
    </row>
    <row r="23" spans="1:7">
      <c r="A23" s="8" t="s">
        <v>25</v>
      </c>
      <c r="B23" s="5">
        <f>46700*85/2000</f>
        <v>1984.75</v>
      </c>
      <c r="C23" s="5">
        <f>5900*67/2000</f>
        <v>197.65</v>
      </c>
      <c r="D23" s="5">
        <f>5900*80/2000</f>
        <v>236</v>
      </c>
      <c r="E23" s="5">
        <f>160*67/2000</f>
        <v>5.36</v>
      </c>
      <c r="F23" s="5">
        <v>2424</v>
      </c>
      <c r="G23" s="1"/>
    </row>
    <row r="24" spans="1:7">
      <c r="A24" s="8" t="s">
        <v>26</v>
      </c>
      <c r="B24" s="5">
        <f>38700*85/2000</f>
        <v>1644.75</v>
      </c>
      <c r="C24" s="5">
        <f>5600*67/2000</f>
        <v>187.6</v>
      </c>
      <c r="D24" s="5">
        <f>5650*80/2000</f>
        <v>226</v>
      </c>
      <c r="E24" s="5">
        <f>130*67/2000</f>
        <v>4.3550000000000004</v>
      </c>
      <c r="F24" s="5">
        <v>2063</v>
      </c>
      <c r="G24" s="1"/>
    </row>
    <row r="25" spans="1:7">
      <c r="A25" s="4" t="s">
        <v>27</v>
      </c>
      <c r="B25" s="5">
        <f>40900*85/2000</f>
        <v>1738.25</v>
      </c>
      <c r="C25" s="5">
        <f>5800*67/2000</f>
        <v>194.3</v>
      </c>
      <c r="D25" s="5">
        <f>5700*80/2000</f>
        <v>228</v>
      </c>
      <c r="E25" s="5">
        <f>140*67/2000</f>
        <v>4.6900000000000004</v>
      </c>
      <c r="F25" s="5">
        <v>2165</v>
      </c>
      <c r="G25" s="1"/>
    </row>
    <row r="26" spans="1:7">
      <c r="A26" s="4" t="s">
        <v>28</v>
      </c>
      <c r="B26" s="5">
        <f>12800*85/2000</f>
        <v>544</v>
      </c>
      <c r="C26" s="5">
        <f>6100*67/2000</f>
        <v>204.35</v>
      </c>
      <c r="D26" s="5">
        <f>6600*80/2000</f>
        <v>264</v>
      </c>
      <c r="E26" s="5">
        <f>140*67/2000</f>
        <v>4.6900000000000004</v>
      </c>
      <c r="F26" s="5">
        <v>1018</v>
      </c>
      <c r="G26" s="1"/>
    </row>
    <row r="27" spans="1:7">
      <c r="A27" s="4" t="s">
        <v>29</v>
      </c>
      <c r="B27" s="5">
        <f>19300*85/2000</f>
        <v>820.25</v>
      </c>
      <c r="C27" s="5">
        <f>6000*67/2000</f>
        <v>201</v>
      </c>
      <c r="D27" s="5">
        <f>5200*80/2000</f>
        <v>208</v>
      </c>
      <c r="E27" s="5">
        <f>100*67/2000</f>
        <v>3.35</v>
      </c>
      <c r="F27" s="5">
        <v>1232</v>
      </c>
      <c r="G27" s="1"/>
    </row>
    <row r="28" spans="1:7">
      <c r="A28" s="4" t="s">
        <v>30</v>
      </c>
      <c r="B28" s="5">
        <f>27200*85/2000</f>
        <v>1156</v>
      </c>
      <c r="C28" s="5">
        <f>5500*67/2000</f>
        <v>184.25</v>
      </c>
      <c r="D28" s="5">
        <f>7100*80/2000</f>
        <v>284</v>
      </c>
      <c r="E28" s="5">
        <f>100*67/2000</f>
        <v>3.35</v>
      </c>
      <c r="F28" s="5">
        <v>1627</v>
      </c>
      <c r="G28" s="1"/>
    </row>
    <row r="29" spans="1:7">
      <c r="A29" s="4" t="s">
        <v>31</v>
      </c>
      <c r="B29" s="5">
        <f>26600*85/2000</f>
        <v>1130.5</v>
      </c>
      <c r="C29" s="5">
        <f>5200*67/2000</f>
        <v>174.2</v>
      </c>
      <c r="D29" s="5">
        <f>6000*80/2000</f>
        <v>240</v>
      </c>
      <c r="E29" s="5">
        <f>100*67/2000</f>
        <v>3.35</v>
      </c>
      <c r="F29" s="5">
        <v>1548</v>
      </c>
      <c r="G29" s="1"/>
    </row>
    <row r="30" spans="1:7">
      <c r="A30" s="4" t="s">
        <v>32</v>
      </c>
      <c r="B30" s="5">
        <f>21700*85/2000</f>
        <v>922.25</v>
      </c>
      <c r="C30" s="5">
        <f>4800*67/2000</f>
        <v>160.80000000000001</v>
      </c>
      <c r="D30" s="5">
        <f>5500*80/2000</f>
        <v>220</v>
      </c>
      <c r="E30" s="5">
        <f>25*67/2000</f>
        <v>0.83750000000000002</v>
      </c>
      <c r="F30" s="5">
        <v>1304</v>
      </c>
      <c r="G30" s="1"/>
    </row>
    <row r="31" spans="1:7">
      <c r="A31" s="4" t="s">
        <v>33</v>
      </c>
      <c r="B31" s="5">
        <f>20300*85/2000</f>
        <v>862.75</v>
      </c>
      <c r="C31" s="5">
        <f>4500*67/2000</f>
        <v>150.75</v>
      </c>
      <c r="D31" s="5">
        <f>5600*80/2000</f>
        <v>224</v>
      </c>
      <c r="E31" s="9" t="s">
        <v>89</v>
      </c>
      <c r="F31" s="5">
        <v>1238</v>
      </c>
      <c r="G31" s="1"/>
    </row>
    <row r="32" spans="1:7">
      <c r="A32" s="4" t="s">
        <v>34</v>
      </c>
      <c r="B32" s="5">
        <f>19750*85/2000</f>
        <v>839.375</v>
      </c>
      <c r="C32" s="5">
        <f>4310*80/2000</f>
        <v>172.4</v>
      </c>
      <c r="D32" s="5">
        <f>6300*80/2000</f>
        <v>252</v>
      </c>
      <c r="E32" s="9" t="s">
        <v>89</v>
      </c>
      <c r="F32" s="5">
        <v>1264</v>
      </c>
      <c r="G32" s="1"/>
    </row>
    <row r="33" spans="1:7">
      <c r="A33" s="4" t="s">
        <v>35</v>
      </c>
      <c r="B33" s="5">
        <f>18850*85/2000</f>
        <v>801.125</v>
      </c>
      <c r="C33" s="5">
        <f>4000*80/2000</f>
        <v>160</v>
      </c>
      <c r="D33" s="5">
        <f>4800*80/2000</f>
        <v>192</v>
      </c>
      <c r="E33" s="9" t="s">
        <v>89</v>
      </c>
      <c r="F33" s="5">
        <f t="shared" ref="F33:F39" si="0">SUM(B33:D33)</f>
        <v>1153.125</v>
      </c>
      <c r="G33" s="1"/>
    </row>
    <row r="34" spans="1:7">
      <c r="A34" s="4" t="s">
        <v>36</v>
      </c>
      <c r="B34" s="5">
        <f>18350*85/2000</f>
        <v>779.875</v>
      </c>
      <c r="C34" s="5">
        <f>4500*80/2000</f>
        <v>180</v>
      </c>
      <c r="D34" s="5">
        <f>6100*80/2000</f>
        <v>244</v>
      </c>
      <c r="E34" s="9" t="s">
        <v>89</v>
      </c>
      <c r="F34" s="5">
        <f t="shared" si="0"/>
        <v>1203.875</v>
      </c>
      <c r="G34" s="1"/>
    </row>
    <row r="35" spans="1:7">
      <c r="A35" s="4" t="s">
        <v>37</v>
      </c>
      <c r="B35" s="5">
        <f>15650*85/2000</f>
        <v>665.125</v>
      </c>
      <c r="C35" s="5">
        <f>3850*80/2000</f>
        <v>154</v>
      </c>
      <c r="D35" s="5">
        <f>5700*80/2000</f>
        <v>228</v>
      </c>
      <c r="E35" s="9" t="s">
        <v>89</v>
      </c>
      <c r="F35" s="5">
        <f t="shared" si="0"/>
        <v>1047.125</v>
      </c>
      <c r="G35" s="1"/>
    </row>
    <row r="36" spans="1:7">
      <c r="A36" s="4" t="s">
        <v>38</v>
      </c>
      <c r="B36" s="5">
        <f>12900*85/2000</f>
        <v>548.25</v>
      </c>
      <c r="C36" s="5">
        <f>4800*80/2000</f>
        <v>192</v>
      </c>
      <c r="D36" s="5">
        <f>4250*80/2000</f>
        <v>170</v>
      </c>
      <c r="E36" s="9" t="s">
        <v>89</v>
      </c>
      <c r="F36" s="5">
        <f t="shared" si="0"/>
        <v>910.25</v>
      </c>
      <c r="G36" s="1"/>
    </row>
    <row r="37" spans="1:7">
      <c r="A37" s="4" t="s">
        <v>39</v>
      </c>
      <c r="B37" s="5">
        <f>10800*85/2000</f>
        <v>459</v>
      </c>
      <c r="C37" s="5">
        <f>3800*80/2000</f>
        <v>152</v>
      </c>
      <c r="D37" s="5">
        <f>4800*80/2000</f>
        <v>192</v>
      </c>
      <c r="E37" s="9" t="s">
        <v>89</v>
      </c>
      <c r="F37" s="5">
        <f t="shared" si="0"/>
        <v>803</v>
      </c>
      <c r="G37" s="1"/>
    </row>
    <row r="38" spans="1:7">
      <c r="A38" s="4" t="s">
        <v>40</v>
      </c>
      <c r="B38" s="5">
        <f>7760*85/2000</f>
        <v>329.8</v>
      </c>
      <c r="C38" s="5">
        <f>4400*80/2000</f>
        <v>176</v>
      </c>
      <c r="D38" s="5">
        <f>4800*80/2000</f>
        <v>192</v>
      </c>
      <c r="E38" s="9" t="s">
        <v>89</v>
      </c>
      <c r="F38" s="5">
        <f t="shared" si="0"/>
        <v>697.8</v>
      </c>
      <c r="G38" s="1"/>
    </row>
    <row r="39" spans="1:7">
      <c r="A39" s="4" t="s">
        <v>41</v>
      </c>
      <c r="B39" s="5">
        <f>3880*85/2000</f>
        <v>164.9</v>
      </c>
      <c r="C39" s="5">
        <f>3800*80/2000</f>
        <v>152</v>
      </c>
      <c r="D39" s="5">
        <f>4800*80/2000</f>
        <v>192</v>
      </c>
      <c r="E39" s="9" t="s">
        <v>89</v>
      </c>
      <c r="F39" s="5">
        <f t="shared" si="0"/>
        <v>508.9</v>
      </c>
      <c r="G39" s="1"/>
    </row>
    <row r="40" spans="1:7">
      <c r="A40" s="4" t="s">
        <v>42</v>
      </c>
      <c r="B40" s="5">
        <f>4510*85/2000</f>
        <v>191.67500000000001</v>
      </c>
      <c r="C40" s="5">
        <f>4200*80/2000</f>
        <v>168</v>
      </c>
      <c r="D40" s="5">
        <f>6100*80/2000</f>
        <v>244</v>
      </c>
      <c r="E40" s="9" t="s">
        <v>89</v>
      </c>
      <c r="F40" s="5">
        <f>SUM(B40:D40)</f>
        <v>603.67499999999995</v>
      </c>
      <c r="G40" s="1"/>
    </row>
    <row r="41" spans="1:7">
      <c r="A41" s="10" t="s">
        <v>43</v>
      </c>
      <c r="B41" s="11">
        <f>4850*85/2000</f>
        <v>206.125</v>
      </c>
      <c r="C41" s="11">
        <f>3800*80/2000</f>
        <v>152</v>
      </c>
      <c r="D41" s="11">
        <f>4400*80/2000</f>
        <v>176</v>
      </c>
      <c r="E41" s="12" t="e">
        <v>#N/A</v>
      </c>
      <c r="F41" s="11">
        <f>SUM(B41:D41)</f>
        <v>534.125</v>
      </c>
      <c r="G41" s="1"/>
    </row>
  </sheetData>
  <phoneticPr fontId="1" type="noConversion"/>
  <pageMargins left="0.66700000000000004" right="0.66700000000000004" top="0.66700000000000004" bottom="0.72" header="0" footer="0"/>
  <pageSetup firstPageNumber="72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B082-F4F3-1549-B154-7F94F0CB2347}">
  <dimension ref="A1:D41"/>
  <sheetViews>
    <sheetView view="pageBreakPreview" zoomScale="60" zoomScaleNormal="25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baseColWidth="10" defaultRowHeight="12"/>
  <cols>
    <col min="1" max="1" width="11.59765625" bestFit="1" customWidth="1"/>
    <col min="2" max="2" width="10" bestFit="1" customWidth="1"/>
    <col min="3" max="3" width="9" bestFit="1" customWidth="1"/>
    <col min="4" max="4" width="14" bestFit="1" customWidth="1"/>
  </cols>
  <sheetData>
    <row r="1" spans="1:4">
      <c r="A1" s="13" t="s">
        <v>91</v>
      </c>
      <c r="B1" s="14" t="s">
        <v>1</v>
      </c>
      <c r="C1" s="15" t="s">
        <v>3</v>
      </c>
      <c r="D1" s="15" t="s">
        <v>44</v>
      </c>
    </row>
    <row r="2" spans="1:4">
      <c r="A2" s="16" t="s">
        <v>45</v>
      </c>
      <c r="B2" s="5">
        <v>923</v>
      </c>
      <c r="C2" s="5">
        <v>266</v>
      </c>
      <c r="D2" s="5">
        <v>1189</v>
      </c>
    </row>
    <row r="3" spans="1:4">
      <c r="A3" s="16" t="s">
        <v>46</v>
      </c>
      <c r="B3" s="5">
        <v>703</v>
      </c>
      <c r="C3" s="5">
        <v>239</v>
      </c>
      <c r="D3" s="5">
        <v>942</v>
      </c>
    </row>
    <row r="4" spans="1:4">
      <c r="A4" s="16" t="s">
        <v>47</v>
      </c>
      <c r="B4" s="5">
        <v>771</v>
      </c>
      <c r="C4" s="5">
        <v>179</v>
      </c>
      <c r="D4" s="5">
        <v>950</v>
      </c>
    </row>
    <row r="5" spans="1:4">
      <c r="A5" s="16" t="s">
        <v>48</v>
      </c>
      <c r="B5" s="5">
        <v>656</v>
      </c>
      <c r="C5" s="5">
        <v>133</v>
      </c>
      <c r="D5" s="5">
        <v>789</v>
      </c>
    </row>
    <row r="6" spans="1:4">
      <c r="A6" s="16" t="s">
        <v>49</v>
      </c>
      <c r="B6" s="5">
        <v>752</v>
      </c>
      <c r="C6" s="5">
        <v>215</v>
      </c>
      <c r="D6" s="5">
        <v>967</v>
      </c>
    </row>
    <row r="7" spans="1:4">
      <c r="A7" s="16" t="s">
        <v>50</v>
      </c>
      <c r="B7" s="5">
        <v>574</v>
      </c>
      <c r="C7" s="5">
        <v>118</v>
      </c>
      <c r="D7" s="5">
        <v>692</v>
      </c>
    </row>
    <row r="8" spans="1:4">
      <c r="A8" s="16" t="s">
        <v>51</v>
      </c>
      <c r="B8" s="5">
        <v>817</v>
      </c>
      <c r="C8" s="5">
        <v>270</v>
      </c>
      <c r="D8" s="5">
        <v>1087</v>
      </c>
    </row>
    <row r="9" spans="1:4">
      <c r="A9" s="16" t="s">
        <v>52</v>
      </c>
      <c r="B9" s="5">
        <v>646</v>
      </c>
      <c r="C9" s="5">
        <v>139</v>
      </c>
      <c r="D9" s="5">
        <v>785</v>
      </c>
    </row>
    <row r="10" spans="1:4">
      <c r="A10" s="16" t="s">
        <v>53</v>
      </c>
      <c r="B10" s="5">
        <v>616</v>
      </c>
      <c r="C10" s="5">
        <v>144</v>
      </c>
      <c r="D10" s="5">
        <v>760</v>
      </c>
    </row>
    <row r="11" spans="1:4">
      <c r="A11" s="16" t="s">
        <v>54</v>
      </c>
      <c r="B11" s="5">
        <v>600</v>
      </c>
      <c r="C11" s="5">
        <v>106</v>
      </c>
      <c r="D11" s="5">
        <v>706</v>
      </c>
    </row>
    <row r="12" spans="1:4">
      <c r="A12" s="16" t="s">
        <v>55</v>
      </c>
      <c r="B12" s="5">
        <v>563</v>
      </c>
      <c r="C12" s="5">
        <v>156</v>
      </c>
      <c r="D12" s="5">
        <v>719</v>
      </c>
    </row>
    <row r="13" spans="1:4">
      <c r="A13" s="16" t="s">
        <v>56</v>
      </c>
      <c r="B13" s="5">
        <v>574</v>
      </c>
      <c r="C13" s="5">
        <v>194</v>
      </c>
      <c r="D13" s="5">
        <v>766</v>
      </c>
    </row>
    <row r="14" spans="1:4">
      <c r="A14" s="16" t="s">
        <v>57</v>
      </c>
      <c r="B14" s="5">
        <v>775</v>
      </c>
      <c r="C14" s="5">
        <v>167</v>
      </c>
      <c r="D14" s="5">
        <v>942</v>
      </c>
    </row>
    <row r="15" spans="1:4">
      <c r="A15" s="16" t="s">
        <v>58</v>
      </c>
      <c r="B15" s="5">
        <v>787</v>
      </c>
      <c r="C15" s="5">
        <v>198</v>
      </c>
      <c r="D15" s="5">
        <v>984</v>
      </c>
    </row>
    <row r="16" spans="1:4">
      <c r="A16" s="16" t="s">
        <v>59</v>
      </c>
      <c r="B16" s="5">
        <v>760</v>
      </c>
      <c r="C16" s="5">
        <v>137</v>
      </c>
      <c r="D16" s="5">
        <v>897</v>
      </c>
    </row>
    <row r="17" spans="1:4">
      <c r="A17" s="16" t="s">
        <v>60</v>
      </c>
      <c r="B17" s="5">
        <v>798</v>
      </c>
      <c r="C17" s="5">
        <v>194</v>
      </c>
      <c r="D17" s="5">
        <v>992</v>
      </c>
    </row>
    <row r="18" spans="1:4">
      <c r="A18" s="16" t="s">
        <v>61</v>
      </c>
      <c r="B18" s="5">
        <v>859</v>
      </c>
      <c r="C18" s="5">
        <v>103</v>
      </c>
      <c r="D18" s="5">
        <v>962</v>
      </c>
    </row>
    <row r="19" spans="1:4">
      <c r="A19" s="16" t="s">
        <v>62</v>
      </c>
      <c r="B19" s="5">
        <v>798</v>
      </c>
      <c r="C19" s="5">
        <v>99</v>
      </c>
      <c r="D19" s="5">
        <v>897</v>
      </c>
    </row>
    <row r="20" spans="1:4">
      <c r="A20" s="16" t="s">
        <v>63</v>
      </c>
      <c r="B20" s="5">
        <v>616</v>
      </c>
      <c r="C20" s="5">
        <v>131</v>
      </c>
      <c r="D20" s="5">
        <v>747</v>
      </c>
    </row>
    <row r="21" spans="1:4">
      <c r="A21" s="16" t="s">
        <v>64</v>
      </c>
      <c r="B21" s="5">
        <v>722</v>
      </c>
      <c r="C21" s="5">
        <v>118</v>
      </c>
      <c r="D21" s="5">
        <v>840</v>
      </c>
    </row>
    <row r="22" spans="1:4">
      <c r="A22" s="16" t="s">
        <v>65</v>
      </c>
      <c r="B22" s="5">
        <v>859</v>
      </c>
      <c r="C22" s="5">
        <v>137</v>
      </c>
      <c r="D22" s="5">
        <v>996</v>
      </c>
    </row>
    <row r="23" spans="1:4">
      <c r="A23" s="16" t="s">
        <v>66</v>
      </c>
      <c r="B23" s="5">
        <v>695</v>
      </c>
      <c r="C23" s="5">
        <v>106</v>
      </c>
      <c r="D23" s="5">
        <v>801</v>
      </c>
    </row>
    <row r="24" spans="1:4">
      <c r="A24" s="16" t="s">
        <v>67</v>
      </c>
      <c r="B24" s="5">
        <v>912</v>
      </c>
      <c r="C24" s="5">
        <v>114</v>
      </c>
      <c r="D24" s="5">
        <v>1026</v>
      </c>
    </row>
    <row r="25" spans="1:4">
      <c r="A25" s="16" t="s">
        <v>68</v>
      </c>
      <c r="B25" s="5">
        <v>684</v>
      </c>
      <c r="C25" s="5">
        <v>114</v>
      </c>
      <c r="D25" s="5">
        <v>798</v>
      </c>
    </row>
    <row r="26" spans="1:4">
      <c r="A26" s="16" t="s">
        <v>69</v>
      </c>
      <c r="B26" s="5">
        <v>779</v>
      </c>
      <c r="C26" s="5">
        <v>91</v>
      </c>
      <c r="D26" s="5">
        <v>870</v>
      </c>
    </row>
    <row r="27" spans="1:4">
      <c r="A27" s="16" t="s">
        <v>70</v>
      </c>
      <c r="B27" s="5">
        <v>836</v>
      </c>
      <c r="C27" s="5">
        <v>144</v>
      </c>
      <c r="D27" s="5">
        <v>980</v>
      </c>
    </row>
    <row r="28" spans="1:4">
      <c r="A28" s="16" t="s">
        <v>71</v>
      </c>
      <c r="B28" s="5">
        <v>703</v>
      </c>
      <c r="C28" s="5">
        <v>95</v>
      </c>
      <c r="D28" s="5">
        <v>798</v>
      </c>
    </row>
    <row r="29" spans="1:4">
      <c r="A29" s="16" t="s">
        <v>72</v>
      </c>
      <c r="B29" s="5">
        <v>562</v>
      </c>
      <c r="C29" s="5">
        <v>57</v>
      </c>
      <c r="D29" s="5">
        <v>619</v>
      </c>
    </row>
    <row r="30" spans="1:4">
      <c r="A30" s="16" t="s">
        <v>73</v>
      </c>
      <c r="B30" s="5">
        <v>798</v>
      </c>
      <c r="C30" s="5">
        <v>114</v>
      </c>
      <c r="D30" s="5">
        <v>912</v>
      </c>
    </row>
    <row r="31" spans="1:4">
      <c r="A31" s="16" t="s">
        <v>74</v>
      </c>
      <c r="B31" s="5">
        <v>798</v>
      </c>
      <c r="C31" s="5">
        <v>84</v>
      </c>
      <c r="D31" s="5">
        <v>882</v>
      </c>
    </row>
    <row r="32" spans="1:4">
      <c r="A32" s="16" t="s">
        <v>75</v>
      </c>
      <c r="B32" s="5">
        <v>820</v>
      </c>
      <c r="C32" s="5">
        <v>100</v>
      </c>
      <c r="D32" s="5">
        <v>920</v>
      </c>
    </row>
    <row r="33" spans="1:4">
      <c r="A33" s="16" t="s">
        <v>76</v>
      </c>
      <c r="B33" s="5">
        <v>820</v>
      </c>
      <c r="C33" s="5">
        <v>30</v>
      </c>
      <c r="D33" s="5">
        <v>850</v>
      </c>
    </row>
    <row r="34" spans="1:4">
      <c r="A34" s="16" t="s">
        <v>77</v>
      </c>
      <c r="B34" s="5">
        <v>840</v>
      </c>
      <c r="C34" s="5">
        <v>72</v>
      </c>
      <c r="D34" s="5">
        <v>912</v>
      </c>
    </row>
    <row r="35" spans="1:4">
      <c r="A35" s="16" t="s">
        <v>78</v>
      </c>
      <c r="B35" s="5">
        <v>752</v>
      </c>
      <c r="C35" s="5">
        <v>72</v>
      </c>
      <c r="D35" s="5">
        <v>824</v>
      </c>
    </row>
    <row r="36" spans="1:4">
      <c r="A36" s="16" t="s">
        <v>79</v>
      </c>
      <c r="B36" s="5">
        <v>824</v>
      </c>
      <c r="C36" s="5">
        <v>80</v>
      </c>
      <c r="D36" s="5">
        <v>904</v>
      </c>
    </row>
    <row r="37" spans="1:4">
      <c r="A37" s="16" t="s">
        <v>80</v>
      </c>
      <c r="B37" s="5">
        <v>840</v>
      </c>
      <c r="C37" s="5">
        <v>64</v>
      </c>
      <c r="D37" s="5">
        <v>904</v>
      </c>
    </row>
    <row r="38" spans="1:4">
      <c r="A38" s="16" t="s">
        <v>81</v>
      </c>
      <c r="B38" s="5">
        <v>820</v>
      </c>
      <c r="C38" s="5">
        <v>62</v>
      </c>
      <c r="D38" s="5">
        <v>882</v>
      </c>
    </row>
    <row r="39" spans="1:4">
      <c r="A39" s="16" t="s">
        <v>82</v>
      </c>
      <c r="B39" s="5">
        <v>848</v>
      </c>
      <c r="C39" s="5">
        <v>40</v>
      </c>
      <c r="D39" s="5">
        <v>888</v>
      </c>
    </row>
    <row r="40" spans="1:4">
      <c r="A40" s="16" t="s">
        <v>83</v>
      </c>
      <c r="B40" s="5">
        <v>948</v>
      </c>
      <c r="C40" s="5">
        <v>54</v>
      </c>
      <c r="D40" s="5">
        <v>1002</v>
      </c>
    </row>
    <row r="41" spans="1:4">
      <c r="A41" s="17" t="s">
        <v>84</v>
      </c>
      <c r="B41" s="11">
        <v>1028</v>
      </c>
      <c r="C41" s="11">
        <v>72</v>
      </c>
      <c r="D41" s="11">
        <v>1100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4C89-40A6-4E47-95B5-39EFC75BF740}">
  <dimension ref="A1:F41"/>
  <sheetViews>
    <sheetView tabSelected="1" view="pageBreakPreview" zoomScale="60" zoomScaleNormal="20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8" sqref="H28"/>
    </sheetView>
  </sheetViews>
  <sheetFormatPr baseColWidth="10" defaultRowHeight="12"/>
  <cols>
    <col min="2" max="2" width="10.59765625" bestFit="1" customWidth="1"/>
    <col min="3" max="3" width="10" bestFit="1" customWidth="1"/>
    <col min="4" max="5" width="8.59765625" bestFit="1" customWidth="1"/>
    <col min="6" max="6" width="13.59765625" bestFit="1" customWidth="1"/>
  </cols>
  <sheetData>
    <row r="1" spans="1:6">
      <c r="A1" s="13" t="s">
        <v>91</v>
      </c>
      <c r="B1" s="3" t="s">
        <v>0</v>
      </c>
      <c r="C1" s="3" t="s">
        <v>1</v>
      </c>
      <c r="D1" s="3" t="s">
        <v>2</v>
      </c>
      <c r="E1" s="3" t="s">
        <v>3</v>
      </c>
      <c r="F1" s="18" t="s">
        <v>85</v>
      </c>
    </row>
    <row r="2" spans="1:6">
      <c r="A2" s="16" t="s">
        <v>4</v>
      </c>
      <c r="B2" s="5">
        <v>7758</v>
      </c>
      <c r="C2" s="5">
        <v>2446.875</v>
      </c>
      <c r="D2" s="5">
        <v>184.02500000000001</v>
      </c>
      <c r="E2" s="5">
        <v>97.5</v>
      </c>
      <c r="F2" s="5">
        <v>10487</v>
      </c>
    </row>
    <row r="3" spans="1:6">
      <c r="A3" s="16" t="s">
        <v>5</v>
      </c>
      <c r="B3" s="5">
        <v>5661</v>
      </c>
      <c r="C3" s="5">
        <v>1572</v>
      </c>
      <c r="D3" s="5">
        <v>252.45</v>
      </c>
      <c r="E3" s="5">
        <v>115</v>
      </c>
      <c r="F3" s="5">
        <v>7600.45</v>
      </c>
    </row>
    <row r="4" spans="1:6">
      <c r="A4" s="16" t="s">
        <v>6</v>
      </c>
      <c r="B4" s="5">
        <v>6282</v>
      </c>
      <c r="C4" s="5">
        <v>2853.75</v>
      </c>
      <c r="D4" s="5">
        <v>241.4</v>
      </c>
      <c r="E4" s="5">
        <v>142</v>
      </c>
      <c r="F4" s="5">
        <v>9519.15</v>
      </c>
    </row>
    <row r="5" spans="1:6">
      <c r="A5" s="16" t="s">
        <v>7</v>
      </c>
      <c r="B5" s="5">
        <v>5252</v>
      </c>
      <c r="C5" s="5">
        <v>1819</v>
      </c>
      <c r="D5" s="5">
        <v>107</v>
      </c>
      <c r="E5" s="5">
        <v>65</v>
      </c>
      <c r="F5" s="5">
        <v>7243</v>
      </c>
    </row>
    <row r="6" spans="1:6">
      <c r="A6" s="16" t="s">
        <v>8</v>
      </c>
      <c r="B6" s="5">
        <v>4675.5</v>
      </c>
      <c r="C6" s="5">
        <v>1966</v>
      </c>
      <c r="D6" s="5" t="e">
        <v>#N/A</v>
      </c>
      <c r="E6" s="5">
        <v>77</v>
      </c>
      <c r="F6" s="5">
        <v>6718.5</v>
      </c>
    </row>
    <row r="7" spans="1:6">
      <c r="A7" s="16" t="s">
        <v>9</v>
      </c>
      <c r="B7" s="5">
        <v>5364</v>
      </c>
      <c r="C7" s="5">
        <v>2022</v>
      </c>
      <c r="D7" s="5">
        <v>14</v>
      </c>
      <c r="E7" s="5">
        <v>76</v>
      </c>
      <c r="F7" s="5">
        <v>7476</v>
      </c>
    </row>
    <row r="8" spans="1:6">
      <c r="A8" s="16" t="s">
        <v>10</v>
      </c>
      <c r="B8" s="5">
        <v>5387</v>
      </c>
      <c r="C8" s="5">
        <v>2172</v>
      </c>
      <c r="D8" s="5">
        <v>37</v>
      </c>
      <c r="E8" s="5">
        <v>101</v>
      </c>
      <c r="F8" s="5">
        <v>7697</v>
      </c>
    </row>
    <row r="9" spans="1:6">
      <c r="A9" s="16" t="s">
        <v>86</v>
      </c>
      <c r="B9" s="5">
        <v>6210</v>
      </c>
      <c r="C9" s="5">
        <v>2212</v>
      </c>
      <c r="D9" s="5">
        <v>60.774999999999999</v>
      </c>
      <c r="E9" s="5">
        <v>67.875</v>
      </c>
      <c r="F9" s="5">
        <v>8550.65</v>
      </c>
    </row>
    <row r="10" spans="1:6">
      <c r="A10" s="16" t="s">
        <v>12</v>
      </c>
      <c r="B10" s="5">
        <v>6597</v>
      </c>
      <c r="C10" s="5">
        <v>2209</v>
      </c>
      <c r="D10" s="5">
        <v>79</v>
      </c>
      <c r="E10" s="5">
        <v>64</v>
      </c>
      <c r="F10" s="5">
        <v>8949</v>
      </c>
    </row>
    <row r="11" spans="1:6">
      <c r="A11" s="16" t="s">
        <v>87</v>
      </c>
      <c r="B11" s="5">
        <v>4958</v>
      </c>
      <c r="C11" s="5">
        <v>2677</v>
      </c>
      <c r="D11" s="5">
        <v>51</v>
      </c>
      <c r="E11" s="5">
        <v>59</v>
      </c>
      <c r="F11" s="5">
        <v>7745</v>
      </c>
    </row>
    <row r="12" spans="1:6">
      <c r="A12" s="16" t="s">
        <v>88</v>
      </c>
      <c r="B12" s="5">
        <v>6822</v>
      </c>
      <c r="C12" s="5">
        <v>961</v>
      </c>
      <c r="D12" s="5" t="e">
        <v>#N/A</v>
      </c>
      <c r="E12" s="5">
        <v>65</v>
      </c>
      <c r="F12" s="5">
        <v>7848</v>
      </c>
    </row>
    <row r="13" spans="1:6">
      <c r="A13" s="16" t="s">
        <v>15</v>
      </c>
      <c r="B13" s="5">
        <f>139800*90/2000</f>
        <v>6291</v>
      </c>
      <c r="C13" s="5">
        <f>67400*75/2000</f>
        <v>2527.5</v>
      </c>
      <c r="D13" s="5">
        <f>30*85/2000</f>
        <v>1.2749999999999999</v>
      </c>
      <c r="E13" s="5">
        <f>2380*75/2000</f>
        <v>89.25</v>
      </c>
      <c r="F13" s="5">
        <v>8909.0249999999996</v>
      </c>
    </row>
    <row r="14" spans="1:6">
      <c r="A14" s="16" t="s">
        <v>16</v>
      </c>
      <c r="B14" s="5">
        <f>186600*90/2000</f>
        <v>8397</v>
      </c>
      <c r="C14" s="5">
        <f>66800*75/2000</f>
        <v>2505</v>
      </c>
      <c r="D14" s="5">
        <f>510*85/2000</f>
        <v>21.675000000000001</v>
      </c>
      <c r="E14" s="5">
        <f>1850*75/2000</f>
        <v>69.375</v>
      </c>
      <c r="F14" s="5">
        <v>10992</v>
      </c>
    </row>
    <row r="15" spans="1:6">
      <c r="A15" s="16" t="s">
        <v>17</v>
      </c>
      <c r="B15" s="5">
        <f>174400*90/2000</f>
        <v>7848</v>
      </c>
      <c r="C15" s="5">
        <f>63600*75/2000</f>
        <v>2385</v>
      </c>
      <c r="D15" s="5">
        <f>550*85/2000</f>
        <v>23.375</v>
      </c>
      <c r="E15" s="5">
        <f>1900*75/2000</f>
        <v>71.25</v>
      </c>
      <c r="F15" s="5">
        <v>10329</v>
      </c>
    </row>
    <row r="16" spans="1:6">
      <c r="A16" s="16" t="s">
        <v>18</v>
      </c>
      <c r="B16" s="5">
        <f>205500*90/2000</f>
        <v>9247.5</v>
      </c>
      <c r="C16" s="5">
        <f>56000*75/2000</f>
        <v>2100</v>
      </c>
      <c r="D16" s="5">
        <f>1055*85/2000</f>
        <v>44.837499999999999</v>
      </c>
      <c r="E16" s="5">
        <f>1050*75/2000</f>
        <v>39.375</v>
      </c>
      <c r="F16" s="5">
        <v>11432</v>
      </c>
    </row>
    <row r="17" spans="1:6">
      <c r="A17" s="16" t="s">
        <v>19</v>
      </c>
      <c r="B17" s="5">
        <f>203300*90/2000</f>
        <v>9148.5</v>
      </c>
      <c r="C17" s="5">
        <f>58000*75/2000</f>
        <v>2175</v>
      </c>
      <c r="D17" s="5">
        <f>940*85/2000</f>
        <v>39.950000000000003</v>
      </c>
      <c r="E17" s="5">
        <f>1650*75/2000</f>
        <v>61.875</v>
      </c>
      <c r="F17" s="5">
        <v>11426</v>
      </c>
    </row>
    <row r="18" spans="1:6">
      <c r="A18" s="19" t="s">
        <v>20</v>
      </c>
      <c r="B18" s="5">
        <f>226200*90/2000</f>
        <v>10179</v>
      </c>
      <c r="C18" s="5">
        <f>64000*75/2000</f>
        <v>2400</v>
      </c>
      <c r="D18" s="5">
        <f>1420*85/2000</f>
        <v>60.35</v>
      </c>
      <c r="E18" s="5">
        <f>1400*75/2000</f>
        <v>52.5</v>
      </c>
      <c r="F18" s="5">
        <v>12692</v>
      </c>
    </row>
    <row r="19" spans="1:6">
      <c r="A19" s="19" t="s">
        <v>21</v>
      </c>
      <c r="B19" s="5">
        <f>244000*90/2000</f>
        <v>10980</v>
      </c>
      <c r="C19" s="5">
        <f>69000*75/2000</f>
        <v>2587.5</v>
      </c>
      <c r="D19" s="5">
        <f>1525*85/2000</f>
        <v>64.8125</v>
      </c>
      <c r="E19" s="5">
        <f>1000*75/2000</f>
        <v>37.5</v>
      </c>
      <c r="F19" s="5">
        <v>13670</v>
      </c>
    </row>
    <row r="20" spans="1:6">
      <c r="A20" s="19" t="s">
        <v>22</v>
      </c>
      <c r="B20" s="5">
        <f>186000*90/2000</f>
        <v>8370</v>
      </c>
      <c r="C20" s="5">
        <f>36000*75/2000</f>
        <v>1350</v>
      </c>
      <c r="D20" s="5">
        <f>1430*85/2000</f>
        <v>60.774999999999999</v>
      </c>
      <c r="E20" s="5">
        <f>1150*75/2000</f>
        <v>43.125</v>
      </c>
      <c r="F20" s="5">
        <v>9824</v>
      </c>
    </row>
    <row r="21" spans="1:6">
      <c r="A21" s="19" t="s">
        <v>23</v>
      </c>
      <c r="B21" s="5">
        <f>233000*90/2000</f>
        <v>10485</v>
      </c>
      <c r="C21" s="5">
        <f>64000*75/2000</f>
        <v>2400</v>
      </c>
      <c r="D21" s="5">
        <f>1660*85/2000</f>
        <v>70.55</v>
      </c>
      <c r="E21" s="5">
        <f>1100*75/2000</f>
        <v>41.25</v>
      </c>
      <c r="F21" s="5">
        <v>12997</v>
      </c>
    </row>
    <row r="22" spans="1:6">
      <c r="A22" s="19" t="s">
        <v>24</v>
      </c>
      <c r="B22" s="5">
        <f>223300*90/2000</f>
        <v>10048.5</v>
      </c>
      <c r="C22" s="5">
        <f>54500*75/2000</f>
        <v>2043.75</v>
      </c>
      <c r="D22" s="5">
        <f>2235*85/2000</f>
        <v>94.987499999999997</v>
      </c>
      <c r="E22" s="5">
        <f>900*75/2000</f>
        <v>33.75</v>
      </c>
      <c r="F22" s="5">
        <v>12221</v>
      </c>
    </row>
    <row r="23" spans="1:6">
      <c r="A23" s="19" t="s">
        <v>25</v>
      </c>
      <c r="B23" s="5">
        <f>230000*90/2000</f>
        <v>10350</v>
      </c>
      <c r="C23" s="5">
        <f>51500*75/2000</f>
        <v>1931.25</v>
      </c>
      <c r="D23" s="5">
        <f>1740*85/2000</f>
        <v>73.95</v>
      </c>
      <c r="E23" s="5">
        <f>520*85/2000</f>
        <v>22.1</v>
      </c>
      <c r="F23" s="5">
        <v>12374</v>
      </c>
    </row>
    <row r="24" spans="1:6">
      <c r="A24" s="19" t="s">
        <v>26</v>
      </c>
      <c r="B24" s="5">
        <f>203000*90/2000</f>
        <v>9135</v>
      </c>
      <c r="C24" s="5">
        <f>62000*75/2000</f>
        <v>2325</v>
      </c>
      <c r="D24" s="5">
        <f>1570*85/2000</f>
        <v>66.724999999999994</v>
      </c>
      <c r="E24" s="5">
        <f>470*75/2000</f>
        <v>17.625</v>
      </c>
      <c r="F24" s="5">
        <v>11545</v>
      </c>
    </row>
    <row r="25" spans="1:6">
      <c r="A25" s="16" t="s">
        <v>27</v>
      </c>
      <c r="B25" s="5">
        <f>242000*90/2000</f>
        <v>10890</v>
      </c>
      <c r="C25" s="5">
        <f>50500*75/2000</f>
        <v>1893.75</v>
      </c>
      <c r="D25" s="5">
        <f>1650*85/2000</f>
        <v>70.125</v>
      </c>
      <c r="E25" s="5">
        <f>470*75/2000</f>
        <v>17.625</v>
      </c>
      <c r="F25" s="5">
        <v>12872</v>
      </c>
    </row>
    <row r="26" spans="1:6">
      <c r="A26" s="16" t="s">
        <v>28</v>
      </c>
      <c r="B26" s="5">
        <f>149800*90/2000</f>
        <v>6741</v>
      </c>
      <c r="C26" s="5">
        <f>64500*75/2000</f>
        <v>2418.75</v>
      </c>
      <c r="D26" s="5">
        <f>1770*85/2000</f>
        <v>75.224999999999994</v>
      </c>
      <c r="E26" s="5">
        <f>430*75/2000</f>
        <v>16.125</v>
      </c>
      <c r="F26" s="5">
        <v>9251</v>
      </c>
    </row>
    <row r="27" spans="1:6">
      <c r="A27" s="16" t="s">
        <v>29</v>
      </c>
      <c r="B27" s="5">
        <f>147700*90/2000</f>
        <v>6646.5</v>
      </c>
      <c r="C27" s="5">
        <f>61000*75/2000</f>
        <v>2287.5</v>
      </c>
      <c r="D27" s="5">
        <f>1600*85/2000</f>
        <v>68</v>
      </c>
      <c r="E27" s="5">
        <f>450*75/2000</f>
        <v>16.875</v>
      </c>
      <c r="F27" s="5">
        <v>9020</v>
      </c>
    </row>
    <row r="28" spans="1:6">
      <c r="A28" s="16" t="s">
        <v>30</v>
      </c>
      <c r="B28" s="5">
        <f>129000*90/2000</f>
        <v>5805</v>
      </c>
      <c r="C28" s="5">
        <f>46000*75/2000</f>
        <v>1725</v>
      </c>
      <c r="D28" s="5">
        <f>1980*85/2000</f>
        <v>84.15</v>
      </c>
      <c r="E28" s="5">
        <f>300*75/2000</f>
        <v>11.25</v>
      </c>
      <c r="F28" s="5">
        <v>7625</v>
      </c>
    </row>
    <row r="29" spans="1:6">
      <c r="A29" s="16" t="s">
        <v>31</v>
      </c>
      <c r="B29" s="5">
        <f>170200*90/2000</f>
        <v>7659</v>
      </c>
      <c r="C29" s="5">
        <f>62000*75/2000</f>
        <v>2325</v>
      </c>
      <c r="D29" s="5">
        <f>1796*85/2000</f>
        <v>76.33</v>
      </c>
      <c r="E29" s="5">
        <f>380*75/2000</f>
        <v>14.25</v>
      </c>
      <c r="F29" s="5">
        <f t="shared" ref="F29:F32" si="0">SUM(B29:D29)</f>
        <v>10060.33</v>
      </c>
    </row>
    <row r="30" spans="1:6">
      <c r="A30" s="16" t="s">
        <v>32</v>
      </c>
      <c r="B30" s="5">
        <f>162500*90/2000</f>
        <v>7312.5</v>
      </c>
      <c r="C30" s="5">
        <f>46500*75/2000</f>
        <v>1743.75</v>
      </c>
      <c r="D30" s="5">
        <f>1459*85/2000</f>
        <v>62.0075</v>
      </c>
      <c r="E30" s="5">
        <f>250*75/2000</f>
        <v>9.375</v>
      </c>
      <c r="F30" s="5">
        <f t="shared" si="0"/>
        <v>9118.2574999999997</v>
      </c>
    </row>
    <row r="31" spans="1:6">
      <c r="A31" s="16" t="s">
        <v>33</v>
      </c>
      <c r="B31" s="5">
        <f>133700*90/2000</f>
        <v>6016.5</v>
      </c>
      <c r="C31" s="5">
        <f>57500*75/2000</f>
        <v>2156.25</v>
      </c>
      <c r="D31" s="5">
        <f>1635*85/2000</f>
        <v>69.487499999999997</v>
      </c>
      <c r="E31" s="5" t="e">
        <v>#N/A</v>
      </c>
      <c r="F31" s="5">
        <f t="shared" si="0"/>
        <v>8242.2374999999993</v>
      </c>
    </row>
    <row r="32" spans="1:6">
      <c r="A32" s="16" t="s">
        <v>34</v>
      </c>
      <c r="B32" s="5">
        <f>140500*90/2000</f>
        <v>6322.5</v>
      </c>
      <c r="C32" s="5">
        <f>62500*80/2000</f>
        <v>2500</v>
      </c>
      <c r="D32" s="5">
        <f>1949*85/2000</f>
        <v>82.832499999999996</v>
      </c>
      <c r="E32" s="5" t="e">
        <v>#N/A</v>
      </c>
      <c r="F32" s="5">
        <f t="shared" si="0"/>
        <v>8905.3325000000004</v>
      </c>
    </row>
    <row r="33" spans="1:6">
      <c r="A33" s="16" t="s">
        <v>35</v>
      </c>
      <c r="B33" s="5">
        <f>146700*90/2000</f>
        <v>6601.5</v>
      </c>
      <c r="C33" s="5">
        <f>58000*80/2000</f>
        <v>2320</v>
      </c>
      <c r="D33" s="5">
        <f>1419*85/2000</f>
        <v>60.307499999999997</v>
      </c>
      <c r="E33" s="5" t="e">
        <v>#N/A</v>
      </c>
      <c r="F33" s="5">
        <f>SUM(B33:D33)</f>
        <v>8981.8075000000008</v>
      </c>
    </row>
    <row r="34" spans="1:6">
      <c r="A34" s="16" t="s">
        <v>36</v>
      </c>
      <c r="B34" s="5">
        <f>133600*90/2000</f>
        <v>6012</v>
      </c>
      <c r="C34" s="5">
        <f>54500*80/2000</f>
        <v>2180</v>
      </c>
      <c r="D34" s="5">
        <f>1793*85/2000</f>
        <v>76.202500000000001</v>
      </c>
      <c r="E34" s="5" t="e">
        <v>#N/A</v>
      </c>
      <c r="F34" s="5">
        <f t="shared" ref="F34" si="1">SUM(B34:D34)</f>
        <v>8268.2024999999994</v>
      </c>
    </row>
    <row r="35" spans="1:6">
      <c r="A35" s="16" t="s">
        <v>37</v>
      </c>
      <c r="B35" s="5">
        <f>104700*90/2000</f>
        <v>4711.5</v>
      </c>
      <c r="C35" s="5">
        <f>49500*80/2000</f>
        <v>1980</v>
      </c>
      <c r="D35" s="5">
        <f>1777*85/2000</f>
        <v>75.522499999999994</v>
      </c>
      <c r="E35" s="5" t="e">
        <v>#N/A</v>
      </c>
      <c r="F35" s="5">
        <v>6768</v>
      </c>
    </row>
    <row r="36" spans="1:6">
      <c r="A36" s="16" t="s">
        <v>38</v>
      </c>
      <c r="B36" s="5">
        <f>96950*90/2000</f>
        <v>4362.75</v>
      </c>
      <c r="C36" s="5">
        <f>48200*80/2000</f>
        <v>1928</v>
      </c>
      <c r="D36" s="5">
        <f>1452*85/2000</f>
        <v>61.71</v>
      </c>
      <c r="E36" s="5" t="e">
        <v>#N/A</v>
      </c>
      <c r="F36" s="5">
        <v>6353</v>
      </c>
    </row>
    <row r="37" spans="1:6">
      <c r="A37" s="16" t="s">
        <v>39</v>
      </c>
      <c r="B37" s="5">
        <f>81700*90/2000</f>
        <v>3676.5</v>
      </c>
      <c r="C37" s="5">
        <f>58500*80/2000</f>
        <v>2340</v>
      </c>
      <c r="D37" s="5">
        <f>1691*85/2000</f>
        <v>71.867500000000007</v>
      </c>
      <c r="E37" s="5" t="e">
        <v>#N/A</v>
      </c>
      <c r="F37" s="5">
        <f t="shared" ref="F37:F41" si="2">SUM(B37:D37)</f>
        <v>6088.3675000000003</v>
      </c>
    </row>
    <row r="38" spans="1:6">
      <c r="A38" s="16" t="s">
        <v>40</v>
      </c>
      <c r="B38" s="5">
        <f>68850*90/2000</f>
        <v>3098.25</v>
      </c>
      <c r="C38" s="5">
        <f>48300*80/2000</f>
        <v>1932</v>
      </c>
      <c r="D38" s="5">
        <f>1370*85/2000</f>
        <v>58.225000000000001</v>
      </c>
      <c r="E38" s="5" t="e">
        <v>#N/A</v>
      </c>
      <c r="F38" s="5">
        <f t="shared" si="2"/>
        <v>5088.4750000000004</v>
      </c>
    </row>
    <row r="39" spans="1:6">
      <c r="A39" s="16" t="s">
        <v>41</v>
      </c>
      <c r="B39" s="5">
        <f>45050*90/2000</f>
        <v>2027.25</v>
      </c>
      <c r="C39" s="5">
        <f>44200*80/2000</f>
        <v>1768</v>
      </c>
      <c r="D39" s="5">
        <f>1880*85/2000</f>
        <v>79.900000000000006</v>
      </c>
      <c r="E39" s="5" t="e">
        <v>#N/A</v>
      </c>
      <c r="F39" s="5">
        <f t="shared" si="2"/>
        <v>3875.15</v>
      </c>
    </row>
    <row r="40" spans="1:6">
      <c r="A40" s="16" t="s">
        <v>42</v>
      </c>
      <c r="B40" s="5">
        <f>71850*90/2000</f>
        <v>3233.25</v>
      </c>
      <c r="C40" s="5">
        <f>52200*80/2000</f>
        <v>2088</v>
      </c>
      <c r="D40" s="5">
        <f>2500*85/2000</f>
        <v>106.25</v>
      </c>
      <c r="E40" s="5" t="e">
        <v>#N/A</v>
      </c>
      <c r="F40" s="5">
        <f t="shared" si="2"/>
        <v>5427.5</v>
      </c>
    </row>
    <row r="41" spans="1:6">
      <c r="A41" s="17" t="s">
        <v>43</v>
      </c>
      <c r="B41" s="11">
        <f>67300*90/2000</f>
        <v>3028.5</v>
      </c>
      <c r="C41" s="11">
        <f>53300*80/2000</f>
        <v>2132</v>
      </c>
      <c r="D41" s="11">
        <f>1340*85/2000</f>
        <v>56.95</v>
      </c>
      <c r="E41" s="5" t="e">
        <v>#N/A</v>
      </c>
      <c r="F41" s="11">
        <f t="shared" si="2"/>
        <v>5217.45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Grapefruit</vt:lpstr>
      <vt:lpstr>Lemon</vt:lpstr>
      <vt:lpstr>Orange</vt:lpstr>
      <vt:lpstr>Grapefruit!Print_Area</vt:lpstr>
      <vt:lpstr>Grapefruit!Print_Area_MI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2021-05-16T07:34:19Z</dcterms:created>
  <dcterms:modified xsi:type="dcterms:W3CDTF">2021-05-22T07:31:14Z</dcterms:modified>
</cp:coreProperties>
</file>