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wenyo/Desktop/NTU/風險管理與保險/HW2/"/>
    </mc:Choice>
  </mc:AlternateContent>
  <xr:revisionPtr revIDLastSave="0" documentId="13_ncr:1_{644CF185-1207-394F-B36C-BE6F2989640D}" xr6:coauthVersionLast="47" xr6:coauthVersionMax="47" xr10:uidLastSave="{00000000-0000-0000-0000-000000000000}"/>
  <bookViews>
    <workbookView xWindow="0" yWindow="500" windowWidth="28800" windowHeight="15920" xr2:uid="{F41B74B8-9499-8642-B5EE-94B40FA7468C}"/>
  </bookViews>
  <sheets>
    <sheet name="Grapefruit" sheetId="1" r:id="rId1"/>
    <sheet name="Lemon" sheetId="2" r:id="rId2"/>
    <sheet name="Orange" sheetId="3" r:id="rId3"/>
  </sheets>
  <definedNames>
    <definedName name="CHART" localSheetId="0">#REF!</definedName>
    <definedName name="CHART">#REF!</definedName>
    <definedName name="_xlnm.Print_Area" localSheetId="0">Grapefruit!$A$1:$I$201</definedName>
    <definedName name="_xlnm.Print_Area">#REF!</definedName>
    <definedName name="Print_Area_MI" localSheetId="0">Grapefruit!$B$1:$I$48</definedName>
    <definedName name="PRINT_AREA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2" l="1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82" i="2"/>
  <c r="E198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9" i="3"/>
  <c r="E200" i="3"/>
  <c r="E201" i="3"/>
  <c r="E16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G1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73" i="1"/>
  <c r="G74" i="1"/>
  <c r="G75" i="1"/>
  <c r="G82" i="1"/>
  <c r="G83" i="1"/>
  <c r="G84" i="1"/>
  <c r="G85" i="1"/>
  <c r="G86" i="1"/>
  <c r="G87" i="1"/>
  <c r="G88" i="1"/>
  <c r="G89" i="1"/>
  <c r="G90" i="1"/>
  <c r="G91" i="1"/>
  <c r="G92" i="1"/>
  <c r="G113" i="1"/>
  <c r="G114" i="1"/>
  <c r="G115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I156" i="3" l="1"/>
  <c r="I160" i="3"/>
  <c r="I151" i="3"/>
  <c r="I152" i="3"/>
  <c r="I153" i="3"/>
  <c r="I154" i="3"/>
  <c r="I155" i="3"/>
  <c r="I157" i="3"/>
  <c r="I158" i="3"/>
  <c r="I159" i="3"/>
  <c r="I161" i="3"/>
  <c r="I17" i="3"/>
  <c r="I21" i="3"/>
  <c r="I33" i="3"/>
  <c r="I38" i="3"/>
  <c r="I41" i="3"/>
  <c r="I49" i="3"/>
  <c r="I53" i="3"/>
  <c r="I57" i="3"/>
  <c r="I61" i="3"/>
  <c r="I77" i="3"/>
  <c r="I85" i="3"/>
  <c r="I88" i="3"/>
  <c r="I89" i="3"/>
  <c r="I103" i="3"/>
  <c r="I104" i="3"/>
  <c r="I107" i="3"/>
  <c r="I111" i="3"/>
  <c r="I120" i="3"/>
  <c r="I122" i="3"/>
  <c r="I123" i="3"/>
  <c r="I126" i="3"/>
  <c r="I127" i="3"/>
  <c r="I136" i="3"/>
  <c r="I144" i="3"/>
  <c r="I2" i="3"/>
  <c r="I3" i="3"/>
  <c r="I4" i="3"/>
  <c r="I5" i="3"/>
  <c r="I6" i="3"/>
  <c r="I7" i="3"/>
  <c r="I8" i="3"/>
  <c r="I9" i="3"/>
  <c r="I10" i="3"/>
  <c r="I11" i="3"/>
  <c r="I12" i="3"/>
  <c r="I42" i="3"/>
  <c r="I43" i="3"/>
  <c r="I44" i="3"/>
  <c r="I45" i="3"/>
  <c r="I46" i="3"/>
  <c r="I47" i="3"/>
  <c r="I48" i="3"/>
  <c r="I50" i="3"/>
  <c r="I51" i="3"/>
  <c r="I52" i="3"/>
  <c r="I82" i="3"/>
  <c r="I83" i="3"/>
  <c r="I84" i="3"/>
  <c r="I86" i="3"/>
  <c r="I87" i="3"/>
  <c r="I90" i="3"/>
  <c r="I91" i="3"/>
  <c r="I92" i="3"/>
  <c r="I124" i="3"/>
  <c r="I125" i="3"/>
  <c r="I128" i="3"/>
  <c r="I129" i="3"/>
  <c r="I130" i="3"/>
  <c r="I131" i="3"/>
  <c r="I132" i="3"/>
  <c r="I2" i="2"/>
  <c r="F150" i="3"/>
  <c r="I150" i="3" s="1"/>
  <c r="F149" i="3"/>
  <c r="I149" i="3" s="1"/>
  <c r="F148" i="3"/>
  <c r="I148" i="3" s="1"/>
  <c r="F147" i="3"/>
  <c r="F146" i="3"/>
  <c r="I146" i="3" s="1"/>
  <c r="F145" i="3"/>
  <c r="F144" i="3"/>
  <c r="F143" i="3"/>
  <c r="I143" i="3" s="1"/>
  <c r="F142" i="3"/>
  <c r="I142" i="3" s="1"/>
  <c r="F141" i="3"/>
  <c r="I141" i="3" s="1"/>
  <c r="F140" i="3"/>
  <c r="I140" i="3" s="1"/>
  <c r="F139" i="3"/>
  <c r="F138" i="3"/>
  <c r="I138" i="3" s="1"/>
  <c r="F137" i="3"/>
  <c r="F136" i="3"/>
  <c r="F135" i="3"/>
  <c r="I135" i="3" s="1"/>
  <c r="F134" i="3"/>
  <c r="I134" i="3" s="1"/>
  <c r="F133" i="3"/>
  <c r="I133" i="3" s="1"/>
  <c r="F121" i="3"/>
  <c r="I121" i="3" s="1"/>
  <c r="F120" i="3"/>
  <c r="F119" i="3"/>
  <c r="I119" i="3" s="1"/>
  <c r="F118" i="3"/>
  <c r="I118" i="3" s="1"/>
  <c r="F117" i="3"/>
  <c r="I117" i="3" s="1"/>
  <c r="F116" i="3"/>
  <c r="I116" i="3" s="1"/>
  <c r="F115" i="3"/>
  <c r="I115" i="3" s="1"/>
  <c r="F114" i="3"/>
  <c r="I114" i="3" s="1"/>
  <c r="F113" i="3"/>
  <c r="I113" i="3" s="1"/>
  <c r="F112" i="3"/>
  <c r="I112" i="3" s="1"/>
  <c r="F111" i="3"/>
  <c r="F110" i="3"/>
  <c r="I110" i="3" s="1"/>
  <c r="F109" i="3"/>
  <c r="I109" i="3" s="1"/>
  <c r="F108" i="3"/>
  <c r="I108" i="3" s="1"/>
  <c r="F107" i="3"/>
  <c r="F106" i="3"/>
  <c r="I106" i="3" s="1"/>
  <c r="F105" i="3"/>
  <c r="I105" i="3" s="1"/>
  <c r="F104" i="3"/>
  <c r="F103" i="3"/>
  <c r="F102" i="3"/>
  <c r="I102" i="3" s="1"/>
  <c r="F101" i="3"/>
  <c r="I101" i="3" s="1"/>
  <c r="F100" i="3"/>
  <c r="I100" i="3" s="1"/>
  <c r="F99" i="3"/>
  <c r="I99" i="3" s="1"/>
  <c r="F98" i="3"/>
  <c r="I98" i="3" s="1"/>
  <c r="F97" i="3"/>
  <c r="I97" i="3" s="1"/>
  <c r="F96" i="3"/>
  <c r="I96" i="3" s="1"/>
  <c r="F95" i="3"/>
  <c r="I95" i="3" s="1"/>
  <c r="F94" i="3"/>
  <c r="I94" i="3" s="1"/>
  <c r="F93" i="3"/>
  <c r="I93" i="3" s="1"/>
  <c r="F81" i="3"/>
  <c r="I81" i="3" s="1"/>
  <c r="F80" i="3"/>
  <c r="I80" i="3" s="1"/>
  <c r="F79" i="3"/>
  <c r="I79" i="3" s="1"/>
  <c r="F78" i="3"/>
  <c r="I78" i="3" s="1"/>
  <c r="F77" i="3"/>
  <c r="F76" i="3"/>
  <c r="I76" i="3" s="1"/>
  <c r="F75" i="3"/>
  <c r="F74" i="3"/>
  <c r="I74" i="3" s="1"/>
  <c r="F73" i="3"/>
  <c r="I73" i="3" s="1"/>
  <c r="F72" i="3"/>
  <c r="I72" i="3" s="1"/>
  <c r="F71" i="3"/>
  <c r="I71" i="3" s="1"/>
  <c r="F70" i="3"/>
  <c r="I70" i="3" s="1"/>
  <c r="F69" i="3"/>
  <c r="I69" i="3" s="1"/>
  <c r="F68" i="3"/>
  <c r="I68" i="3" s="1"/>
  <c r="F67" i="3"/>
  <c r="F66" i="3"/>
  <c r="I66" i="3" s="1"/>
  <c r="F65" i="3"/>
  <c r="I65" i="3" s="1"/>
  <c r="F64" i="3"/>
  <c r="I64" i="3" s="1"/>
  <c r="F63" i="3"/>
  <c r="I63" i="3" s="1"/>
  <c r="F62" i="3"/>
  <c r="I62" i="3" s="1"/>
  <c r="F61" i="3"/>
  <c r="F60" i="3"/>
  <c r="I60" i="3" s="1"/>
  <c r="F59" i="3"/>
  <c r="F58" i="3"/>
  <c r="I58" i="3" s="1"/>
  <c r="F57" i="3"/>
  <c r="F56" i="3"/>
  <c r="I56" i="3" s="1"/>
  <c r="F55" i="3"/>
  <c r="I55" i="3" s="1"/>
  <c r="F54" i="3"/>
  <c r="I54" i="3" s="1"/>
  <c r="F53" i="3"/>
  <c r="F41" i="3"/>
  <c r="F40" i="3"/>
  <c r="I40" i="3" s="1"/>
  <c r="F39" i="3"/>
  <c r="I39" i="3" s="1"/>
  <c r="F38" i="3"/>
  <c r="F37" i="3"/>
  <c r="I37" i="3" s="1"/>
  <c r="F36" i="3"/>
  <c r="I36" i="3" s="1"/>
  <c r="F35" i="3"/>
  <c r="I35" i="3" s="1"/>
  <c r="F34" i="3"/>
  <c r="I34" i="3" s="1"/>
  <c r="F33" i="3"/>
  <c r="F32" i="3"/>
  <c r="I32" i="3" s="1"/>
  <c r="F31" i="3"/>
  <c r="I31" i="3" s="1"/>
  <c r="F30" i="3"/>
  <c r="I30" i="3" s="1"/>
  <c r="F29" i="3"/>
  <c r="I29" i="3" s="1"/>
  <c r="F28" i="3"/>
  <c r="I28" i="3" s="1"/>
  <c r="F27" i="3"/>
  <c r="I27" i="3" s="1"/>
  <c r="F26" i="3"/>
  <c r="I26" i="3" s="1"/>
  <c r="F25" i="3"/>
  <c r="I25" i="3" s="1"/>
  <c r="F24" i="3"/>
  <c r="I24" i="3" s="1"/>
  <c r="F23" i="3"/>
  <c r="I23" i="3" s="1"/>
  <c r="F22" i="3"/>
  <c r="I22" i="3" s="1"/>
  <c r="F21" i="3"/>
  <c r="F20" i="3"/>
  <c r="I20" i="3" s="1"/>
  <c r="F19" i="3"/>
  <c r="I19" i="3" s="1"/>
  <c r="F18" i="3"/>
  <c r="I18" i="3" s="1"/>
  <c r="F17" i="3"/>
  <c r="F16" i="3"/>
  <c r="I16" i="3" s="1"/>
  <c r="F15" i="3"/>
  <c r="I15" i="3" s="1"/>
  <c r="F14" i="3"/>
  <c r="I14" i="3" s="1"/>
  <c r="F13" i="3"/>
  <c r="I13" i="3" s="1"/>
  <c r="I11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3" i="2"/>
  <c r="I4" i="2"/>
  <c r="I5" i="2"/>
  <c r="I6" i="2"/>
  <c r="I7" i="2"/>
  <c r="I8" i="2"/>
  <c r="I9" i="2"/>
  <c r="I10" i="2"/>
  <c r="I11" i="2"/>
  <c r="I12" i="2"/>
  <c r="I42" i="2"/>
  <c r="I43" i="2"/>
  <c r="I44" i="2"/>
  <c r="I45" i="2"/>
  <c r="I46" i="2"/>
  <c r="I47" i="2"/>
  <c r="I48" i="2"/>
  <c r="I49" i="2"/>
  <c r="I50" i="2"/>
  <c r="I51" i="2"/>
  <c r="I52" i="2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73" i="1"/>
  <c r="I74" i="1"/>
  <c r="I75" i="1"/>
  <c r="I82" i="1"/>
  <c r="I83" i="1"/>
  <c r="I84" i="1"/>
  <c r="I85" i="1"/>
  <c r="I86" i="1"/>
  <c r="I87" i="1"/>
  <c r="I88" i="1"/>
  <c r="I89" i="1"/>
  <c r="I90" i="1"/>
  <c r="I91" i="1"/>
  <c r="I92" i="1"/>
  <c r="I113" i="1"/>
  <c r="I114" i="1"/>
  <c r="I115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" i="1"/>
  <c r="F81" i="2"/>
  <c r="I81" i="2" s="1"/>
  <c r="F80" i="2"/>
  <c r="I80" i="2" s="1"/>
  <c r="F79" i="2"/>
  <c r="I79" i="2" s="1"/>
  <c r="F78" i="2"/>
  <c r="I78" i="2" s="1"/>
  <c r="F77" i="2"/>
  <c r="I77" i="2" s="1"/>
  <c r="F76" i="2"/>
  <c r="I76" i="2" s="1"/>
  <c r="F75" i="2"/>
  <c r="I75" i="2" s="1"/>
  <c r="F74" i="2"/>
  <c r="I74" i="2" s="1"/>
  <c r="F73" i="2"/>
  <c r="I73" i="2" s="1"/>
  <c r="F72" i="2"/>
  <c r="I72" i="2" s="1"/>
  <c r="F71" i="2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G169" i="3" l="1"/>
  <c r="G196" i="3"/>
  <c r="G98" i="2"/>
  <c r="G106" i="2"/>
  <c r="G92" i="2"/>
  <c r="G114" i="2"/>
  <c r="G87" i="2"/>
  <c r="G94" i="2"/>
  <c r="G102" i="2"/>
  <c r="G110" i="2"/>
  <c r="G118" i="2"/>
  <c r="G88" i="2"/>
  <c r="G188" i="3"/>
  <c r="G168" i="3"/>
  <c r="G176" i="3"/>
  <c r="G184" i="3"/>
  <c r="G192" i="3"/>
  <c r="G200" i="3"/>
  <c r="G165" i="3"/>
  <c r="G180" i="3"/>
  <c r="G84" i="2"/>
  <c r="G96" i="2"/>
  <c r="G112" i="2"/>
  <c r="G120" i="2"/>
  <c r="G117" i="2"/>
  <c r="G104" i="2"/>
  <c r="G97" i="2"/>
  <c r="G105" i="2"/>
  <c r="G113" i="2"/>
  <c r="G121" i="2"/>
  <c r="G90" i="2"/>
  <c r="G85" i="2"/>
  <c r="G116" i="2"/>
  <c r="G95" i="2"/>
  <c r="G103" i="2"/>
  <c r="G111" i="2"/>
  <c r="G119" i="2"/>
  <c r="G107" i="2"/>
  <c r="G99" i="2"/>
  <c r="G83" i="2"/>
  <c r="G108" i="2"/>
  <c r="G91" i="2"/>
  <c r="G101" i="2"/>
  <c r="G86" i="2"/>
  <c r="G89" i="2"/>
  <c r="G82" i="2"/>
  <c r="G115" i="2"/>
  <c r="G100" i="2"/>
  <c r="G93" i="2"/>
  <c r="G109" i="2"/>
  <c r="G167" i="1"/>
  <c r="E167" i="1" s="1"/>
  <c r="G172" i="1"/>
  <c r="E172" i="1" s="1"/>
  <c r="G162" i="1"/>
  <c r="E162" i="1" s="1"/>
  <c r="G194" i="1"/>
  <c r="E194" i="1" s="1"/>
  <c r="G195" i="1"/>
  <c r="E195" i="1" s="1"/>
  <c r="G163" i="1"/>
  <c r="E163" i="1" s="1"/>
  <c r="G193" i="1"/>
  <c r="E193" i="1" s="1"/>
  <c r="G166" i="1"/>
  <c r="E166" i="1" s="1"/>
  <c r="G162" i="3"/>
  <c r="G167" i="3"/>
  <c r="G174" i="3"/>
  <c r="G181" i="3"/>
  <c r="G175" i="3"/>
  <c r="G183" i="3"/>
  <c r="G191" i="3"/>
  <c r="G199" i="3"/>
  <c r="G173" i="3"/>
  <c r="G190" i="3"/>
  <c r="G172" i="3"/>
  <c r="G164" i="3"/>
  <c r="G189" i="3"/>
  <c r="G178" i="3"/>
  <c r="G186" i="3"/>
  <c r="G194" i="3"/>
  <c r="G171" i="3"/>
  <c r="G163" i="3"/>
  <c r="G170" i="3"/>
  <c r="G182" i="3"/>
  <c r="G193" i="3"/>
  <c r="G201" i="3"/>
  <c r="G198" i="3"/>
  <c r="G166" i="3"/>
  <c r="G197" i="3"/>
  <c r="I145" i="3"/>
  <c r="G185" i="3" s="1"/>
  <c r="I137" i="3"/>
  <c r="G177" i="3" s="1"/>
  <c r="I147" i="3"/>
  <c r="I139" i="3"/>
  <c r="I75" i="3"/>
  <c r="G195" i="3" s="1"/>
  <c r="I67" i="3"/>
  <c r="I59" i="3"/>
  <c r="G165" i="1"/>
  <c r="E165" i="1" s="1"/>
  <c r="G164" i="1"/>
  <c r="E164" i="1" s="1"/>
  <c r="G171" i="1"/>
  <c r="E171" i="1" s="1"/>
  <c r="G170" i="1"/>
  <c r="E170" i="1" s="1"/>
  <c r="G168" i="1"/>
  <c r="E168" i="1" s="1"/>
  <c r="G169" i="1"/>
  <c r="E169" i="1" s="1"/>
  <c r="G179" i="3" l="1"/>
  <c r="G187" i="3"/>
  <c r="G67" i="1" l="1"/>
  <c r="I67" i="1" s="1"/>
  <c r="G79" i="1"/>
  <c r="I79" i="1" s="1"/>
  <c r="G80" i="1"/>
  <c r="I80" i="1" s="1"/>
  <c r="G107" i="1"/>
  <c r="I107" i="1" s="1"/>
  <c r="G120" i="1"/>
  <c r="I120" i="1" s="1"/>
  <c r="G81" i="1"/>
  <c r="I81" i="1" s="1"/>
  <c r="G100" i="1"/>
  <c r="I100" i="1" s="1"/>
  <c r="G108" i="1"/>
  <c r="I108" i="1" s="1"/>
  <c r="G55" i="1"/>
  <c r="I55" i="1" s="1"/>
  <c r="G71" i="1"/>
  <c r="I71" i="1" s="1"/>
  <c r="G93" i="1"/>
  <c r="I93" i="1" s="1"/>
  <c r="G109" i="1"/>
  <c r="I109" i="1" s="1"/>
  <c r="G72" i="1"/>
  <c r="I72" i="1" s="1"/>
  <c r="G102" i="1"/>
  <c r="I102" i="1" s="1"/>
  <c r="G119" i="1"/>
  <c r="I119" i="1" s="1"/>
  <c r="G63" i="1"/>
  <c r="I63" i="1" s="1"/>
  <c r="G101" i="1"/>
  <c r="I101" i="1" s="1"/>
  <c r="G56" i="1"/>
  <c r="I56" i="1" s="1"/>
  <c r="G64" i="1"/>
  <c r="I64" i="1" s="1"/>
  <c r="G94" i="1"/>
  <c r="I94" i="1" s="1"/>
  <c r="G110" i="1"/>
  <c r="I110" i="1" s="1"/>
  <c r="G59" i="1"/>
  <c r="I59" i="1" s="1"/>
  <c r="G78" i="1"/>
  <c r="I78" i="1" s="1"/>
  <c r="G97" i="1"/>
  <c r="I97" i="1" s="1"/>
  <c r="G105" i="1"/>
  <c r="I105" i="1" s="1"/>
  <c r="G116" i="1"/>
  <c r="I116" i="1" s="1"/>
  <c r="G60" i="1"/>
  <c r="I60" i="1" s="1"/>
  <c r="G68" i="1"/>
  <c r="I68" i="1" s="1"/>
  <c r="G98" i="1"/>
  <c r="I98" i="1" s="1"/>
  <c r="G106" i="1"/>
  <c r="I106" i="1" s="1"/>
  <c r="G117" i="1"/>
  <c r="I117" i="1" s="1"/>
  <c r="G53" i="1"/>
  <c r="I53" i="1" s="1"/>
  <c r="G61" i="1"/>
  <c r="I61" i="1" s="1"/>
  <c r="G69" i="1"/>
  <c r="I69" i="1" s="1"/>
  <c r="G99" i="1"/>
  <c r="I99" i="1" s="1"/>
  <c r="G118" i="1"/>
  <c r="I118" i="1" s="1"/>
  <c r="G54" i="1"/>
  <c r="I54" i="1" s="1"/>
  <c r="G174" i="1" s="1"/>
  <c r="E174" i="1" s="1"/>
  <c r="G62" i="1"/>
  <c r="I62" i="1" s="1"/>
  <c r="G70" i="1"/>
  <c r="I70" i="1" s="1"/>
  <c r="G121" i="1"/>
  <c r="I121" i="1" s="1"/>
  <c r="G57" i="1"/>
  <c r="I57" i="1" s="1"/>
  <c r="G65" i="1"/>
  <c r="I65" i="1" s="1"/>
  <c r="G76" i="1"/>
  <c r="I76" i="1" s="1"/>
  <c r="G95" i="1"/>
  <c r="I95" i="1" s="1"/>
  <c r="G103" i="1"/>
  <c r="I103" i="1" s="1"/>
  <c r="G111" i="1"/>
  <c r="I111" i="1" s="1"/>
  <c r="G58" i="1"/>
  <c r="I58" i="1" s="1"/>
  <c r="G66" i="1"/>
  <c r="I66" i="1" s="1"/>
  <c r="G77" i="1"/>
  <c r="I77" i="1" s="1"/>
  <c r="G96" i="1"/>
  <c r="I96" i="1" s="1"/>
  <c r="G104" i="1"/>
  <c r="I104" i="1" s="1"/>
  <c r="G112" i="1"/>
  <c r="I112" i="1" s="1"/>
  <c r="G180" i="1" l="1"/>
  <c r="E180" i="1" s="1"/>
  <c r="G182" i="1"/>
  <c r="E182" i="1" s="1"/>
  <c r="G200" i="1"/>
  <c r="E200" i="1" s="1"/>
  <c r="G184" i="1"/>
  <c r="E184" i="1" s="1"/>
  <c r="G192" i="1"/>
  <c r="E192" i="1" s="1"/>
  <c r="G201" i="1"/>
  <c r="E201" i="1" s="1"/>
  <c r="G173" i="1"/>
  <c r="E173" i="1" s="1"/>
  <c r="G197" i="1"/>
  <c r="E197" i="1" s="1"/>
  <c r="G191" i="1"/>
  <c r="E191" i="1" s="1"/>
  <c r="G190" i="1"/>
  <c r="E190" i="1" s="1"/>
  <c r="G188" i="1"/>
  <c r="E188" i="1" s="1"/>
  <c r="G179" i="1"/>
  <c r="E179" i="1" s="1"/>
  <c r="G199" i="1"/>
  <c r="E199" i="1" s="1"/>
  <c r="G186" i="1"/>
  <c r="E186" i="1" s="1"/>
  <c r="G183" i="1"/>
  <c r="E183" i="1" s="1"/>
  <c r="G175" i="1"/>
  <c r="E175" i="1" s="1"/>
  <c r="G185" i="1"/>
  <c r="E185" i="1" s="1"/>
  <c r="G189" i="1"/>
  <c r="E189" i="1" s="1"/>
  <c r="G176" i="1"/>
  <c r="E176" i="1" s="1"/>
  <c r="G196" i="1"/>
  <c r="E196" i="1" s="1"/>
  <c r="G177" i="1"/>
  <c r="E177" i="1" s="1"/>
  <c r="G181" i="1"/>
  <c r="E181" i="1" s="1"/>
  <c r="G187" i="1"/>
  <c r="E187" i="1" s="1"/>
  <c r="G178" i="1"/>
  <c r="E178" i="1" s="1"/>
  <c r="G198" i="1"/>
  <c r="E198" i="1" s="1"/>
</calcChain>
</file>

<file path=xl/sharedStrings.xml><?xml version="1.0" encoding="utf-8"?>
<sst xmlns="http://schemas.openxmlformats.org/spreadsheetml/2006/main" count="547" uniqueCount="14">
  <si>
    <t>Florida</t>
    <phoneticPr fontId="2" type="noConversion"/>
  </si>
  <si>
    <t>California</t>
    <phoneticPr fontId="2" type="noConversion"/>
  </si>
  <si>
    <t>Texas</t>
    <phoneticPr fontId="2" type="noConversion"/>
  </si>
  <si>
    <t>Arizona</t>
    <phoneticPr fontId="2" type="noConversion"/>
  </si>
  <si>
    <t>United States</t>
    <phoneticPr fontId="2" type="noConversion"/>
  </si>
  <si>
    <t>State</t>
    <phoneticPr fontId="2" type="noConversion"/>
  </si>
  <si>
    <t>Dollars / Box</t>
    <phoneticPr fontId="2" type="noConversion"/>
  </si>
  <si>
    <t>Box weight (pounds)</t>
    <phoneticPr fontId="2" type="noConversion"/>
  </si>
  <si>
    <t>Yield per acre (tons)</t>
    <phoneticPr fontId="2" type="noConversion"/>
  </si>
  <si>
    <t>Return per acre</t>
    <phoneticPr fontId="2" type="noConversion"/>
  </si>
  <si>
    <t>Total Return</t>
    <phoneticPr fontId="2" type="noConversion"/>
  </si>
  <si>
    <t>Bearing acre (1000 acre)</t>
    <phoneticPr fontId="2" type="noConversion"/>
  </si>
  <si>
    <t>Year</t>
    <phoneticPr fontId="2" type="noConversion"/>
  </si>
  <si>
    <t>PPI (2015 base)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</si>
</sst>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____)"/>
    <numFmt numFmtId="177" formatCode="0.00_);[Red]\(0.00\)"/>
  </numFmts>
  <fonts count="5">
    <font>
      <sz val="9"/>
      <name val="Arial MT"/>
    </font>
    <font>
      <sz val="8"/>
      <name val="Helvetica"/>
      <family val="2"/>
    </font>
    <font>
      <sz val="9"/>
      <name val="GenRyuMin TW B"/>
      <family val="3"/>
      <charset val="136"/>
    </font>
    <font>
      <sz val="7"/>
      <name val="Arial MT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3">
    <xf numFmtId="0" fontId="0" fillId="0" borderId="0" xfId="0"/>
    <xf numFmtId="176" fontId="1" fillId="0" borderId="0" xfId="0" applyNumberFormat="1" applyFont="1"/>
    <xf numFmtId="177" fontId="4" fillId="0" borderId="0" xfId="0" applyNumberFormat="1" applyFont="1"/>
    <xf numFmtId="177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177" fontId="4" fillId="0" borderId="0" xfId="0" applyNumberFormat="1" applyFont="1" applyAlignment="1"/>
    <xf numFmtId="177" fontId="4" fillId="0" borderId="1" xfId="1" quotePrefix="1" applyNumberFormat="1" applyFont="1" applyBorder="1" applyAlignment="1"/>
    <xf numFmtId="177" fontId="4" fillId="0" borderId="1" xfId="0" applyNumberFormat="1" applyFont="1" applyBorder="1" applyAlignment="1"/>
    <xf numFmtId="177" fontId="4" fillId="0" borderId="1" xfId="1" applyNumberFormat="1" applyFont="1" applyBorder="1" applyAlignment="1"/>
    <xf numFmtId="177" fontId="4" fillId="0" borderId="1" xfId="2" applyNumberFormat="1" applyFont="1" applyBorder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1" xfId="0" applyFont="1" applyBorder="1" applyAlignment="1">
      <alignment horizontal="left"/>
    </xf>
    <xf numFmtId="177" fontId="4" fillId="0" borderId="2" xfId="0" applyNumberFormat="1" applyFont="1" applyBorder="1"/>
    <xf numFmtId="177" fontId="4" fillId="0" borderId="3" xfId="0" applyNumberFormat="1" applyFont="1" applyBorder="1"/>
    <xf numFmtId="0" fontId="4" fillId="0" borderId="5" xfId="0" applyFont="1" applyBorder="1"/>
    <xf numFmtId="177" fontId="4" fillId="0" borderId="5" xfId="0" applyNumberFormat="1" applyFont="1" applyBorder="1"/>
    <xf numFmtId="177" fontId="4" fillId="0" borderId="4" xfId="0" applyNumberFormat="1" applyFont="1" applyBorder="1"/>
    <xf numFmtId="49" fontId="4" fillId="0" borderId="6" xfId="0" applyNumberFormat="1" applyFont="1" applyBorder="1"/>
    <xf numFmtId="49" fontId="4" fillId="0" borderId="7" xfId="0" applyNumberFormat="1" applyFont="1" applyBorder="1"/>
    <xf numFmtId="49" fontId="4" fillId="0" borderId="8" xfId="0" applyNumberFormat="1" applyFont="1" applyBorder="1"/>
    <xf numFmtId="0" fontId="4" fillId="0" borderId="0" xfId="0" applyFont="1" applyBorder="1" applyAlignment="1">
      <alignment horizontal="left"/>
    </xf>
    <xf numFmtId="177" fontId="4" fillId="0" borderId="0" xfId="2" applyNumberFormat="1" applyFont="1" applyBorder="1"/>
    <xf numFmtId="177" fontId="4" fillId="0" borderId="0" xfId="0" applyNumberFormat="1" applyFont="1" applyBorder="1"/>
    <xf numFmtId="177" fontId="4" fillId="0" borderId="0" xfId="0" applyNumberFormat="1" applyFont="1" applyBorder="1" applyAlignment="1"/>
    <xf numFmtId="49" fontId="4" fillId="0" borderId="6" xfId="0" applyNumberFormat="1" applyFont="1" applyBorder="1" applyAlignment="1"/>
    <xf numFmtId="0" fontId="4" fillId="0" borderId="5" xfId="0" applyFont="1" applyBorder="1" applyAlignment="1"/>
    <xf numFmtId="177" fontId="4" fillId="0" borderId="5" xfId="0" applyNumberFormat="1" applyFont="1" applyBorder="1" applyAlignment="1"/>
    <xf numFmtId="177" fontId="4" fillId="0" borderId="4" xfId="0" applyNumberFormat="1" applyFont="1" applyBorder="1" applyAlignment="1"/>
    <xf numFmtId="49" fontId="4" fillId="0" borderId="7" xfId="0" applyNumberFormat="1" applyFont="1" applyBorder="1" applyAlignment="1"/>
    <xf numFmtId="0" fontId="4" fillId="0" borderId="0" xfId="0" applyFont="1" applyBorder="1" applyAlignment="1"/>
    <xf numFmtId="177" fontId="4" fillId="0" borderId="0" xfId="1" applyNumberFormat="1" applyFont="1" applyBorder="1" applyAlignment="1"/>
    <xf numFmtId="177" fontId="4" fillId="0" borderId="2" xfId="0" applyNumberFormat="1" applyFont="1" applyBorder="1" applyAlignment="1"/>
    <xf numFmtId="177" fontId="4" fillId="0" borderId="0" xfId="1" quotePrefix="1" applyNumberFormat="1" applyFont="1" applyBorder="1" applyAlignment="1"/>
    <xf numFmtId="49" fontId="4" fillId="0" borderId="8" xfId="0" applyNumberFormat="1" applyFont="1" applyBorder="1" applyAlignment="1"/>
    <xf numFmtId="0" fontId="4" fillId="0" borderId="1" xfId="0" applyFont="1" applyBorder="1" applyAlignment="1"/>
    <xf numFmtId="177" fontId="4" fillId="0" borderId="3" xfId="0" applyNumberFormat="1" applyFont="1" applyBorder="1" applyAlignment="1"/>
    <xf numFmtId="0" fontId="4" fillId="0" borderId="2" xfId="0" applyFont="1" applyBorder="1"/>
    <xf numFmtId="0" fontId="4" fillId="0" borderId="3" xfId="0" applyFont="1" applyBorder="1"/>
    <xf numFmtId="177" fontId="0" fillId="0" borderId="0" xfId="0" applyNumberFormat="1"/>
    <xf numFmtId="177" fontId="0" fillId="0" borderId="1" xfId="0" applyNumberFormat="1" applyBorder="1"/>
  </cellXfs>
  <cellStyles count="3">
    <cellStyle name="Normal_tabc15" xfId="1" xr:uid="{79DD5E3F-C274-F54E-8141-3C21C1BE18EE}"/>
    <cellStyle name="Normal_tabc23" xfId="2" xr:uid="{DD6B2BCF-F81B-034B-AE8F-495176BBBD13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F517-D788-2046-8E38-39F195C94C40}">
  <sheetPr transitionEvaluation="1">
    <pageSetUpPr fitToPage="1"/>
  </sheetPr>
  <dimension ref="A1:I201"/>
  <sheetViews>
    <sheetView showGridLines="0" tabSelected="1" view="pageBreakPreview" zoomScale="163" zoomScaleNormal="143" zoomScaleSheetLayoutView="163" workbookViewId="0">
      <pane xSplit="2" ySplit="1" topLeftCell="C17" activePane="bottomRight" state="frozen"/>
      <selection pane="topRight" activeCell="B1" sqref="B1"/>
      <selection pane="bottomLeft" activeCell="A6" sqref="A6"/>
      <selection pane="bottomRight" activeCell="H17" sqref="H17"/>
    </sheetView>
  </sheetViews>
  <sheetFormatPr baseColWidth="10" defaultColWidth="9.796875" defaultRowHeight="12"/>
  <cols>
    <col min="1" max="1" width="13.59765625" style="12" bestFit="1" customWidth="1"/>
    <col min="2" max="2" width="6.3984375" style="4" bestFit="1" customWidth="1"/>
    <col min="3" max="3" width="13" style="2" bestFit="1" customWidth="1"/>
    <col min="4" max="4" width="16.19921875" style="2" bestFit="1" customWidth="1"/>
    <col min="5" max="6" width="20" style="2" bestFit="1" customWidth="1"/>
    <col min="7" max="7" width="15.3984375" style="2" bestFit="1" customWidth="1"/>
    <col min="8" max="8" width="24.19921875" style="2" bestFit="1" customWidth="1"/>
    <col min="9" max="9" width="14.796875" style="2" bestFit="1" customWidth="1"/>
  </cols>
  <sheetData>
    <row r="1" spans="1:9">
      <c r="A1" s="20" t="s">
        <v>5</v>
      </c>
      <c r="B1" s="17" t="s">
        <v>12</v>
      </c>
      <c r="C1" s="18" t="s">
        <v>6</v>
      </c>
      <c r="D1" s="18" t="s">
        <v>13</v>
      </c>
      <c r="E1" s="18" t="s">
        <v>7</v>
      </c>
      <c r="F1" s="18" t="s">
        <v>8</v>
      </c>
      <c r="G1" s="18" t="s">
        <v>9</v>
      </c>
      <c r="H1" s="18" t="s">
        <v>11</v>
      </c>
      <c r="I1" s="19" t="s">
        <v>10</v>
      </c>
    </row>
    <row r="2" spans="1:9">
      <c r="A2" s="21" t="s">
        <v>0</v>
      </c>
      <c r="B2" s="5">
        <v>1980</v>
      </c>
      <c r="C2" s="2">
        <v>3.6</v>
      </c>
      <c r="D2" s="2">
        <v>0.4731182795698925</v>
      </c>
      <c r="E2" s="2">
        <v>85</v>
      </c>
      <c r="F2" s="41">
        <v>17.022292993630575</v>
      </c>
      <c r="G2" s="2">
        <f>((C2/D2)/E2)*(F2*2000)</f>
        <v>3047.6276439933235</v>
      </c>
      <c r="H2" s="2">
        <v>125.6</v>
      </c>
      <c r="I2" s="15">
        <f>G2*H2*1000</f>
        <v>382782032.08556145</v>
      </c>
    </row>
    <row r="3" spans="1:9">
      <c r="A3" s="21" t="s">
        <v>0</v>
      </c>
      <c r="B3" s="5">
        <v>1981</v>
      </c>
      <c r="C3" s="2">
        <v>2.09</v>
      </c>
      <c r="D3" s="2">
        <v>0.47218326320710613</v>
      </c>
      <c r="E3" s="2">
        <v>85</v>
      </c>
      <c r="F3" s="41">
        <v>15.993740219092333</v>
      </c>
      <c r="G3" s="2">
        <f t="shared" ref="G3:G66" si="0">((C3/D3)/E3)*(F3*2000)</f>
        <v>1665.7000719127423</v>
      </c>
      <c r="H3" s="2">
        <v>127.8</v>
      </c>
      <c r="I3" s="15">
        <f>G3*H3*1000</f>
        <v>212876469.19044846</v>
      </c>
    </row>
    <row r="4" spans="1:9">
      <c r="A4" s="21" t="s">
        <v>0</v>
      </c>
      <c r="B4" s="5">
        <v>1982</v>
      </c>
      <c r="C4" s="2">
        <v>1.96</v>
      </c>
      <c r="D4" s="2">
        <v>0.46750818139317435</v>
      </c>
      <c r="E4" s="2">
        <v>85</v>
      </c>
      <c r="F4" s="41">
        <v>13.01710730948678</v>
      </c>
      <c r="G4" s="2">
        <f t="shared" si="0"/>
        <v>1284.0809733784649</v>
      </c>
      <c r="H4" s="2">
        <v>128.6</v>
      </c>
      <c r="I4" s="15">
        <f t="shared" ref="I4:I67" si="1">G4*H4*1000</f>
        <v>165132813.17647058</v>
      </c>
    </row>
    <row r="5" spans="1:9">
      <c r="A5" s="21" t="s">
        <v>0</v>
      </c>
      <c r="B5" s="5">
        <v>1983</v>
      </c>
      <c r="C5" s="2">
        <v>2.72</v>
      </c>
      <c r="D5" s="2">
        <v>0.47078073866292658</v>
      </c>
      <c r="E5" s="2">
        <v>85</v>
      </c>
      <c r="F5" s="41">
        <v>14.531772575250837</v>
      </c>
      <c r="G5" s="2">
        <f t="shared" si="0"/>
        <v>1975.5129478267515</v>
      </c>
      <c r="H5" s="2">
        <v>119.6</v>
      </c>
      <c r="I5" s="15">
        <f t="shared" si="1"/>
        <v>236271348.56007946</v>
      </c>
    </row>
    <row r="6" spans="1:9">
      <c r="A6" s="21" t="s">
        <v>0</v>
      </c>
      <c r="B6" s="5">
        <v>1984</v>
      </c>
      <c r="C6" s="2">
        <v>3.67</v>
      </c>
      <c r="D6" s="2">
        <v>0.48948106591865359</v>
      </c>
      <c r="E6" s="2">
        <v>85</v>
      </c>
      <c r="F6" s="41">
        <v>16.19047619047619</v>
      </c>
      <c r="G6" s="2">
        <f t="shared" si="0"/>
        <v>2856.280529403738</v>
      </c>
      <c r="H6" s="2">
        <v>115.5</v>
      </c>
      <c r="I6" s="15">
        <f t="shared" si="1"/>
        <v>329900401.14613175</v>
      </c>
    </row>
    <row r="7" spans="1:9">
      <c r="A7" s="21" t="s">
        <v>0</v>
      </c>
      <c r="B7" s="5">
        <v>1985</v>
      </c>
      <c r="C7" s="2">
        <v>4.09</v>
      </c>
      <c r="D7" s="2">
        <v>0.55352968676951853</v>
      </c>
      <c r="E7" s="2">
        <v>85</v>
      </c>
      <c r="F7" s="41">
        <v>18.905803996194102</v>
      </c>
      <c r="G7" s="2">
        <f t="shared" si="0"/>
        <v>3286.9160436952316</v>
      </c>
      <c r="H7" s="2">
        <v>105.1</v>
      </c>
      <c r="I7" s="15">
        <f t="shared" si="1"/>
        <v>345454876.19236881</v>
      </c>
    </row>
    <row r="8" spans="1:9">
      <c r="A8" s="21" t="s">
        <v>0</v>
      </c>
      <c r="B8" s="5">
        <v>1986</v>
      </c>
      <c r="C8" s="2">
        <v>4.9800000000000004</v>
      </c>
      <c r="D8" s="2">
        <v>0.53669939223936414</v>
      </c>
      <c r="E8" s="2">
        <v>85</v>
      </c>
      <c r="F8" s="41">
        <v>19.962264150943398</v>
      </c>
      <c r="G8" s="2">
        <f t="shared" si="0"/>
        <v>4358.3199310096807</v>
      </c>
      <c r="H8" s="2">
        <v>106</v>
      </c>
      <c r="I8" s="15">
        <f t="shared" si="1"/>
        <v>461981912.68702614</v>
      </c>
    </row>
    <row r="9" spans="1:9">
      <c r="A9" s="21" t="s">
        <v>0</v>
      </c>
      <c r="B9" s="5">
        <v>1987</v>
      </c>
      <c r="C9" s="2">
        <v>5.57</v>
      </c>
      <c r="D9" s="2">
        <v>0.58859280037400652</v>
      </c>
      <c r="E9" s="2">
        <v>85</v>
      </c>
      <c r="F9" s="41">
        <v>21.59433962264151</v>
      </c>
      <c r="G9" s="2">
        <f t="shared" si="0"/>
        <v>4808.2965745412166</v>
      </c>
      <c r="H9" s="2">
        <v>106</v>
      </c>
      <c r="I9" s="15">
        <f t="shared" si="1"/>
        <v>509679436.90136898</v>
      </c>
    </row>
    <row r="10" spans="1:9">
      <c r="A10" s="21" t="s">
        <v>0</v>
      </c>
      <c r="B10" s="5">
        <v>1988</v>
      </c>
      <c r="C10" s="2">
        <v>4.45</v>
      </c>
      <c r="D10" s="2">
        <v>0.66386161757830764</v>
      </c>
      <c r="E10" s="2">
        <v>85</v>
      </c>
      <c r="F10" s="41">
        <v>21.76800748362956</v>
      </c>
      <c r="G10" s="2">
        <f t="shared" si="0"/>
        <v>3433.3035233355781</v>
      </c>
      <c r="H10" s="2">
        <v>106.9</v>
      </c>
      <c r="I10" s="15">
        <f t="shared" si="1"/>
        <v>367020146.64457333</v>
      </c>
    </row>
    <row r="11" spans="1:9">
      <c r="A11" s="21" t="s">
        <v>0</v>
      </c>
      <c r="B11" s="5">
        <v>1989</v>
      </c>
      <c r="C11" s="2">
        <v>5.65</v>
      </c>
      <c r="D11" s="2">
        <v>0.63581112669471718</v>
      </c>
      <c r="E11" s="2">
        <v>85</v>
      </c>
      <c r="F11" s="41">
        <v>14.737864077669903</v>
      </c>
      <c r="G11" s="2">
        <f t="shared" si="0"/>
        <v>3081.5267410219371</v>
      </c>
      <c r="H11" s="2">
        <v>103</v>
      </c>
      <c r="I11" s="15">
        <f t="shared" si="1"/>
        <v>317397254.32525951</v>
      </c>
    </row>
    <row r="12" spans="1:9">
      <c r="A12" s="21" t="s">
        <v>0</v>
      </c>
      <c r="B12" s="5">
        <v>1990</v>
      </c>
      <c r="C12" s="2">
        <v>5.66</v>
      </c>
      <c r="D12" s="2">
        <v>0.70500233754090702</v>
      </c>
      <c r="E12" s="2">
        <v>85</v>
      </c>
      <c r="F12" s="41">
        <v>18.397312859884835</v>
      </c>
      <c r="G12" s="2">
        <f t="shared" si="0"/>
        <v>3475.2922997859587</v>
      </c>
      <c r="H12" s="2">
        <v>104.2</v>
      </c>
      <c r="I12" s="15">
        <f t="shared" si="1"/>
        <v>362125457.63769686</v>
      </c>
    </row>
    <row r="13" spans="1:9">
      <c r="A13" s="21" t="s">
        <v>0</v>
      </c>
      <c r="B13" s="5">
        <v>1991</v>
      </c>
      <c r="C13" s="2">
        <v>6.62</v>
      </c>
      <c r="D13" s="2">
        <v>0.95745675549322118</v>
      </c>
      <c r="E13" s="2">
        <v>85</v>
      </c>
      <c r="F13" s="41">
        <v>17.212499999999999</v>
      </c>
      <c r="G13" s="2">
        <f t="shared" si="0"/>
        <v>2800.2309082031247</v>
      </c>
      <c r="H13" s="2">
        <v>104.7</v>
      </c>
      <c r="I13" s="15">
        <f t="shared" si="1"/>
        <v>293184176.08886719</v>
      </c>
    </row>
    <row r="14" spans="1:9">
      <c r="A14" s="21" t="s">
        <v>0</v>
      </c>
      <c r="B14" s="5">
        <v>1992</v>
      </c>
      <c r="C14" s="2">
        <v>2.66</v>
      </c>
      <c r="D14" s="2">
        <v>0.48574100046750818</v>
      </c>
      <c r="E14" s="2">
        <v>85</v>
      </c>
      <c r="F14" s="41">
        <v>20.952500000000001</v>
      </c>
      <c r="G14" s="2">
        <f t="shared" si="0"/>
        <v>2699.7515110683353</v>
      </c>
      <c r="H14" s="2">
        <v>111.9</v>
      </c>
      <c r="I14" s="15">
        <f t="shared" si="1"/>
        <v>302102194.08854675</v>
      </c>
    </row>
    <row r="15" spans="1:9">
      <c r="A15" s="21" t="s">
        <v>0</v>
      </c>
      <c r="B15" s="5">
        <v>1993</v>
      </c>
      <c r="C15" s="2">
        <v>3.28</v>
      </c>
      <c r="D15" s="2">
        <v>0.51753155680224405</v>
      </c>
      <c r="E15" s="2">
        <v>85</v>
      </c>
      <c r="F15" s="41">
        <v>18.36</v>
      </c>
      <c r="G15" s="2">
        <f t="shared" si="0"/>
        <v>2737.9199999999996</v>
      </c>
      <c r="H15" s="2">
        <v>118.3</v>
      </c>
      <c r="I15" s="15">
        <f t="shared" si="1"/>
        <v>323895935.99999994</v>
      </c>
    </row>
    <row r="16" spans="1:9">
      <c r="A16" s="21" t="s">
        <v>0</v>
      </c>
      <c r="B16" s="5">
        <v>1994</v>
      </c>
      <c r="C16" s="2">
        <v>2.09</v>
      </c>
      <c r="D16" s="2">
        <v>0.5053763440860215</v>
      </c>
      <c r="E16" s="2">
        <v>85</v>
      </c>
      <c r="F16" s="41">
        <v>18.62</v>
      </c>
      <c r="G16" s="2">
        <f t="shared" si="0"/>
        <v>1811.8495118898625</v>
      </c>
      <c r="H16" s="2">
        <v>127.3</v>
      </c>
      <c r="I16" s="15">
        <f t="shared" si="1"/>
        <v>230648442.86357948</v>
      </c>
    </row>
    <row r="17" spans="1:9">
      <c r="A17" s="21" t="s">
        <v>0</v>
      </c>
      <c r="B17" s="5">
        <v>1995</v>
      </c>
      <c r="C17" s="2">
        <v>1.93</v>
      </c>
      <c r="D17" s="2">
        <v>0.50163627863487603</v>
      </c>
      <c r="E17" s="2">
        <v>85</v>
      </c>
      <c r="F17" s="41">
        <v>16.745000000000001</v>
      </c>
      <c r="G17" s="2">
        <f t="shared" si="0"/>
        <v>1515.879198508854</v>
      </c>
      <c r="H17" s="2">
        <v>132.80000000000001</v>
      </c>
      <c r="I17" s="15">
        <f t="shared" si="1"/>
        <v>201308757.56197584</v>
      </c>
    </row>
    <row r="18" spans="1:9">
      <c r="A18" s="21" t="s">
        <v>0</v>
      </c>
      <c r="B18" s="5">
        <v>1996</v>
      </c>
      <c r="C18" s="2">
        <v>1.55</v>
      </c>
      <c r="D18" s="2">
        <v>0.60028050490883589</v>
      </c>
      <c r="E18" s="2">
        <v>85</v>
      </c>
      <c r="F18" s="41">
        <v>17.0425</v>
      </c>
      <c r="G18" s="2">
        <f t="shared" si="0"/>
        <v>1035.432593457944</v>
      </c>
      <c r="H18" s="2">
        <v>139.19999999999999</v>
      </c>
      <c r="I18" s="15">
        <f t="shared" si="1"/>
        <v>144132217.0093458</v>
      </c>
    </row>
    <row r="19" spans="1:9">
      <c r="A19" s="21" t="s">
        <v>0</v>
      </c>
      <c r="B19" s="5">
        <v>1997</v>
      </c>
      <c r="C19" s="2">
        <v>1.27</v>
      </c>
      <c r="D19" s="2">
        <v>0.52267414679756896</v>
      </c>
      <c r="E19" s="2">
        <v>85</v>
      </c>
      <c r="F19" s="41">
        <v>16.489999999999998</v>
      </c>
      <c r="G19" s="2">
        <f t="shared" si="0"/>
        <v>942.76711985688723</v>
      </c>
      <c r="H19" s="2">
        <v>127.8</v>
      </c>
      <c r="I19" s="15">
        <f t="shared" si="1"/>
        <v>120485637.91771019</v>
      </c>
    </row>
    <row r="20" spans="1:9">
      <c r="A20" s="21" t="s">
        <v>0</v>
      </c>
      <c r="B20" s="5">
        <v>1998</v>
      </c>
      <c r="C20" s="2">
        <v>2.2999999999999998</v>
      </c>
      <c r="D20" s="2">
        <v>0.51425899953249177</v>
      </c>
      <c r="E20" s="2">
        <v>85</v>
      </c>
      <c r="F20" s="41">
        <v>17.170000000000002</v>
      </c>
      <c r="G20" s="2">
        <f t="shared" si="0"/>
        <v>1806.8716363636363</v>
      </c>
      <c r="H20" s="2">
        <v>116.6</v>
      </c>
      <c r="I20" s="15">
        <f t="shared" si="1"/>
        <v>210681232.79999998</v>
      </c>
    </row>
    <row r="21" spans="1:9">
      <c r="A21" s="21" t="s">
        <v>0</v>
      </c>
      <c r="B21" s="5">
        <v>1999</v>
      </c>
      <c r="C21" s="2">
        <v>3.53</v>
      </c>
      <c r="D21" s="2">
        <v>0.74146797568957457</v>
      </c>
      <c r="E21" s="2">
        <v>85</v>
      </c>
      <c r="F21" s="41">
        <v>19.89</v>
      </c>
      <c r="G21" s="2">
        <f t="shared" si="0"/>
        <v>2228.0665573770493</v>
      </c>
      <c r="H21" s="2">
        <v>114.1</v>
      </c>
      <c r="I21" s="15">
        <f t="shared" si="1"/>
        <v>254222394.19672132</v>
      </c>
    </row>
    <row r="22" spans="1:9">
      <c r="A22" s="21" t="s">
        <v>0</v>
      </c>
      <c r="B22" s="5">
        <v>2000</v>
      </c>
      <c r="C22" s="2">
        <v>2.19</v>
      </c>
      <c r="D22" s="2">
        <v>0.45067788686302013</v>
      </c>
      <c r="E22" s="2">
        <v>85</v>
      </c>
      <c r="F22" s="41">
        <v>18.147500000000001</v>
      </c>
      <c r="G22" s="2">
        <f t="shared" si="0"/>
        <v>2074.9409439834026</v>
      </c>
      <c r="H22" s="2">
        <v>107.8</v>
      </c>
      <c r="I22" s="15">
        <f t="shared" si="1"/>
        <v>223678633.7614108</v>
      </c>
    </row>
    <row r="23" spans="1:9">
      <c r="A23" s="21" t="s">
        <v>0</v>
      </c>
      <c r="B23" s="5">
        <v>2001</v>
      </c>
      <c r="C23" s="2">
        <v>2.31</v>
      </c>
      <c r="D23" s="2">
        <v>0.58765778401122015</v>
      </c>
      <c r="E23" s="2">
        <v>85</v>
      </c>
      <c r="F23" s="41">
        <v>19.592500000000001</v>
      </c>
      <c r="G23" s="2">
        <f t="shared" si="0"/>
        <v>1812.1260859188544</v>
      </c>
      <c r="H23" s="2">
        <v>101.3</v>
      </c>
      <c r="I23" s="15">
        <f t="shared" si="1"/>
        <v>183568372.50357994</v>
      </c>
    </row>
    <row r="24" spans="1:9">
      <c r="A24" s="21" t="s">
        <v>0</v>
      </c>
      <c r="B24" s="5">
        <v>2002</v>
      </c>
      <c r="C24" s="2">
        <v>2.44</v>
      </c>
      <c r="D24" s="2">
        <v>0.61524076671341743</v>
      </c>
      <c r="E24" s="2">
        <v>85</v>
      </c>
      <c r="F24" s="41">
        <v>17.212499999999999</v>
      </c>
      <c r="G24" s="2">
        <f t="shared" si="0"/>
        <v>1606.2004559270517</v>
      </c>
      <c r="H24" s="2">
        <v>95.5</v>
      </c>
      <c r="I24" s="15">
        <f t="shared" si="1"/>
        <v>153392143.54103345</v>
      </c>
    </row>
    <row r="25" spans="1:9">
      <c r="A25" s="21" t="s">
        <v>0</v>
      </c>
      <c r="B25" s="5">
        <v>2003</v>
      </c>
      <c r="C25" s="2">
        <v>3.33</v>
      </c>
      <c r="D25" s="2">
        <v>0.49041608228143996</v>
      </c>
      <c r="E25" s="2">
        <v>85</v>
      </c>
      <c r="F25" s="41">
        <v>21.122499999999999</v>
      </c>
      <c r="G25" s="2">
        <f t="shared" si="0"/>
        <v>3374.705805529075</v>
      </c>
      <c r="H25" s="2">
        <v>82.3</v>
      </c>
      <c r="I25" s="15">
        <f t="shared" si="1"/>
        <v>277738287.79504287</v>
      </c>
    </row>
    <row r="26" spans="1:9">
      <c r="A26" s="21" t="s">
        <v>0</v>
      </c>
      <c r="B26" s="5">
        <v>2004</v>
      </c>
      <c r="C26" s="2">
        <v>13.47</v>
      </c>
      <c r="D26" s="2">
        <v>0.70453482935951373</v>
      </c>
      <c r="E26" s="2">
        <v>85</v>
      </c>
      <c r="F26" s="41">
        <v>7.65</v>
      </c>
      <c r="G26" s="2">
        <f t="shared" si="0"/>
        <v>3441.419641672197</v>
      </c>
      <c r="H26" s="2">
        <v>71</v>
      </c>
      <c r="I26" s="15">
        <f t="shared" si="1"/>
        <v>244340794.55872598</v>
      </c>
    </row>
    <row r="27" spans="1:9">
      <c r="A27" s="21" t="s">
        <v>0</v>
      </c>
      <c r="B27" s="5">
        <v>2005</v>
      </c>
      <c r="C27" s="2">
        <v>7.75</v>
      </c>
      <c r="D27" s="2">
        <v>0.66245909303412798</v>
      </c>
      <c r="E27" s="2">
        <v>85</v>
      </c>
      <c r="F27" s="41">
        <v>13.727499999999999</v>
      </c>
      <c r="G27" s="2">
        <f t="shared" si="0"/>
        <v>3778.7238884968251</v>
      </c>
      <c r="H27" s="2">
        <v>59.8</v>
      </c>
      <c r="I27" s="15">
        <f t="shared" si="1"/>
        <v>225967688.53211012</v>
      </c>
    </row>
    <row r="28" spans="1:9">
      <c r="A28" s="21" t="s">
        <v>0</v>
      </c>
      <c r="B28" s="5">
        <v>2006</v>
      </c>
      <c r="C28" s="2">
        <v>4.42</v>
      </c>
      <c r="D28" s="2">
        <v>0.82328190743338003</v>
      </c>
      <c r="E28" s="2">
        <v>85</v>
      </c>
      <c r="F28" s="41">
        <v>20.145</v>
      </c>
      <c r="G28" s="2">
        <f t="shared" si="0"/>
        <v>2544.7905281090293</v>
      </c>
      <c r="H28" s="2">
        <v>57.4</v>
      </c>
      <c r="I28" s="15">
        <f t="shared" si="1"/>
        <v>146070976.31345829</v>
      </c>
    </row>
    <row r="29" spans="1:9">
      <c r="A29" s="21" t="s">
        <v>0</v>
      </c>
      <c r="B29" s="5">
        <v>2007</v>
      </c>
      <c r="C29" s="2">
        <v>4.42</v>
      </c>
      <c r="D29" s="2">
        <v>0.85273492286115005</v>
      </c>
      <c r="E29" s="2">
        <v>85</v>
      </c>
      <c r="F29" s="41">
        <v>20.612500000000001</v>
      </c>
      <c r="G29" s="2">
        <f t="shared" si="0"/>
        <v>2513.9113486842102</v>
      </c>
      <c r="H29" s="2">
        <v>54.8</v>
      </c>
      <c r="I29" s="15">
        <f t="shared" si="1"/>
        <v>137762341.9078947</v>
      </c>
    </row>
    <row r="30" spans="1:9">
      <c r="A30" s="21" t="s">
        <v>0</v>
      </c>
      <c r="B30" s="5">
        <v>2008</v>
      </c>
      <c r="C30" s="2">
        <v>3.81</v>
      </c>
      <c r="D30" s="2">
        <v>0.73352033660589055</v>
      </c>
      <c r="E30" s="2">
        <v>85</v>
      </c>
      <c r="F30" s="41">
        <v>17.765000000000001</v>
      </c>
      <c r="G30" s="2">
        <f t="shared" si="0"/>
        <v>2171.1463479923523</v>
      </c>
      <c r="H30" s="2">
        <v>51.9</v>
      </c>
      <c r="I30" s="15">
        <f t="shared" si="1"/>
        <v>112682495.46080308</v>
      </c>
    </row>
    <row r="31" spans="1:9">
      <c r="A31" s="21" t="s">
        <v>0</v>
      </c>
      <c r="B31" s="5">
        <v>2009</v>
      </c>
      <c r="C31" s="2">
        <v>7.49</v>
      </c>
      <c r="D31" s="2">
        <v>0.76811594202898559</v>
      </c>
      <c r="E31" s="2">
        <v>85</v>
      </c>
      <c r="F31" s="41">
        <v>17.934999999999999</v>
      </c>
      <c r="G31" s="2">
        <f t="shared" si="0"/>
        <v>4114.9777358490564</v>
      </c>
      <c r="H31" s="2">
        <v>48.1</v>
      </c>
      <c r="I31" s="15">
        <f t="shared" si="1"/>
        <v>197930429.09433964</v>
      </c>
    </row>
    <row r="32" spans="1:9">
      <c r="A32" s="21" t="s">
        <v>0</v>
      </c>
      <c r="B32" s="5">
        <v>2010</v>
      </c>
      <c r="C32" s="2">
        <v>6.72</v>
      </c>
      <c r="D32" s="2">
        <v>0.76577840112201967</v>
      </c>
      <c r="E32" s="2">
        <v>85</v>
      </c>
      <c r="F32" s="41">
        <v>18.0625</v>
      </c>
      <c r="G32" s="2">
        <f t="shared" si="0"/>
        <v>3729.538461538461</v>
      </c>
      <c r="H32" s="2">
        <v>46.5</v>
      </c>
      <c r="I32" s="15">
        <f t="shared" si="1"/>
        <v>173423538.46153843</v>
      </c>
    </row>
    <row r="33" spans="1:9">
      <c r="A33" s="21" t="s">
        <v>0</v>
      </c>
      <c r="B33" s="5">
        <v>2011</v>
      </c>
      <c r="C33" s="2">
        <v>7.17</v>
      </c>
      <c r="D33" s="2">
        <v>0.74801309022907903</v>
      </c>
      <c r="E33" s="2">
        <v>85</v>
      </c>
      <c r="F33" s="41">
        <v>17.59</v>
      </c>
      <c r="G33" s="2">
        <f t="shared" si="0"/>
        <v>3967.2253191176469</v>
      </c>
      <c r="H33" s="2">
        <v>45.5</v>
      </c>
      <c r="I33" s="15">
        <f t="shared" si="1"/>
        <v>180508752.01985294</v>
      </c>
    </row>
    <row r="34" spans="1:9">
      <c r="A34" s="21" t="s">
        <v>0</v>
      </c>
      <c r="B34" s="5">
        <v>2012</v>
      </c>
      <c r="C34" s="2">
        <v>6.47</v>
      </c>
      <c r="D34" s="2">
        <v>0.80785413744740531</v>
      </c>
      <c r="E34" s="2">
        <v>85</v>
      </c>
      <c r="F34" s="41">
        <v>17.38</v>
      </c>
      <c r="G34" s="2">
        <f t="shared" si="0"/>
        <v>3275.1573447712417</v>
      </c>
      <c r="H34" s="2">
        <v>44.9</v>
      </c>
      <c r="I34" s="15">
        <f t="shared" si="1"/>
        <v>147054564.78022873</v>
      </c>
    </row>
    <row r="35" spans="1:9">
      <c r="A35" s="21" t="s">
        <v>0</v>
      </c>
      <c r="B35" s="5">
        <v>2013</v>
      </c>
      <c r="C35" s="2">
        <v>7.1</v>
      </c>
      <c r="D35" s="2">
        <v>0.81954184198223468</v>
      </c>
      <c r="E35" s="2">
        <v>85</v>
      </c>
      <c r="F35" s="41">
        <v>15.43</v>
      </c>
      <c r="G35" s="2">
        <f t="shared" si="0"/>
        <v>3145.315486057515</v>
      </c>
      <c r="H35" s="2">
        <v>43.1</v>
      </c>
      <c r="I35" s="15">
        <f t="shared" si="1"/>
        <v>135563097.44907889</v>
      </c>
    </row>
    <row r="36" spans="1:9">
      <c r="A36" s="21" t="s">
        <v>0</v>
      </c>
      <c r="B36" s="5">
        <v>2014</v>
      </c>
      <c r="C36" s="2">
        <v>7.25</v>
      </c>
      <c r="D36" s="2">
        <v>1.0032725572697521</v>
      </c>
      <c r="E36" s="2">
        <v>85</v>
      </c>
      <c r="F36" s="41">
        <v>13.557499999999999</v>
      </c>
      <c r="G36" s="2">
        <f t="shared" si="0"/>
        <v>2305.2060810810813</v>
      </c>
      <c r="H36" s="2">
        <v>40.4</v>
      </c>
      <c r="I36" s="15">
        <f t="shared" si="1"/>
        <v>93130325.675675675</v>
      </c>
    </row>
    <row r="37" spans="1:9">
      <c r="A37" s="21" t="s">
        <v>0</v>
      </c>
      <c r="B37" s="5">
        <v>2015</v>
      </c>
      <c r="C37" s="2">
        <v>9.8000000000000007</v>
      </c>
      <c r="D37" s="2">
        <v>1</v>
      </c>
      <c r="E37" s="2">
        <v>85</v>
      </c>
      <c r="F37" s="41">
        <v>12.24</v>
      </c>
      <c r="G37" s="2">
        <f t="shared" si="0"/>
        <v>2822.4000000000005</v>
      </c>
      <c r="H37" s="2">
        <v>37.5</v>
      </c>
      <c r="I37" s="15">
        <f t="shared" si="1"/>
        <v>105840000.00000001</v>
      </c>
    </row>
    <row r="38" spans="1:9">
      <c r="A38" s="21" t="s">
        <v>0</v>
      </c>
      <c r="B38" s="5">
        <v>2016</v>
      </c>
      <c r="C38" s="2">
        <v>11.02</v>
      </c>
      <c r="D38" s="2">
        <v>1.1813931743805515</v>
      </c>
      <c r="E38" s="2">
        <v>85</v>
      </c>
      <c r="F38" s="41">
        <v>9.7750000000000004</v>
      </c>
      <c r="G38" s="2">
        <f t="shared" si="0"/>
        <v>2145.433082706767</v>
      </c>
      <c r="H38" s="2">
        <v>33.799999999999997</v>
      </c>
      <c r="I38" s="15">
        <f t="shared" si="1"/>
        <v>72515638.195488721</v>
      </c>
    </row>
    <row r="39" spans="1:9">
      <c r="A39" s="21" t="s">
        <v>0</v>
      </c>
      <c r="B39" s="5">
        <v>2017</v>
      </c>
      <c r="C39" s="2">
        <v>15.61</v>
      </c>
      <c r="D39" s="2">
        <v>1.4385226741467976</v>
      </c>
      <c r="E39" s="2">
        <v>85</v>
      </c>
      <c r="F39" s="41">
        <v>5.5250000000000004</v>
      </c>
      <c r="G39" s="2">
        <f t="shared" si="0"/>
        <v>1410.6833604159895</v>
      </c>
      <c r="H39" s="2">
        <v>29.8</v>
      </c>
      <c r="I39" s="15">
        <f t="shared" si="1"/>
        <v>42038364.140396483</v>
      </c>
    </row>
    <row r="40" spans="1:9">
      <c r="A40" s="21" t="s">
        <v>0</v>
      </c>
      <c r="B40" s="5">
        <v>2018</v>
      </c>
      <c r="C40" s="2">
        <v>14.55</v>
      </c>
      <c r="D40" s="2">
        <v>1.5455820476858346</v>
      </c>
      <c r="E40" s="2">
        <v>85</v>
      </c>
      <c r="F40" s="41">
        <v>7.7774999999999999</v>
      </c>
      <c r="G40" s="2">
        <f t="shared" si="0"/>
        <v>1722.749047186933</v>
      </c>
      <c r="H40" s="2">
        <v>24.7</v>
      </c>
      <c r="I40" s="15">
        <f t="shared" si="1"/>
        <v>42551901.465517245</v>
      </c>
    </row>
    <row r="41" spans="1:9">
      <c r="A41" s="22" t="s">
        <v>0</v>
      </c>
      <c r="B41" s="14">
        <v>2019</v>
      </c>
      <c r="C41" s="3">
        <v>10.09</v>
      </c>
      <c r="D41" s="3">
        <v>1.1491351098644227</v>
      </c>
      <c r="E41" s="3">
        <v>85</v>
      </c>
      <c r="F41" s="42">
        <v>9.52</v>
      </c>
      <c r="G41" s="3">
        <f t="shared" si="0"/>
        <v>1966.8357363710331</v>
      </c>
      <c r="H41" s="3">
        <v>21.7</v>
      </c>
      <c r="I41" s="16">
        <f t="shared" si="1"/>
        <v>42680335.479251415</v>
      </c>
    </row>
    <row r="42" spans="1:9">
      <c r="A42" s="21" t="s">
        <v>1</v>
      </c>
      <c r="B42" s="5">
        <v>1980</v>
      </c>
      <c r="C42" s="2">
        <v>3.33</v>
      </c>
      <c r="D42" s="2">
        <v>0.4731182795698925</v>
      </c>
      <c r="E42" s="2">
        <v>64</v>
      </c>
      <c r="F42" s="41">
        <v>12.064220183486238</v>
      </c>
      <c r="G42" s="2">
        <f t="shared" si="0"/>
        <v>2653.5286566930777</v>
      </c>
      <c r="H42" s="2">
        <v>21.8</v>
      </c>
      <c r="I42" s="15">
        <f t="shared" si="1"/>
        <v>57846924.715909094</v>
      </c>
    </row>
    <row r="43" spans="1:9">
      <c r="A43" s="21" t="s">
        <v>1</v>
      </c>
      <c r="B43" s="5">
        <v>1981</v>
      </c>
      <c r="C43" s="2">
        <v>1.85</v>
      </c>
      <c r="D43" s="2">
        <v>0.47218326320710613</v>
      </c>
      <c r="E43" s="2">
        <v>64</v>
      </c>
      <c r="F43" s="41">
        <v>9.1363636363636367</v>
      </c>
      <c r="G43" s="2">
        <f t="shared" si="0"/>
        <v>1118.6250421917191</v>
      </c>
      <c r="H43" s="2">
        <v>22</v>
      </c>
      <c r="I43" s="15">
        <f t="shared" si="1"/>
        <v>24609750.928217821</v>
      </c>
    </row>
    <row r="44" spans="1:9">
      <c r="A44" s="21" t="s">
        <v>1</v>
      </c>
      <c r="B44" s="5">
        <v>1982</v>
      </c>
      <c r="C44" s="2">
        <v>1.94</v>
      </c>
      <c r="D44" s="2">
        <v>0.46750818139317435</v>
      </c>
      <c r="E44" s="2">
        <v>64</v>
      </c>
      <c r="F44" s="41">
        <v>10.967741935483872</v>
      </c>
      <c r="G44" s="2">
        <f t="shared" si="0"/>
        <v>1422.2625</v>
      </c>
      <c r="H44" s="2">
        <v>21.7</v>
      </c>
      <c r="I44" s="15">
        <f t="shared" si="1"/>
        <v>30863096.25</v>
      </c>
    </row>
    <row r="45" spans="1:9">
      <c r="A45" s="21" t="s">
        <v>1</v>
      </c>
      <c r="B45" s="5">
        <v>1983</v>
      </c>
      <c r="C45" s="2">
        <v>2.83</v>
      </c>
      <c r="D45" s="2">
        <v>0.47078073866292658</v>
      </c>
      <c r="E45" s="2">
        <v>64</v>
      </c>
      <c r="F45" s="41">
        <v>10.87</v>
      </c>
      <c r="G45" s="2">
        <f t="shared" si="0"/>
        <v>2041.9603990814301</v>
      </c>
      <c r="H45" s="2">
        <v>21.9</v>
      </c>
      <c r="I45" s="15">
        <f t="shared" si="1"/>
        <v>44718932.739883311</v>
      </c>
    </row>
    <row r="46" spans="1:9">
      <c r="A46" s="21" t="s">
        <v>1</v>
      </c>
      <c r="B46" s="5">
        <v>1984</v>
      </c>
      <c r="C46" s="2">
        <v>5.64</v>
      </c>
      <c r="D46" s="2">
        <v>0.48948106591865359</v>
      </c>
      <c r="E46" s="2">
        <v>64</v>
      </c>
      <c r="F46" s="41">
        <v>13.696682464454975</v>
      </c>
      <c r="G46" s="2">
        <f t="shared" si="0"/>
        <v>4931.8358818017614</v>
      </c>
      <c r="H46" s="2">
        <v>21.1</v>
      </c>
      <c r="I46" s="15">
        <f t="shared" si="1"/>
        <v>104061737.10601717</v>
      </c>
    </row>
    <row r="47" spans="1:9">
      <c r="A47" s="21" t="s">
        <v>1</v>
      </c>
      <c r="B47" s="5">
        <v>1985</v>
      </c>
      <c r="C47" s="2">
        <v>5.93</v>
      </c>
      <c r="D47" s="2">
        <v>0.55352968676951853</v>
      </c>
      <c r="E47" s="2">
        <v>64</v>
      </c>
      <c r="F47" s="41">
        <v>12.727272727272728</v>
      </c>
      <c r="G47" s="2">
        <f t="shared" si="0"/>
        <v>4260.8784743550359</v>
      </c>
      <c r="H47" s="2">
        <v>20.9</v>
      </c>
      <c r="I47" s="15">
        <f t="shared" si="1"/>
        <v>89052360.114020243</v>
      </c>
    </row>
    <row r="48" spans="1:9">
      <c r="A48" s="21" t="s">
        <v>1</v>
      </c>
      <c r="B48" s="5">
        <v>1986</v>
      </c>
      <c r="C48" s="2">
        <v>4.62</v>
      </c>
      <c r="D48" s="2">
        <v>0.53669939223936414</v>
      </c>
      <c r="E48" s="2">
        <v>64</v>
      </c>
      <c r="F48" s="41">
        <v>14.663461538461538</v>
      </c>
      <c r="G48" s="2">
        <f t="shared" si="0"/>
        <v>3944.5493887781431</v>
      </c>
      <c r="H48" s="2">
        <v>20.8</v>
      </c>
      <c r="I48" s="15">
        <f t="shared" si="1"/>
        <v>82046627.286585376</v>
      </c>
    </row>
    <row r="49" spans="1:9">
      <c r="A49" s="21" t="s">
        <v>1</v>
      </c>
      <c r="B49" s="5">
        <v>1987</v>
      </c>
      <c r="C49" s="2">
        <v>4.76</v>
      </c>
      <c r="D49" s="2">
        <v>0.58859280037400652</v>
      </c>
      <c r="E49" s="2">
        <v>64</v>
      </c>
      <c r="F49" s="41">
        <v>14.396135265700483</v>
      </c>
      <c r="G49" s="2">
        <f t="shared" si="0"/>
        <v>3638.2115435530845</v>
      </c>
      <c r="H49" s="2">
        <v>20.7</v>
      </c>
      <c r="I49" s="15">
        <f t="shared" si="1"/>
        <v>75310978.951548845</v>
      </c>
    </row>
    <row r="50" spans="1:9">
      <c r="A50" s="21" t="s">
        <v>1</v>
      </c>
      <c r="B50" s="5">
        <v>1988</v>
      </c>
      <c r="C50" s="2">
        <v>4.55</v>
      </c>
      <c r="D50" s="2">
        <v>0.66386161757830764</v>
      </c>
      <c r="E50" s="2">
        <v>64</v>
      </c>
      <c r="F50" s="41">
        <v>13.216080402010052</v>
      </c>
      <c r="G50" s="2">
        <f t="shared" si="0"/>
        <v>2830.6523263323661</v>
      </c>
      <c r="H50" s="2">
        <v>19.899999999999999</v>
      </c>
      <c r="I50" s="15">
        <f t="shared" si="1"/>
        <v>56329981.294014081</v>
      </c>
    </row>
    <row r="51" spans="1:9">
      <c r="A51" s="21" t="s">
        <v>1</v>
      </c>
      <c r="B51" s="5">
        <v>1989</v>
      </c>
      <c r="C51" s="2">
        <v>6.28</v>
      </c>
      <c r="D51" s="2">
        <v>0.63581112669471718</v>
      </c>
      <c r="E51" s="2">
        <v>64</v>
      </c>
      <c r="F51" s="41">
        <v>16.145833333333336</v>
      </c>
      <c r="G51" s="2">
        <f t="shared" si="0"/>
        <v>4983.5865693933838</v>
      </c>
      <c r="H51" s="2">
        <v>19.2</v>
      </c>
      <c r="I51" s="15">
        <f t="shared" si="1"/>
        <v>95684862.132352963</v>
      </c>
    </row>
    <row r="52" spans="1:9">
      <c r="A52" s="21" t="s">
        <v>1</v>
      </c>
      <c r="B52" s="5">
        <v>1990</v>
      </c>
      <c r="C52" s="2">
        <v>4.87</v>
      </c>
      <c r="D52" s="2">
        <v>0.70500233754090702</v>
      </c>
      <c r="E52" s="2">
        <v>64</v>
      </c>
      <c r="F52" s="41">
        <v>14.316939890710382</v>
      </c>
      <c r="G52" s="2">
        <f t="shared" si="0"/>
        <v>3090.5703053659172</v>
      </c>
      <c r="H52" s="2">
        <v>18.3</v>
      </c>
      <c r="I52" s="15">
        <f t="shared" si="1"/>
        <v>56557436.588196285</v>
      </c>
    </row>
    <row r="53" spans="1:9">
      <c r="A53" s="21" t="s">
        <v>1</v>
      </c>
      <c r="B53" s="5">
        <v>1991</v>
      </c>
      <c r="C53" s="2">
        <v>4.3899999999999997</v>
      </c>
      <c r="D53" s="2">
        <v>0.95745675549322118</v>
      </c>
      <c r="E53" s="2">
        <v>64</v>
      </c>
      <c r="F53" s="41">
        <v>18.1235</v>
      </c>
      <c r="G53" s="2">
        <f t="shared" si="0"/>
        <v>2596.7936849212642</v>
      </c>
      <c r="H53" s="2">
        <v>18.5</v>
      </c>
      <c r="I53" s="15">
        <f t="shared" si="1"/>
        <v>48040683.171043389</v>
      </c>
    </row>
    <row r="54" spans="1:9">
      <c r="A54" s="21" t="s">
        <v>1</v>
      </c>
      <c r="B54" s="5">
        <v>1992</v>
      </c>
      <c r="C54" s="2">
        <v>3.11</v>
      </c>
      <c r="D54" s="2">
        <v>0.48574100046750818</v>
      </c>
      <c r="E54" s="2">
        <v>64</v>
      </c>
      <c r="F54" s="41">
        <v>17.319500000000001</v>
      </c>
      <c r="G54" s="2">
        <f t="shared" si="0"/>
        <v>3465.3012709035129</v>
      </c>
      <c r="H54" s="2">
        <v>17.8</v>
      </c>
      <c r="I54" s="15">
        <f t="shared" si="1"/>
        <v>61682362.622082531</v>
      </c>
    </row>
    <row r="55" spans="1:9">
      <c r="A55" s="21" t="s">
        <v>1</v>
      </c>
      <c r="B55" s="5">
        <v>1993</v>
      </c>
      <c r="C55" s="2">
        <v>3.86</v>
      </c>
      <c r="D55" s="2">
        <v>0.51753155680224405</v>
      </c>
      <c r="E55" s="2">
        <v>67</v>
      </c>
      <c r="F55" s="41">
        <v>17.319500000000001</v>
      </c>
      <c r="G55" s="2">
        <f t="shared" si="0"/>
        <v>3856.0353929539292</v>
      </c>
      <c r="H55" s="2">
        <v>18</v>
      </c>
      <c r="I55" s="15">
        <f t="shared" si="1"/>
        <v>69408637.073170722</v>
      </c>
    </row>
    <row r="56" spans="1:9">
      <c r="A56" s="21" t="s">
        <v>1</v>
      </c>
      <c r="B56" s="5">
        <v>1994</v>
      </c>
      <c r="C56" s="2">
        <v>3.7</v>
      </c>
      <c r="D56" s="2">
        <v>0.5053763440860215</v>
      </c>
      <c r="E56" s="2">
        <v>67</v>
      </c>
      <c r="F56" s="41">
        <v>16.9175</v>
      </c>
      <c r="G56" s="2">
        <f t="shared" si="0"/>
        <v>3697.244680851064</v>
      </c>
      <c r="H56" s="2">
        <v>18.399999999999999</v>
      </c>
      <c r="I56" s="15">
        <f t="shared" si="1"/>
        <v>68029302.127659574</v>
      </c>
    </row>
    <row r="57" spans="1:9">
      <c r="A57" s="21" t="s">
        <v>1</v>
      </c>
      <c r="B57" s="5">
        <v>1995</v>
      </c>
      <c r="C57" s="2">
        <v>4.6399999999999997</v>
      </c>
      <c r="D57" s="2">
        <v>0.50163627863487603</v>
      </c>
      <c r="E57" s="2">
        <v>67</v>
      </c>
      <c r="F57" s="41">
        <v>14.438499999999999</v>
      </c>
      <c r="G57" s="2">
        <f t="shared" si="0"/>
        <v>3986.6335135135141</v>
      </c>
      <c r="H57" s="2">
        <v>18.8</v>
      </c>
      <c r="I57" s="15">
        <f t="shared" si="1"/>
        <v>74948710.054054067</v>
      </c>
    </row>
    <row r="58" spans="1:9">
      <c r="A58" s="21" t="s">
        <v>1</v>
      </c>
      <c r="B58" s="5">
        <v>1996</v>
      </c>
      <c r="C58" s="2">
        <v>4.4800000000000004</v>
      </c>
      <c r="D58" s="2">
        <v>0.60028050490883589</v>
      </c>
      <c r="E58" s="2">
        <v>67</v>
      </c>
      <c r="F58" s="41">
        <v>15.276</v>
      </c>
      <c r="G58" s="2">
        <f t="shared" si="0"/>
        <v>3403.2089719626169</v>
      </c>
      <c r="H58" s="2">
        <v>18</v>
      </c>
      <c r="I58" s="15">
        <f t="shared" si="1"/>
        <v>61257761.495327108</v>
      </c>
    </row>
    <row r="59" spans="1:9">
      <c r="A59" s="21" t="s">
        <v>1</v>
      </c>
      <c r="B59" s="5">
        <v>1997</v>
      </c>
      <c r="C59" s="2">
        <v>6.48</v>
      </c>
      <c r="D59" s="2">
        <v>0.52267414679756896</v>
      </c>
      <c r="E59" s="2">
        <v>67</v>
      </c>
      <c r="F59" s="41">
        <v>15.946</v>
      </c>
      <c r="G59" s="2">
        <f t="shared" si="0"/>
        <v>5901.3441144901608</v>
      </c>
      <c r="H59" s="2">
        <v>16.8</v>
      </c>
      <c r="I59" s="15">
        <f t="shared" si="1"/>
        <v>99142581.123434708</v>
      </c>
    </row>
    <row r="60" spans="1:9">
      <c r="A60" s="21" t="s">
        <v>1</v>
      </c>
      <c r="B60" s="5">
        <v>1998</v>
      </c>
      <c r="C60" s="2">
        <v>8.6300000000000008</v>
      </c>
      <c r="D60" s="2">
        <v>0.51425899953249177</v>
      </c>
      <c r="E60" s="2">
        <v>67</v>
      </c>
      <c r="F60" s="41">
        <v>14.74</v>
      </c>
      <c r="G60" s="2">
        <f t="shared" si="0"/>
        <v>7383.8280000000004</v>
      </c>
      <c r="H60" s="2">
        <v>16.600000000000001</v>
      </c>
      <c r="I60" s="15">
        <f t="shared" si="1"/>
        <v>122571544.80000001</v>
      </c>
    </row>
    <row r="61" spans="1:9">
      <c r="A61" s="21" t="s">
        <v>1</v>
      </c>
      <c r="B61" s="5">
        <v>1999</v>
      </c>
      <c r="C61" s="2">
        <v>6.03</v>
      </c>
      <c r="D61" s="2">
        <v>0.74146797568957457</v>
      </c>
      <c r="E61" s="2">
        <v>67</v>
      </c>
      <c r="F61" s="41">
        <v>14.539</v>
      </c>
      <c r="G61" s="2">
        <f t="shared" si="0"/>
        <v>3529.5118411097101</v>
      </c>
      <c r="H61" s="2">
        <v>16.600000000000001</v>
      </c>
      <c r="I61" s="15">
        <f t="shared" si="1"/>
        <v>58589896.562421195</v>
      </c>
    </row>
    <row r="62" spans="1:9">
      <c r="A62" s="21" t="s">
        <v>1</v>
      </c>
      <c r="B62" s="5">
        <v>2000</v>
      </c>
      <c r="C62" s="2">
        <v>6.59</v>
      </c>
      <c r="D62" s="2">
        <v>0.45067788686302013</v>
      </c>
      <c r="E62" s="2">
        <v>67</v>
      </c>
      <c r="F62" s="41">
        <v>13.701499999999999</v>
      </c>
      <c r="G62" s="2">
        <f t="shared" si="0"/>
        <v>5980.5685580912859</v>
      </c>
      <c r="H62" s="2">
        <v>15.4</v>
      </c>
      <c r="I62" s="15">
        <f t="shared" si="1"/>
        <v>92100755.794605806</v>
      </c>
    </row>
    <row r="63" spans="1:9">
      <c r="A63" s="21" t="s">
        <v>1</v>
      </c>
      <c r="B63" s="5">
        <v>2001</v>
      </c>
      <c r="C63" s="2">
        <v>5.83</v>
      </c>
      <c r="D63" s="2">
        <v>0.58765778401122015</v>
      </c>
      <c r="E63" s="2">
        <v>67</v>
      </c>
      <c r="F63" s="41">
        <v>14.1035</v>
      </c>
      <c r="G63" s="2">
        <f t="shared" si="0"/>
        <v>4176.6314797136047</v>
      </c>
      <c r="H63" s="2">
        <v>14</v>
      </c>
      <c r="I63" s="15">
        <f t="shared" si="1"/>
        <v>58472840.715990469</v>
      </c>
    </row>
    <row r="64" spans="1:9">
      <c r="A64" s="21" t="s">
        <v>1</v>
      </c>
      <c r="B64" s="5">
        <v>2002</v>
      </c>
      <c r="C64" s="2">
        <v>9.2799999999999994</v>
      </c>
      <c r="D64" s="2">
        <v>0.61524076671341743</v>
      </c>
      <c r="E64" s="2">
        <v>67</v>
      </c>
      <c r="F64" s="41">
        <v>14.438499999999999</v>
      </c>
      <c r="G64" s="2">
        <f t="shared" si="0"/>
        <v>6500.9996352583585</v>
      </c>
      <c r="H64" s="2">
        <v>13</v>
      </c>
      <c r="I64" s="15">
        <f t="shared" si="1"/>
        <v>84512995.258358657</v>
      </c>
    </row>
    <row r="65" spans="1:9">
      <c r="A65" s="21" t="s">
        <v>1</v>
      </c>
      <c r="B65" s="5">
        <v>2003</v>
      </c>
      <c r="C65" s="2">
        <v>7.42</v>
      </c>
      <c r="D65" s="2">
        <v>0.49041608228143996</v>
      </c>
      <c r="E65" s="2">
        <v>67</v>
      </c>
      <c r="F65" s="41">
        <v>16.180499999999999</v>
      </c>
      <c r="G65" s="2">
        <f t="shared" si="0"/>
        <v>7307.7946043851271</v>
      </c>
      <c r="H65" s="2">
        <v>12</v>
      </c>
      <c r="I65" s="15">
        <f t="shared" si="1"/>
        <v>87693535.252621531</v>
      </c>
    </row>
    <row r="66" spans="1:9">
      <c r="A66" s="21" t="s">
        <v>1</v>
      </c>
      <c r="B66" s="5">
        <v>2004</v>
      </c>
      <c r="C66" s="2">
        <v>13.39</v>
      </c>
      <c r="D66" s="2">
        <v>0.70453482935951373</v>
      </c>
      <c r="E66" s="2">
        <v>67</v>
      </c>
      <c r="F66" s="41">
        <v>18.592500000000001</v>
      </c>
      <c r="G66" s="2">
        <f t="shared" si="0"/>
        <v>10548.023589913737</v>
      </c>
      <c r="H66" s="2">
        <v>11</v>
      </c>
      <c r="I66" s="15">
        <f t="shared" si="1"/>
        <v>116028259.4890511</v>
      </c>
    </row>
    <row r="67" spans="1:9">
      <c r="A67" s="21" t="s">
        <v>1</v>
      </c>
      <c r="B67" s="5">
        <v>2005</v>
      </c>
      <c r="C67" s="2">
        <v>10.39</v>
      </c>
      <c r="D67" s="2">
        <v>0.66245909303412798</v>
      </c>
      <c r="E67" s="2">
        <v>67</v>
      </c>
      <c r="F67" s="41">
        <v>20.100000000000001</v>
      </c>
      <c r="G67" s="2">
        <f t="shared" ref="G67:G130" si="2">((C67/D67)/E67)*(F67*2000)</f>
        <v>9410.3923782639395</v>
      </c>
      <c r="H67" s="2">
        <v>10</v>
      </c>
      <c r="I67" s="15">
        <f t="shared" si="1"/>
        <v>94103923.782639399</v>
      </c>
    </row>
    <row r="68" spans="1:9">
      <c r="A68" s="21" t="s">
        <v>1</v>
      </c>
      <c r="B68" s="5">
        <v>2006</v>
      </c>
      <c r="C68" s="2">
        <v>9.31</v>
      </c>
      <c r="D68" s="2">
        <v>0.82328190743338003</v>
      </c>
      <c r="E68" s="2">
        <v>67</v>
      </c>
      <c r="F68" s="41">
        <v>19.195499999999999</v>
      </c>
      <c r="G68" s="2">
        <f t="shared" si="2"/>
        <v>6479.7124190800687</v>
      </c>
      <c r="H68" s="2">
        <v>9.6</v>
      </c>
      <c r="I68" s="15">
        <f t="shared" ref="I68:I131" si="3">G68*H68*1000</f>
        <v>62205239.223168656</v>
      </c>
    </row>
    <row r="69" spans="1:9">
      <c r="A69" s="21" t="s">
        <v>1</v>
      </c>
      <c r="B69" s="5">
        <v>2007</v>
      </c>
      <c r="C69" s="2">
        <v>6.2</v>
      </c>
      <c r="D69" s="2">
        <v>0.85273492286115005</v>
      </c>
      <c r="E69" s="2">
        <v>67</v>
      </c>
      <c r="F69" s="41">
        <v>18.157</v>
      </c>
      <c r="G69" s="2">
        <f t="shared" si="2"/>
        <v>3940.7322368421055</v>
      </c>
      <c r="H69" s="2">
        <v>9.6</v>
      </c>
      <c r="I69" s="15">
        <f t="shared" si="3"/>
        <v>37831029.473684214</v>
      </c>
    </row>
    <row r="70" spans="1:9">
      <c r="A70" s="21" t="s">
        <v>1</v>
      </c>
      <c r="B70" s="5">
        <v>2008</v>
      </c>
      <c r="C70" s="2">
        <v>5.85</v>
      </c>
      <c r="D70" s="2">
        <v>0.73352033660589055</v>
      </c>
      <c r="E70" s="2">
        <v>67</v>
      </c>
      <c r="F70" s="41">
        <v>16.75</v>
      </c>
      <c r="G70" s="2">
        <f t="shared" si="2"/>
        <v>3987.619502868069</v>
      </c>
      <c r="H70" s="2">
        <v>9.6</v>
      </c>
      <c r="I70" s="15">
        <f t="shared" si="3"/>
        <v>38281147.22753346</v>
      </c>
    </row>
    <row r="71" spans="1:9">
      <c r="A71" s="21" t="s">
        <v>1</v>
      </c>
      <c r="B71" s="5">
        <v>2009</v>
      </c>
      <c r="C71" s="2">
        <v>4.4000000000000004</v>
      </c>
      <c r="D71" s="2">
        <v>0.76811594202898559</v>
      </c>
      <c r="E71" s="2">
        <v>67</v>
      </c>
      <c r="F71" s="41">
        <v>15.711499999999999</v>
      </c>
      <c r="G71" s="2">
        <f t="shared" si="2"/>
        <v>2686.5735849056605</v>
      </c>
      <c r="H71" s="2">
        <v>9.6</v>
      </c>
      <c r="I71" s="15">
        <f t="shared" si="3"/>
        <v>25791106.415094338</v>
      </c>
    </row>
    <row r="72" spans="1:9">
      <c r="A72" s="21" t="s">
        <v>1</v>
      </c>
      <c r="B72" s="5">
        <v>2010</v>
      </c>
      <c r="C72" s="2">
        <v>9.3000000000000007</v>
      </c>
      <c r="D72" s="2">
        <v>0.76577840112201967</v>
      </c>
      <c r="E72" s="2">
        <v>80</v>
      </c>
      <c r="F72" s="41">
        <v>17.96</v>
      </c>
      <c r="G72" s="2">
        <f t="shared" si="2"/>
        <v>5452.8829670329678</v>
      </c>
      <c r="H72" s="2">
        <v>9.6</v>
      </c>
      <c r="I72" s="15">
        <f t="shared" si="3"/>
        <v>52347676.483516484</v>
      </c>
    </row>
    <row r="73" spans="1:9">
      <c r="A73" s="21" t="s">
        <v>1</v>
      </c>
      <c r="B73" s="5">
        <v>2011</v>
      </c>
      <c r="C73" s="2">
        <v>11.83</v>
      </c>
      <c r="D73" s="2">
        <v>0.74801309022907903</v>
      </c>
      <c r="E73" s="2">
        <v>80</v>
      </c>
      <c r="F73" s="41">
        <v>16.48</v>
      </c>
      <c r="G73" s="2">
        <f t="shared" si="2"/>
        <v>6515.8752749999994</v>
      </c>
      <c r="H73" s="2">
        <v>9.6999999999999993</v>
      </c>
      <c r="I73" s="15">
        <f t="shared" si="3"/>
        <v>63203990.167499989</v>
      </c>
    </row>
    <row r="74" spans="1:9">
      <c r="A74" s="21" t="s">
        <v>1</v>
      </c>
      <c r="B74" s="5">
        <v>2012</v>
      </c>
      <c r="C74" s="2">
        <v>7.96</v>
      </c>
      <c r="D74" s="2">
        <v>0.80785413744740531</v>
      </c>
      <c r="E74" s="2">
        <v>80</v>
      </c>
      <c r="F74" s="41">
        <v>18</v>
      </c>
      <c r="G74" s="2">
        <f t="shared" si="2"/>
        <v>4433.9687500000009</v>
      </c>
      <c r="H74" s="2">
        <v>10</v>
      </c>
      <c r="I74" s="15">
        <f t="shared" si="3"/>
        <v>44339687.500000007</v>
      </c>
    </row>
    <row r="75" spans="1:9">
      <c r="A75" s="21" t="s">
        <v>1</v>
      </c>
      <c r="B75" s="5">
        <v>2013</v>
      </c>
      <c r="C75" s="2">
        <v>7.91</v>
      </c>
      <c r="D75" s="2">
        <v>0.81954184198223468</v>
      </c>
      <c r="E75" s="2">
        <v>80</v>
      </c>
      <c r="F75" s="41">
        <v>15.72</v>
      </c>
      <c r="G75" s="2">
        <f t="shared" si="2"/>
        <v>3793.1315288077581</v>
      </c>
      <c r="H75" s="2">
        <v>9.8000000000000007</v>
      </c>
      <c r="I75" s="15">
        <f t="shared" si="3"/>
        <v>37172688.982316032</v>
      </c>
    </row>
    <row r="76" spans="1:9">
      <c r="A76" s="21" t="s">
        <v>1</v>
      </c>
      <c r="B76" s="5">
        <v>2014</v>
      </c>
      <c r="C76" s="2">
        <v>7.91</v>
      </c>
      <c r="D76" s="2">
        <v>1.0032725572697521</v>
      </c>
      <c r="E76" s="2">
        <v>80</v>
      </c>
      <c r="F76" s="41">
        <v>19.600000000000001</v>
      </c>
      <c r="G76" s="2">
        <f t="shared" si="2"/>
        <v>3863.2572693383045</v>
      </c>
      <c r="H76" s="2">
        <v>9.8000000000000007</v>
      </c>
      <c r="I76" s="15">
        <f t="shared" si="3"/>
        <v>37859921.239515387</v>
      </c>
    </row>
    <row r="77" spans="1:9">
      <c r="A77" s="21" t="s">
        <v>1</v>
      </c>
      <c r="B77" s="5">
        <v>2015</v>
      </c>
      <c r="C77" s="2">
        <v>15.27</v>
      </c>
      <c r="D77" s="2">
        <v>1</v>
      </c>
      <c r="E77" s="2">
        <v>80</v>
      </c>
      <c r="F77" s="41">
        <v>16</v>
      </c>
      <c r="G77" s="2">
        <f t="shared" si="2"/>
        <v>6108</v>
      </c>
      <c r="H77" s="2">
        <v>9.5</v>
      </c>
      <c r="I77" s="15">
        <f t="shared" si="3"/>
        <v>58026000</v>
      </c>
    </row>
    <row r="78" spans="1:9">
      <c r="A78" s="21" t="s">
        <v>1</v>
      </c>
      <c r="B78" s="5">
        <v>2016</v>
      </c>
      <c r="C78" s="2">
        <v>16.37</v>
      </c>
      <c r="D78" s="2">
        <v>1.1813931743805515</v>
      </c>
      <c r="E78" s="2">
        <v>80</v>
      </c>
      <c r="F78" s="41">
        <v>18.72</v>
      </c>
      <c r="G78" s="2">
        <f t="shared" si="2"/>
        <v>6484.8520933913751</v>
      </c>
      <c r="H78" s="2">
        <v>9.4</v>
      </c>
      <c r="I78" s="15">
        <f t="shared" si="3"/>
        <v>60957609.677878931</v>
      </c>
    </row>
    <row r="79" spans="1:9">
      <c r="A79" s="21" t="s">
        <v>1</v>
      </c>
      <c r="B79" s="5">
        <v>2017</v>
      </c>
      <c r="C79" s="2">
        <v>15.57</v>
      </c>
      <c r="D79" s="2">
        <v>1.4385226741467976</v>
      </c>
      <c r="E79" s="2">
        <v>80</v>
      </c>
      <c r="F79" s="41">
        <v>16.36</v>
      </c>
      <c r="G79" s="2">
        <f t="shared" si="2"/>
        <v>4426.8541013974655</v>
      </c>
      <c r="H79" s="2">
        <v>9.3000000000000007</v>
      </c>
      <c r="I79" s="15">
        <f t="shared" si="3"/>
        <v>41169743.142996438</v>
      </c>
    </row>
    <row r="80" spans="1:9">
      <c r="A80" s="21" t="s">
        <v>1</v>
      </c>
      <c r="B80" s="5">
        <v>2018</v>
      </c>
      <c r="C80" s="2">
        <v>10.47</v>
      </c>
      <c r="D80" s="2">
        <v>1.5455820476858346</v>
      </c>
      <c r="E80" s="2">
        <v>80</v>
      </c>
      <c r="F80" s="41">
        <v>18.68</v>
      </c>
      <c r="G80" s="2">
        <f t="shared" si="2"/>
        <v>3163.5266515426497</v>
      </c>
      <c r="H80" s="2">
        <v>9</v>
      </c>
      <c r="I80" s="15">
        <f t="shared" si="3"/>
        <v>28471739.863883846</v>
      </c>
    </row>
    <row r="81" spans="1:9">
      <c r="A81" s="22" t="s">
        <v>1</v>
      </c>
      <c r="B81" s="14">
        <v>2019</v>
      </c>
      <c r="C81" s="3">
        <v>14.47</v>
      </c>
      <c r="D81" s="3">
        <v>1.1491351098644227</v>
      </c>
      <c r="E81" s="3">
        <v>80</v>
      </c>
      <c r="F81" s="42">
        <v>17.48</v>
      </c>
      <c r="G81" s="3">
        <f t="shared" si="2"/>
        <v>5502.7384906427988</v>
      </c>
      <c r="H81" s="3">
        <v>8.6999999999999993</v>
      </c>
      <c r="I81" s="16">
        <f t="shared" si="3"/>
        <v>47873824.868592344</v>
      </c>
    </row>
    <row r="82" spans="1:9">
      <c r="A82" s="21" t="s">
        <v>2</v>
      </c>
      <c r="B82" s="5">
        <v>1980</v>
      </c>
      <c r="C82" s="2">
        <v>3.27</v>
      </c>
      <c r="D82" s="2">
        <v>0.4731182795698925</v>
      </c>
      <c r="E82" s="2">
        <v>80</v>
      </c>
      <c r="F82" s="41">
        <v>6.4578313253012052</v>
      </c>
      <c r="G82" s="2">
        <f t="shared" si="2"/>
        <v>1115.8472070098576</v>
      </c>
      <c r="H82" s="2">
        <v>41.5</v>
      </c>
      <c r="I82" s="15">
        <f t="shared" si="3"/>
        <v>46307659.090909086</v>
      </c>
    </row>
    <row r="83" spans="1:9">
      <c r="A83" s="21" t="s">
        <v>2</v>
      </c>
      <c r="B83" s="5">
        <v>1981</v>
      </c>
      <c r="C83" s="2">
        <v>1.89</v>
      </c>
      <c r="D83" s="2">
        <v>0.47218326320710613</v>
      </c>
      <c r="E83" s="2">
        <v>80</v>
      </c>
      <c r="F83" s="41">
        <v>13.527980535279806</v>
      </c>
      <c r="G83" s="2">
        <f t="shared" si="2"/>
        <v>1353.705499747055</v>
      </c>
      <c r="H83" s="2">
        <v>41.1</v>
      </c>
      <c r="I83" s="15">
        <f t="shared" si="3"/>
        <v>55637296.039603963</v>
      </c>
    </row>
    <row r="84" spans="1:9">
      <c r="A84" s="21" t="s">
        <v>2</v>
      </c>
      <c r="B84" s="5">
        <v>1982</v>
      </c>
      <c r="C84" s="2">
        <v>1.26</v>
      </c>
      <c r="D84" s="2">
        <v>0.46750818139317435</v>
      </c>
      <c r="E84" s="2">
        <v>80</v>
      </c>
      <c r="F84" s="41">
        <v>10.616113744075829</v>
      </c>
      <c r="G84" s="2">
        <f t="shared" si="2"/>
        <v>715.29781990521326</v>
      </c>
      <c r="H84" s="2">
        <v>42.2</v>
      </c>
      <c r="I84" s="15">
        <f t="shared" si="3"/>
        <v>30185568.000000004</v>
      </c>
    </row>
    <row r="85" spans="1:9">
      <c r="A85" s="21" t="s">
        <v>2</v>
      </c>
      <c r="B85" s="5">
        <v>1983</v>
      </c>
      <c r="C85" s="2">
        <v>1.99</v>
      </c>
      <c r="D85" s="2">
        <v>0.47078073866292658</v>
      </c>
      <c r="E85" s="2">
        <v>80</v>
      </c>
      <c r="F85" s="41">
        <v>2.956120092378753</v>
      </c>
      <c r="G85" s="2">
        <f t="shared" si="2"/>
        <v>312.38953193694942</v>
      </c>
      <c r="H85" s="2">
        <v>43.3</v>
      </c>
      <c r="I85" s="15">
        <f t="shared" si="3"/>
        <v>13526466.732869908</v>
      </c>
    </row>
    <row r="86" spans="1:9">
      <c r="A86" s="21" t="s">
        <v>2</v>
      </c>
      <c r="B86" s="5">
        <v>1984</v>
      </c>
      <c r="C86" s="2" t="e">
        <v>#N/A</v>
      </c>
      <c r="D86" s="2">
        <v>0.48948106591865359</v>
      </c>
      <c r="E86" s="2">
        <v>80</v>
      </c>
      <c r="F86" s="2" t="e">
        <v>#N/A</v>
      </c>
      <c r="G86" s="2" t="e">
        <f t="shared" si="2"/>
        <v>#N/A</v>
      </c>
      <c r="H86" s="2">
        <v>19.100000000000001</v>
      </c>
      <c r="I86" s="15" t="e">
        <f t="shared" si="3"/>
        <v>#N/A</v>
      </c>
    </row>
    <row r="87" spans="1:9">
      <c r="A87" s="21" t="s">
        <v>2</v>
      </c>
      <c r="B87" s="5">
        <v>1985</v>
      </c>
      <c r="C87" s="2">
        <v>8.4</v>
      </c>
      <c r="D87" s="2">
        <v>0.55352968676951853</v>
      </c>
      <c r="E87" s="2">
        <v>80</v>
      </c>
      <c r="F87" s="41">
        <v>0.67</v>
      </c>
      <c r="G87" s="2">
        <f t="shared" si="2"/>
        <v>254.18690878378376</v>
      </c>
      <c r="H87" s="2">
        <v>13.5</v>
      </c>
      <c r="I87" s="15">
        <f t="shared" si="3"/>
        <v>3431523.2685810807</v>
      </c>
    </row>
    <row r="88" spans="1:9">
      <c r="A88" s="21" t="s">
        <v>2</v>
      </c>
      <c r="B88" s="5">
        <v>1986</v>
      </c>
      <c r="C88" s="2">
        <v>6.69</v>
      </c>
      <c r="D88" s="2">
        <v>0.53669939223936414</v>
      </c>
      <c r="E88" s="2">
        <v>80</v>
      </c>
      <c r="F88" s="41">
        <v>5.16</v>
      </c>
      <c r="G88" s="2">
        <f t="shared" si="2"/>
        <v>1607.9951132404183</v>
      </c>
      <c r="H88" s="2">
        <v>15.2</v>
      </c>
      <c r="I88" s="15">
        <f t="shared" si="3"/>
        <v>24441525.72125436</v>
      </c>
    </row>
    <row r="89" spans="1:9">
      <c r="A89" s="21" t="s">
        <v>2</v>
      </c>
      <c r="B89" s="5">
        <v>1987</v>
      </c>
      <c r="C89" s="2">
        <v>5.73</v>
      </c>
      <c r="D89" s="2">
        <v>0.58859280037400652</v>
      </c>
      <c r="E89" s="2">
        <v>80</v>
      </c>
      <c r="F89" s="41">
        <v>9.5</v>
      </c>
      <c r="G89" s="2">
        <f t="shared" si="2"/>
        <v>2312.082307386815</v>
      </c>
      <c r="H89" s="2">
        <v>16</v>
      </c>
      <c r="I89" s="15">
        <f t="shared" si="3"/>
        <v>36993316.918189041</v>
      </c>
    </row>
    <row r="90" spans="1:9">
      <c r="A90" s="21" t="s">
        <v>2</v>
      </c>
      <c r="B90" s="5">
        <v>1988</v>
      </c>
      <c r="C90" s="2">
        <v>4.21</v>
      </c>
      <c r="D90" s="2">
        <v>0.66386161757830764</v>
      </c>
      <c r="E90" s="2">
        <v>80</v>
      </c>
      <c r="F90" s="41">
        <v>11.360946745562131</v>
      </c>
      <c r="G90" s="2">
        <f t="shared" si="2"/>
        <v>1801.1880990082504</v>
      </c>
      <c r="H90" s="2">
        <v>16.899999999999999</v>
      </c>
      <c r="I90" s="15">
        <f t="shared" si="3"/>
        <v>30440078.873239428</v>
      </c>
    </row>
    <row r="91" spans="1:9">
      <c r="A91" s="21" t="s">
        <v>2</v>
      </c>
      <c r="B91" s="5">
        <v>1989</v>
      </c>
      <c r="C91" s="2">
        <v>6</v>
      </c>
      <c r="D91" s="2">
        <v>0.63581112669471718</v>
      </c>
      <c r="E91" s="2">
        <v>80</v>
      </c>
      <c r="F91" s="41">
        <v>4.2780748663101607</v>
      </c>
      <c r="G91" s="2">
        <f t="shared" si="2"/>
        <v>1009.2796476879521</v>
      </c>
      <c r="H91" s="2">
        <v>18.7</v>
      </c>
      <c r="I91" s="15">
        <f t="shared" si="3"/>
        <v>18873529.411764704</v>
      </c>
    </row>
    <row r="92" spans="1:9">
      <c r="A92" s="21" t="s">
        <v>2</v>
      </c>
      <c r="B92" s="5">
        <v>1990</v>
      </c>
      <c r="C92" s="2" t="e">
        <v>#N/A</v>
      </c>
      <c r="D92" s="2">
        <v>0.70500233754090702</v>
      </c>
      <c r="E92" s="2">
        <v>80</v>
      </c>
      <c r="F92" s="2" t="e">
        <v>#N/A</v>
      </c>
      <c r="G92" s="2" t="e">
        <f t="shared" si="2"/>
        <v>#N/A</v>
      </c>
      <c r="H92" s="2">
        <v>4.5</v>
      </c>
      <c r="I92" s="15" t="e">
        <f t="shared" si="3"/>
        <v>#N/A</v>
      </c>
    </row>
    <row r="93" spans="1:9">
      <c r="A93" s="21" t="s">
        <v>2</v>
      </c>
      <c r="B93" s="5">
        <v>1991</v>
      </c>
      <c r="C93" s="2">
        <v>13.52</v>
      </c>
      <c r="D93" s="2">
        <v>0.95745675549322118</v>
      </c>
      <c r="E93" s="2">
        <v>80</v>
      </c>
      <c r="F93" s="41">
        <v>0.36</v>
      </c>
      <c r="G93" s="2">
        <f t="shared" si="2"/>
        <v>127.08667968749999</v>
      </c>
      <c r="H93" s="2">
        <v>7.5</v>
      </c>
      <c r="I93" s="15">
        <f t="shared" si="3"/>
        <v>953150.09765625</v>
      </c>
    </row>
    <row r="94" spans="1:9">
      <c r="A94" s="21" t="s">
        <v>2</v>
      </c>
      <c r="B94" s="5">
        <v>1992</v>
      </c>
      <c r="C94" s="2">
        <v>5.1100000000000003</v>
      </c>
      <c r="D94" s="2">
        <v>0.48574100046750818</v>
      </c>
      <c r="E94" s="2">
        <v>80</v>
      </c>
      <c r="F94" s="41">
        <v>7.44</v>
      </c>
      <c r="G94" s="2">
        <f t="shared" si="2"/>
        <v>1956.7217901828683</v>
      </c>
      <c r="H94" s="2">
        <v>10.09</v>
      </c>
      <c r="I94" s="15">
        <f t="shared" si="3"/>
        <v>19743322.862945139</v>
      </c>
    </row>
    <row r="95" spans="1:9">
      <c r="A95" s="21" t="s">
        <v>2</v>
      </c>
      <c r="B95" s="5">
        <v>1993</v>
      </c>
      <c r="C95" s="2">
        <v>3.89</v>
      </c>
      <c r="D95" s="2">
        <v>0.51753155680224405</v>
      </c>
      <c r="E95" s="2">
        <v>80</v>
      </c>
      <c r="F95" s="41">
        <v>9.4</v>
      </c>
      <c r="G95" s="2">
        <f t="shared" si="2"/>
        <v>1766.3657181571814</v>
      </c>
      <c r="H95" s="2">
        <v>12.76</v>
      </c>
      <c r="I95" s="15">
        <f t="shared" si="3"/>
        <v>22538826.563685633</v>
      </c>
    </row>
    <row r="96" spans="1:9">
      <c r="A96" s="21" t="s">
        <v>2</v>
      </c>
      <c r="B96" s="5">
        <v>1994</v>
      </c>
      <c r="C96" s="2">
        <v>2.36</v>
      </c>
      <c r="D96" s="2">
        <v>0.5053763440860215</v>
      </c>
      <c r="E96" s="2">
        <v>80</v>
      </c>
      <c r="F96" s="41">
        <v>12.44</v>
      </c>
      <c r="G96" s="2">
        <f t="shared" si="2"/>
        <v>1452.303829787234</v>
      </c>
      <c r="H96" s="2">
        <v>15</v>
      </c>
      <c r="I96" s="15">
        <f t="shared" si="3"/>
        <v>21784557.44680851</v>
      </c>
    </row>
    <row r="97" spans="1:9">
      <c r="A97" s="21" t="s">
        <v>2</v>
      </c>
      <c r="B97" s="5">
        <v>1995</v>
      </c>
      <c r="C97" s="2">
        <v>3.69</v>
      </c>
      <c r="D97" s="2">
        <v>0.50163627863487603</v>
      </c>
      <c r="E97" s="2">
        <v>80</v>
      </c>
      <c r="F97" s="41">
        <v>10.28</v>
      </c>
      <c r="G97" s="2">
        <f t="shared" si="2"/>
        <v>1890.4733178005595</v>
      </c>
      <c r="H97" s="2">
        <v>17.7</v>
      </c>
      <c r="I97" s="15">
        <f t="shared" si="3"/>
        <v>33461377.725069899</v>
      </c>
    </row>
    <row r="98" spans="1:9">
      <c r="A98" s="21" t="s">
        <v>2</v>
      </c>
      <c r="B98" s="5">
        <v>1996</v>
      </c>
      <c r="C98" s="2">
        <v>3.03</v>
      </c>
      <c r="D98" s="2">
        <v>0.60028050490883589</v>
      </c>
      <c r="E98" s="2">
        <v>80</v>
      </c>
      <c r="F98" s="41">
        <v>10.4</v>
      </c>
      <c r="G98" s="2">
        <f t="shared" si="2"/>
        <v>1312.3864485981308</v>
      </c>
      <c r="H98" s="2">
        <v>20.399999999999999</v>
      </c>
      <c r="I98" s="15">
        <f t="shared" si="3"/>
        <v>26772683.551401865</v>
      </c>
    </row>
    <row r="99" spans="1:9">
      <c r="A99" s="21" t="s">
        <v>2</v>
      </c>
      <c r="B99" s="5">
        <v>1997</v>
      </c>
      <c r="C99" s="2">
        <v>3.57</v>
      </c>
      <c r="D99" s="2">
        <v>0.52267414679756896</v>
      </c>
      <c r="E99" s="2">
        <v>80</v>
      </c>
      <c r="F99" s="41">
        <v>9</v>
      </c>
      <c r="G99" s="2">
        <f t="shared" si="2"/>
        <v>1536.8083631484792</v>
      </c>
      <c r="H99" s="2">
        <v>21.3</v>
      </c>
      <c r="I99" s="15">
        <f t="shared" si="3"/>
        <v>32734018.135062609</v>
      </c>
    </row>
    <row r="100" spans="1:9">
      <c r="A100" s="21" t="s">
        <v>2</v>
      </c>
      <c r="B100" s="5">
        <v>1998</v>
      </c>
      <c r="C100" s="2">
        <v>4.6500000000000004</v>
      </c>
      <c r="D100" s="2">
        <v>0.51425899953249177</v>
      </c>
      <c r="E100" s="2">
        <v>80</v>
      </c>
      <c r="F100" s="41">
        <v>12.2</v>
      </c>
      <c r="G100" s="2">
        <f t="shared" si="2"/>
        <v>2757.8515909090911</v>
      </c>
      <c r="H100" s="2">
        <v>20</v>
      </c>
      <c r="I100" s="15">
        <f t="shared" si="3"/>
        <v>55157031.81818182</v>
      </c>
    </row>
    <row r="101" spans="1:9">
      <c r="A101" s="21" t="s">
        <v>2</v>
      </c>
      <c r="B101" s="5">
        <v>1999</v>
      </c>
      <c r="C101" s="2">
        <v>5.16</v>
      </c>
      <c r="D101" s="2">
        <v>0.74146797568957457</v>
      </c>
      <c r="E101" s="2">
        <v>80</v>
      </c>
      <c r="F101" s="41">
        <v>11.88</v>
      </c>
      <c r="G101" s="2">
        <f t="shared" si="2"/>
        <v>2066.8728121059271</v>
      </c>
      <c r="H101" s="2">
        <v>20</v>
      </c>
      <c r="I101" s="15">
        <f t="shared" si="3"/>
        <v>41337456.242118537</v>
      </c>
    </row>
    <row r="102" spans="1:9">
      <c r="A102" s="21" t="s">
        <v>2</v>
      </c>
      <c r="B102" s="5">
        <v>2000</v>
      </c>
      <c r="C102" s="2">
        <v>1.56</v>
      </c>
      <c r="D102" s="2">
        <v>0.45067788686302013</v>
      </c>
      <c r="E102" s="2">
        <v>80</v>
      </c>
      <c r="F102" s="41">
        <v>14.4</v>
      </c>
      <c r="G102" s="2">
        <f t="shared" si="2"/>
        <v>1246.1228215767635</v>
      </c>
      <c r="H102" s="2">
        <v>20</v>
      </c>
      <c r="I102" s="15">
        <f t="shared" si="3"/>
        <v>24922456.43153527</v>
      </c>
    </row>
    <row r="103" spans="1:9">
      <c r="A103" s="21" t="s">
        <v>2</v>
      </c>
      <c r="B103" s="5">
        <v>2001</v>
      </c>
      <c r="C103" s="2">
        <v>2.77</v>
      </c>
      <c r="D103" s="2">
        <v>0.58765778401122015</v>
      </c>
      <c r="E103" s="2">
        <v>80</v>
      </c>
      <c r="F103" s="41">
        <v>12.44</v>
      </c>
      <c r="G103" s="2">
        <f t="shared" si="2"/>
        <v>1465.9382100238663</v>
      </c>
      <c r="H103" s="2">
        <v>19</v>
      </c>
      <c r="I103" s="15">
        <f t="shared" si="3"/>
        <v>27852825.990453459</v>
      </c>
    </row>
    <row r="104" spans="1:9">
      <c r="A104" s="21" t="s">
        <v>2</v>
      </c>
      <c r="B104" s="5">
        <v>2002</v>
      </c>
      <c r="C104" s="2">
        <v>2.2999999999999998</v>
      </c>
      <c r="D104" s="2">
        <v>0.61524076671341743</v>
      </c>
      <c r="E104" s="2">
        <v>80</v>
      </c>
      <c r="F104" s="41">
        <v>12.2</v>
      </c>
      <c r="G104" s="2">
        <f t="shared" si="2"/>
        <v>1140.2040273556231</v>
      </c>
      <c r="H104" s="2">
        <v>18.5</v>
      </c>
      <c r="I104" s="15">
        <f t="shared" si="3"/>
        <v>21093774.506079026</v>
      </c>
    </row>
    <row r="105" spans="1:9">
      <c r="A105" s="21" t="s">
        <v>2</v>
      </c>
      <c r="B105" s="5">
        <v>2003</v>
      </c>
      <c r="C105" s="2">
        <v>2.83</v>
      </c>
      <c r="D105" s="2">
        <v>0.49041608228143996</v>
      </c>
      <c r="E105" s="2">
        <v>80</v>
      </c>
      <c r="F105" s="41">
        <v>12.32</v>
      </c>
      <c r="G105" s="2">
        <f t="shared" si="2"/>
        <v>1777.3479122974261</v>
      </c>
      <c r="H105" s="2">
        <v>18.5</v>
      </c>
      <c r="I105" s="15">
        <f t="shared" si="3"/>
        <v>32880936.377502382</v>
      </c>
    </row>
    <row r="106" spans="1:9">
      <c r="A106" s="21" t="s">
        <v>2</v>
      </c>
      <c r="B106" s="5">
        <v>2004</v>
      </c>
      <c r="C106" s="2">
        <v>10.46</v>
      </c>
      <c r="D106" s="2">
        <v>0.70453482935951373</v>
      </c>
      <c r="E106" s="2">
        <v>80</v>
      </c>
      <c r="F106" s="41">
        <v>14.28</v>
      </c>
      <c r="G106" s="2">
        <f t="shared" si="2"/>
        <v>5300.2631585932331</v>
      </c>
      <c r="H106" s="2">
        <v>18.5</v>
      </c>
      <c r="I106" s="15">
        <f t="shared" si="3"/>
        <v>98054868.433974817</v>
      </c>
    </row>
    <row r="107" spans="1:9">
      <c r="A107" s="21" t="s">
        <v>2</v>
      </c>
      <c r="B107" s="5">
        <v>2005</v>
      </c>
      <c r="C107" s="2">
        <v>10.98</v>
      </c>
      <c r="D107" s="2">
        <v>0.66245909303412798</v>
      </c>
      <c r="E107" s="2">
        <v>80</v>
      </c>
      <c r="F107" s="41">
        <v>11.24</v>
      </c>
      <c r="G107" s="2">
        <f t="shared" si="2"/>
        <v>4657.4649400141152</v>
      </c>
      <c r="H107" s="2">
        <v>18.5</v>
      </c>
      <c r="I107" s="15">
        <f t="shared" si="3"/>
        <v>86163101.390261129</v>
      </c>
    </row>
    <row r="108" spans="1:9">
      <c r="A108" s="21" t="s">
        <v>2</v>
      </c>
      <c r="B108" s="5">
        <v>2006</v>
      </c>
      <c r="C108" s="2">
        <v>5.62</v>
      </c>
      <c r="D108" s="2">
        <v>0.82328190743338003</v>
      </c>
      <c r="E108" s="2">
        <v>80</v>
      </c>
      <c r="F108" s="41">
        <v>15.36</v>
      </c>
      <c r="G108" s="2">
        <f t="shared" si="2"/>
        <v>2621.3135264054513</v>
      </c>
      <c r="H108" s="2">
        <v>18.5</v>
      </c>
      <c r="I108" s="15">
        <f t="shared" si="3"/>
        <v>48494300.238500848</v>
      </c>
    </row>
    <row r="109" spans="1:9">
      <c r="A109" s="21" t="s">
        <v>2</v>
      </c>
      <c r="B109" s="5">
        <v>2007</v>
      </c>
      <c r="C109" s="2">
        <v>5.6</v>
      </c>
      <c r="D109" s="2">
        <v>0.85273492286115005</v>
      </c>
      <c r="E109" s="2">
        <v>80</v>
      </c>
      <c r="F109" s="41">
        <v>12.96</v>
      </c>
      <c r="G109" s="2">
        <f t="shared" si="2"/>
        <v>2127.7421052631576</v>
      </c>
      <c r="H109" s="2">
        <v>18.5</v>
      </c>
      <c r="I109" s="15">
        <f t="shared" si="3"/>
        <v>39363228.947368413</v>
      </c>
    </row>
    <row r="110" spans="1:9">
      <c r="A110" s="21" t="s">
        <v>2</v>
      </c>
      <c r="B110" s="5">
        <v>2008</v>
      </c>
      <c r="C110" s="2">
        <v>5.63</v>
      </c>
      <c r="D110" s="2">
        <v>0.73352033660589055</v>
      </c>
      <c r="E110" s="2">
        <v>80</v>
      </c>
      <c r="F110" s="41">
        <v>11.88</v>
      </c>
      <c r="G110" s="2">
        <f t="shared" si="2"/>
        <v>2279.5686998087954</v>
      </c>
      <c r="H110" s="2">
        <v>18.5</v>
      </c>
      <c r="I110" s="15">
        <f t="shared" si="3"/>
        <v>42172020.946462713</v>
      </c>
    </row>
    <row r="111" spans="1:9">
      <c r="A111" s="21" t="s">
        <v>2</v>
      </c>
      <c r="B111" s="5">
        <v>2009</v>
      </c>
      <c r="C111" s="2">
        <v>8.39</v>
      </c>
      <c r="D111" s="2">
        <v>0.76811594202898559</v>
      </c>
      <c r="E111" s="2">
        <v>80</v>
      </c>
      <c r="F111" s="41">
        <v>12.44</v>
      </c>
      <c r="G111" s="2">
        <f t="shared" si="2"/>
        <v>3397.0001886792452</v>
      </c>
      <c r="H111" s="2">
        <v>18</v>
      </c>
      <c r="I111" s="15">
        <f t="shared" si="3"/>
        <v>61146003.396226414</v>
      </c>
    </row>
    <row r="112" spans="1:9">
      <c r="A112" s="21" t="s">
        <v>2</v>
      </c>
      <c r="B112" s="5">
        <v>2010</v>
      </c>
      <c r="C112" s="2">
        <v>6.8</v>
      </c>
      <c r="D112" s="2">
        <v>0.76577840112201967</v>
      </c>
      <c r="E112" s="2">
        <v>80</v>
      </c>
      <c r="F112" s="41">
        <v>14.4</v>
      </c>
      <c r="G112" s="2">
        <f t="shared" si="2"/>
        <v>3196.7472527472523</v>
      </c>
      <c r="H112" s="2">
        <v>17.5</v>
      </c>
      <c r="I112" s="15">
        <f t="shared" si="3"/>
        <v>55943076.923076913</v>
      </c>
    </row>
    <row r="113" spans="1:9">
      <c r="A113" s="21" t="s">
        <v>2</v>
      </c>
      <c r="B113" s="5">
        <v>2011</v>
      </c>
      <c r="C113" s="2">
        <v>6.13</v>
      </c>
      <c r="D113" s="2">
        <v>0.74801309022907903</v>
      </c>
      <c r="E113" s="2">
        <v>80</v>
      </c>
      <c r="F113" s="41">
        <v>11.28</v>
      </c>
      <c r="G113" s="2">
        <f t="shared" si="2"/>
        <v>2311.0023375000001</v>
      </c>
      <c r="H113" s="2">
        <v>17</v>
      </c>
      <c r="I113" s="15">
        <f t="shared" si="3"/>
        <v>39287039.737500004</v>
      </c>
    </row>
    <row r="114" spans="1:9">
      <c r="A114" s="21" t="s">
        <v>2</v>
      </c>
      <c r="B114" s="5">
        <v>2012</v>
      </c>
      <c r="C114" s="2">
        <v>5.56</v>
      </c>
      <c r="D114" s="2">
        <v>0.80785413744740531</v>
      </c>
      <c r="E114" s="2">
        <v>80</v>
      </c>
      <c r="F114" s="41">
        <v>14.8</v>
      </c>
      <c r="G114" s="2">
        <f t="shared" si="2"/>
        <v>2546.4993055555556</v>
      </c>
      <c r="H114" s="2">
        <v>16.5</v>
      </c>
      <c r="I114" s="15">
        <f t="shared" si="3"/>
        <v>42017238.541666664</v>
      </c>
    </row>
    <row r="115" spans="1:9">
      <c r="A115" s="21" t="s">
        <v>2</v>
      </c>
      <c r="B115" s="5">
        <v>2013</v>
      </c>
      <c r="C115" s="2">
        <v>7.25</v>
      </c>
      <c r="D115" s="2">
        <v>0.81954184198223468</v>
      </c>
      <c r="E115" s="2">
        <v>80</v>
      </c>
      <c r="F115" s="41">
        <v>13.72</v>
      </c>
      <c r="G115" s="2">
        <f t="shared" si="2"/>
        <v>3034.3173131774101</v>
      </c>
      <c r="H115" s="2">
        <v>16.600000000000001</v>
      </c>
      <c r="I115" s="15">
        <f t="shared" si="3"/>
        <v>50369667.398745015</v>
      </c>
    </row>
    <row r="116" spans="1:9">
      <c r="A116" s="21" t="s">
        <v>2</v>
      </c>
      <c r="B116" s="5">
        <v>2014</v>
      </c>
      <c r="C116" s="2">
        <v>7.51</v>
      </c>
      <c r="D116" s="2">
        <v>1.0032725572697521</v>
      </c>
      <c r="E116" s="2">
        <v>80</v>
      </c>
      <c r="F116" s="41">
        <v>9.9600000000000009</v>
      </c>
      <c r="G116" s="2">
        <f t="shared" si="2"/>
        <v>1863.8903122087609</v>
      </c>
      <c r="H116" s="2">
        <v>17.100000000000001</v>
      </c>
      <c r="I116" s="15">
        <f t="shared" si="3"/>
        <v>31872524.338769812</v>
      </c>
    </row>
    <row r="117" spans="1:9">
      <c r="A117" s="21" t="s">
        <v>2</v>
      </c>
      <c r="B117" s="5">
        <v>2015</v>
      </c>
      <c r="C117" s="2">
        <v>8.9700000000000006</v>
      </c>
      <c r="D117" s="2">
        <v>1</v>
      </c>
      <c r="E117" s="2">
        <v>80</v>
      </c>
      <c r="F117" s="41">
        <v>11.24</v>
      </c>
      <c r="G117" s="2">
        <f t="shared" si="2"/>
        <v>2520.5700000000002</v>
      </c>
      <c r="H117" s="2">
        <v>17.100000000000001</v>
      </c>
      <c r="I117" s="15">
        <f t="shared" si="3"/>
        <v>43101747</v>
      </c>
    </row>
    <row r="118" spans="1:9">
      <c r="A118" s="21" t="s">
        <v>2</v>
      </c>
      <c r="B118" s="5">
        <v>2016</v>
      </c>
      <c r="C118" s="2">
        <v>11.43</v>
      </c>
      <c r="D118" s="2">
        <v>1.1813931743805515</v>
      </c>
      <c r="E118" s="2">
        <v>80</v>
      </c>
      <c r="F118" s="41">
        <v>11.72</v>
      </c>
      <c r="G118" s="2">
        <f t="shared" si="2"/>
        <v>2834.7802176493869</v>
      </c>
      <c r="H118" s="2">
        <v>16.399999999999999</v>
      </c>
      <c r="I118" s="15">
        <f t="shared" si="3"/>
        <v>46490395.569449939</v>
      </c>
    </row>
    <row r="119" spans="1:9">
      <c r="A119" s="21" t="s">
        <v>2</v>
      </c>
      <c r="B119" s="5">
        <v>2017</v>
      </c>
      <c r="C119" s="2">
        <v>12.01</v>
      </c>
      <c r="D119" s="2">
        <v>1.4385226741467976</v>
      </c>
      <c r="E119" s="2">
        <v>80</v>
      </c>
      <c r="F119" s="41">
        <v>12.24</v>
      </c>
      <c r="G119" s="2">
        <f t="shared" si="2"/>
        <v>2554.7459668508286</v>
      </c>
      <c r="H119" s="2">
        <v>15.7</v>
      </c>
      <c r="I119" s="15">
        <f t="shared" si="3"/>
        <v>40109511.679558009</v>
      </c>
    </row>
    <row r="120" spans="1:9">
      <c r="A120" s="21" t="s">
        <v>2</v>
      </c>
      <c r="B120" s="5">
        <v>2018</v>
      </c>
      <c r="C120" s="2">
        <v>9.17</v>
      </c>
      <c r="D120" s="2">
        <v>1.5455820476858346</v>
      </c>
      <c r="E120" s="2">
        <v>80</v>
      </c>
      <c r="F120" s="41">
        <v>15.24</v>
      </c>
      <c r="G120" s="2">
        <f t="shared" si="2"/>
        <v>2260.4882123411976</v>
      </c>
      <c r="H120" s="2">
        <v>16</v>
      </c>
      <c r="I120" s="15">
        <f t="shared" si="3"/>
        <v>36167811.397459164</v>
      </c>
    </row>
    <row r="121" spans="1:9">
      <c r="A121" s="22" t="s">
        <v>2</v>
      </c>
      <c r="B121" s="14">
        <v>2019</v>
      </c>
      <c r="C121" s="3">
        <v>9.49</v>
      </c>
      <c r="D121" s="3">
        <v>1.1491351098644227</v>
      </c>
      <c r="E121" s="3">
        <v>80</v>
      </c>
      <c r="F121" s="42">
        <v>11</v>
      </c>
      <c r="G121" s="3">
        <f t="shared" si="2"/>
        <v>2271.0558380797393</v>
      </c>
      <c r="H121" s="3">
        <v>16</v>
      </c>
      <c r="I121" s="16">
        <f t="shared" si="3"/>
        <v>36336893.40927583</v>
      </c>
    </row>
    <row r="122" spans="1:9">
      <c r="A122" s="21" t="s">
        <v>3</v>
      </c>
      <c r="B122" s="5">
        <v>1980</v>
      </c>
      <c r="C122" s="2">
        <v>2.72</v>
      </c>
      <c r="D122" s="2">
        <v>0.4731182795698925</v>
      </c>
      <c r="E122" s="2">
        <v>64</v>
      </c>
      <c r="F122" s="41">
        <v>11.111111111111111</v>
      </c>
      <c r="G122" s="2">
        <f t="shared" si="2"/>
        <v>1996.2121212121212</v>
      </c>
      <c r="H122" s="2">
        <v>8.1</v>
      </c>
      <c r="I122" s="15">
        <f t="shared" si="3"/>
        <v>16169318.181818182</v>
      </c>
    </row>
    <row r="123" spans="1:9">
      <c r="A123" s="21" t="s">
        <v>3</v>
      </c>
      <c r="B123" s="5">
        <v>1981</v>
      </c>
      <c r="C123" s="2">
        <v>1.01</v>
      </c>
      <c r="D123" s="2">
        <v>0.47218326320710613</v>
      </c>
      <c r="E123" s="2">
        <v>64</v>
      </c>
      <c r="F123" s="41">
        <v>9.3902439024390247</v>
      </c>
      <c r="G123" s="2">
        <f t="shared" si="2"/>
        <v>627.67911585365846</v>
      </c>
      <c r="H123" s="2">
        <v>8.1999999999999993</v>
      </c>
      <c r="I123" s="15">
        <f t="shared" si="3"/>
        <v>5146968.7499999991</v>
      </c>
    </row>
    <row r="124" spans="1:9">
      <c r="A124" s="21" t="s">
        <v>3</v>
      </c>
      <c r="B124" s="5">
        <v>1982</v>
      </c>
      <c r="C124" s="2">
        <v>1.1100000000000001</v>
      </c>
      <c r="D124" s="2">
        <v>0.46750818139317435</v>
      </c>
      <c r="E124" s="2">
        <v>64</v>
      </c>
      <c r="F124" s="41">
        <v>15.44</v>
      </c>
      <c r="G124" s="2">
        <f t="shared" si="2"/>
        <v>1145.5949250000001</v>
      </c>
      <c r="H124" s="2">
        <v>6.8</v>
      </c>
      <c r="I124" s="15">
        <f t="shared" si="3"/>
        <v>7790045.4900000002</v>
      </c>
    </row>
    <row r="125" spans="1:9">
      <c r="A125" s="21" t="s">
        <v>3</v>
      </c>
      <c r="B125" s="5">
        <v>1983</v>
      </c>
      <c r="C125" s="2">
        <v>2.46</v>
      </c>
      <c r="D125" s="2">
        <v>0.47078073866292658</v>
      </c>
      <c r="E125" s="2">
        <v>64</v>
      </c>
      <c r="F125" s="41">
        <v>11.77</v>
      </c>
      <c r="G125" s="2">
        <f t="shared" si="2"/>
        <v>1921.953630834161</v>
      </c>
      <c r="H125" s="2">
        <v>6.8</v>
      </c>
      <c r="I125" s="15">
        <f t="shared" si="3"/>
        <v>13069284.689672295</v>
      </c>
    </row>
    <row r="126" spans="1:9">
      <c r="A126" s="21" t="s">
        <v>3</v>
      </c>
      <c r="B126" s="5">
        <v>1984</v>
      </c>
      <c r="C126" s="2">
        <v>4.1900000000000004</v>
      </c>
      <c r="D126" s="2">
        <v>0.48948106591865359</v>
      </c>
      <c r="E126" s="2">
        <v>64</v>
      </c>
      <c r="F126" s="41">
        <v>15.07</v>
      </c>
      <c r="G126" s="2">
        <f t="shared" si="2"/>
        <v>4031.2654817335251</v>
      </c>
      <c r="H126" s="2">
        <v>7.1</v>
      </c>
      <c r="I126" s="15">
        <f t="shared" si="3"/>
        <v>28621984.920308027</v>
      </c>
    </row>
    <row r="127" spans="1:9">
      <c r="A127" s="21" t="s">
        <v>3</v>
      </c>
      <c r="B127" s="5">
        <v>1985</v>
      </c>
      <c r="C127" s="2">
        <v>3.36</v>
      </c>
      <c r="D127" s="2">
        <v>0.55352968676951853</v>
      </c>
      <c r="E127" s="2">
        <v>64</v>
      </c>
      <c r="F127" s="41">
        <v>15.79</v>
      </c>
      <c r="G127" s="2">
        <f t="shared" si="2"/>
        <v>2995.2323057432432</v>
      </c>
      <c r="H127" s="2">
        <v>5.7</v>
      </c>
      <c r="I127" s="15">
        <f t="shared" si="3"/>
        <v>17072824.142736487</v>
      </c>
    </row>
    <row r="128" spans="1:9">
      <c r="A128" s="21" t="s">
        <v>3</v>
      </c>
      <c r="B128" s="5">
        <v>1986</v>
      </c>
      <c r="C128" s="2">
        <v>3.54</v>
      </c>
      <c r="D128" s="2">
        <v>0.53669939223936414</v>
      </c>
      <c r="E128" s="2">
        <v>64</v>
      </c>
      <c r="F128" s="41">
        <v>14.92</v>
      </c>
      <c r="G128" s="2">
        <f t="shared" si="2"/>
        <v>3075.3248911149826</v>
      </c>
      <c r="H128" s="2">
        <v>5.9</v>
      </c>
      <c r="I128" s="15">
        <f t="shared" si="3"/>
        <v>18144416.857578401</v>
      </c>
    </row>
    <row r="129" spans="1:9">
      <c r="A129" s="21" t="s">
        <v>3</v>
      </c>
      <c r="B129" s="5">
        <v>1987</v>
      </c>
      <c r="C129" s="2">
        <v>2.91</v>
      </c>
      <c r="D129" s="2">
        <v>0.58859280037400652</v>
      </c>
      <c r="E129" s="2">
        <v>64</v>
      </c>
      <c r="F129" s="41">
        <v>10.333333333333334</v>
      </c>
      <c r="G129" s="2">
        <f t="shared" si="2"/>
        <v>1596.4984610802226</v>
      </c>
      <c r="H129" s="2">
        <v>6</v>
      </c>
      <c r="I129" s="15">
        <f t="shared" si="3"/>
        <v>9578990.7664813362</v>
      </c>
    </row>
    <row r="130" spans="1:9">
      <c r="A130" s="21" t="s">
        <v>3</v>
      </c>
      <c r="B130" s="5">
        <v>1988</v>
      </c>
      <c r="C130" s="2">
        <v>2.76</v>
      </c>
      <c r="D130" s="2">
        <v>0.66386161757830764</v>
      </c>
      <c r="E130" s="2">
        <v>64</v>
      </c>
      <c r="F130" s="41">
        <v>9.5384615384615383</v>
      </c>
      <c r="G130" s="2">
        <f t="shared" si="2"/>
        <v>1239.2527085590464</v>
      </c>
      <c r="H130" s="2">
        <v>6.5</v>
      </c>
      <c r="I130" s="15">
        <f t="shared" si="3"/>
        <v>8055142.6056338018</v>
      </c>
    </row>
    <row r="131" spans="1:9">
      <c r="A131" s="21" t="s">
        <v>3</v>
      </c>
      <c r="B131" s="5">
        <v>1989</v>
      </c>
      <c r="C131" s="2">
        <v>8.27</v>
      </c>
      <c r="D131" s="2">
        <v>0.63581112669471718</v>
      </c>
      <c r="E131" s="2">
        <v>64</v>
      </c>
      <c r="F131" s="41">
        <v>10.9375</v>
      </c>
      <c r="G131" s="2">
        <f t="shared" ref="G131:G161" si="4">((C131/D131)/E131)*(F131*2000)</f>
        <v>4445.7544663373155</v>
      </c>
      <c r="H131" s="2">
        <v>6.4</v>
      </c>
      <c r="I131" s="15">
        <f t="shared" si="3"/>
        <v>28452828.584558822</v>
      </c>
    </row>
    <row r="132" spans="1:9">
      <c r="A132" s="21" t="s">
        <v>3</v>
      </c>
      <c r="B132" s="5">
        <v>1990</v>
      </c>
      <c r="C132" s="2">
        <v>5.15</v>
      </c>
      <c r="D132" s="2">
        <v>0.70500233754090702</v>
      </c>
      <c r="E132" s="2">
        <v>64</v>
      </c>
      <c r="F132" s="41">
        <v>12.419354838709678</v>
      </c>
      <c r="G132" s="2">
        <f t="shared" si="4"/>
        <v>2835.0826840185678</v>
      </c>
      <c r="H132" s="2">
        <v>6.2</v>
      </c>
      <c r="I132" s="15">
        <f t="shared" ref="I132:I161" si="5">G132*H132*1000</f>
        <v>17577512.640915118</v>
      </c>
    </row>
    <row r="133" spans="1:9">
      <c r="A133" s="21" t="s">
        <v>3</v>
      </c>
      <c r="B133" s="5">
        <v>1991</v>
      </c>
      <c r="C133" s="2">
        <v>4.1100000000000003</v>
      </c>
      <c r="D133" s="2">
        <v>0.95745675549322118</v>
      </c>
      <c r="E133" s="2">
        <v>64</v>
      </c>
      <c r="F133" s="41">
        <v>15.9125</v>
      </c>
      <c r="G133" s="2">
        <f t="shared" si="4"/>
        <v>2134.5733966827393</v>
      </c>
      <c r="H133" s="2">
        <v>5.9</v>
      </c>
      <c r="I133" s="15">
        <f t="shared" si="5"/>
        <v>12593983.040428162</v>
      </c>
    </row>
    <row r="134" spans="1:9">
      <c r="A134" s="21" t="s">
        <v>3</v>
      </c>
      <c r="B134" s="5">
        <v>1992</v>
      </c>
      <c r="C134" s="2">
        <v>1.81</v>
      </c>
      <c r="D134" s="2">
        <v>0.48574100046750818</v>
      </c>
      <c r="E134" s="2">
        <v>64</v>
      </c>
      <c r="F134" s="41">
        <v>12.4285</v>
      </c>
      <c r="G134" s="2">
        <f t="shared" si="4"/>
        <v>1447.2466408505775</v>
      </c>
      <c r="H134" s="2">
        <v>5.8</v>
      </c>
      <c r="I134" s="15">
        <f t="shared" si="5"/>
        <v>8394030.5169333499</v>
      </c>
    </row>
    <row r="135" spans="1:9">
      <c r="A135" s="21" t="s">
        <v>3</v>
      </c>
      <c r="B135" s="5">
        <v>1993</v>
      </c>
      <c r="C135" s="2">
        <v>1.3</v>
      </c>
      <c r="D135" s="2">
        <v>0.51753155680224405</v>
      </c>
      <c r="E135" s="2">
        <v>67</v>
      </c>
      <c r="F135" s="41">
        <v>10.4855</v>
      </c>
      <c r="G135" s="2">
        <f t="shared" si="4"/>
        <v>786.23224932249332</v>
      </c>
      <c r="H135" s="2">
        <v>5.6</v>
      </c>
      <c r="I135" s="15">
        <f t="shared" si="5"/>
        <v>4402900.5962059619</v>
      </c>
    </row>
    <row r="136" spans="1:9">
      <c r="A136" s="21" t="s">
        <v>3</v>
      </c>
      <c r="B136" s="5">
        <v>1994</v>
      </c>
      <c r="C136" s="2">
        <v>3.62</v>
      </c>
      <c r="D136" s="2">
        <v>0.5053763440860215</v>
      </c>
      <c r="E136" s="2">
        <v>67</v>
      </c>
      <c r="F136" s="41">
        <v>8.6765000000000008</v>
      </c>
      <c r="G136" s="2">
        <f t="shared" si="4"/>
        <v>1855.2114893617022</v>
      </c>
      <c r="H136" s="2">
        <v>5.4</v>
      </c>
      <c r="I136" s="15">
        <f t="shared" si="5"/>
        <v>10018142.042553192</v>
      </c>
    </row>
    <row r="137" spans="1:9">
      <c r="A137" s="21" t="s">
        <v>3</v>
      </c>
      <c r="B137" s="5">
        <v>1995</v>
      </c>
      <c r="C137" s="2">
        <v>1.76</v>
      </c>
      <c r="D137" s="2">
        <v>0.50163627863487603</v>
      </c>
      <c r="E137" s="2">
        <v>67</v>
      </c>
      <c r="F137" s="41">
        <v>8.0399999999999991</v>
      </c>
      <c r="G137" s="2">
        <f t="shared" si="4"/>
        <v>842.04436160298235</v>
      </c>
      <c r="H137" s="2">
        <v>5</v>
      </c>
      <c r="I137" s="15">
        <f t="shared" si="5"/>
        <v>4210221.8080149116</v>
      </c>
    </row>
    <row r="138" spans="1:9">
      <c r="A138" s="21" t="s">
        <v>3</v>
      </c>
      <c r="B138" s="5">
        <v>1996</v>
      </c>
      <c r="C138" s="2">
        <v>1.04</v>
      </c>
      <c r="D138" s="2">
        <v>0.60028050490883589</v>
      </c>
      <c r="E138" s="2">
        <v>67</v>
      </c>
      <c r="F138" s="41">
        <v>6.0970000000000004</v>
      </c>
      <c r="G138" s="2">
        <f t="shared" si="4"/>
        <v>315.31925233644864</v>
      </c>
      <c r="H138" s="2">
        <v>4.4000000000000004</v>
      </c>
      <c r="I138" s="15">
        <f t="shared" si="5"/>
        <v>1387404.7102803742</v>
      </c>
    </row>
    <row r="139" spans="1:9">
      <c r="A139" s="21" t="s">
        <v>3</v>
      </c>
      <c r="B139" s="5">
        <v>1997</v>
      </c>
      <c r="C139" s="2">
        <v>2.73</v>
      </c>
      <c r="D139" s="2">
        <v>0.52267414679756896</v>
      </c>
      <c r="E139" s="2">
        <v>67</v>
      </c>
      <c r="F139" s="41">
        <v>6.7</v>
      </c>
      <c r="G139" s="2">
        <f t="shared" si="4"/>
        <v>1044.6279069767443</v>
      </c>
      <c r="H139" s="2">
        <v>4</v>
      </c>
      <c r="I139" s="15">
        <f t="shared" si="5"/>
        <v>4178511.6279069772</v>
      </c>
    </row>
    <row r="140" spans="1:9">
      <c r="A140" s="21" t="s">
        <v>3</v>
      </c>
      <c r="B140" s="5">
        <v>1998</v>
      </c>
      <c r="C140" s="2">
        <v>4.17</v>
      </c>
      <c r="D140" s="2">
        <v>0.51425899953249177</v>
      </c>
      <c r="E140" s="2">
        <v>67</v>
      </c>
      <c r="F140" s="41">
        <v>7.6044999999999998</v>
      </c>
      <c r="G140" s="2">
        <f t="shared" si="4"/>
        <v>1840.6872818181821</v>
      </c>
      <c r="H140" s="2">
        <v>3.3</v>
      </c>
      <c r="I140" s="15">
        <f t="shared" si="5"/>
        <v>6074268.0300000003</v>
      </c>
    </row>
    <row r="141" spans="1:9">
      <c r="A141" s="21" t="s">
        <v>3</v>
      </c>
      <c r="B141" s="5">
        <v>1999</v>
      </c>
      <c r="C141" s="2">
        <v>0.05</v>
      </c>
      <c r="D141" s="2">
        <v>0.74146797568957457</v>
      </c>
      <c r="E141" s="2">
        <v>67</v>
      </c>
      <c r="F141" s="41">
        <v>5.3935000000000004</v>
      </c>
      <c r="G141" s="2">
        <f t="shared" si="4"/>
        <v>10.856841109709963</v>
      </c>
      <c r="H141" s="2">
        <v>2.8</v>
      </c>
      <c r="I141" s="15">
        <f t="shared" si="5"/>
        <v>30399.155107187893</v>
      </c>
    </row>
    <row r="142" spans="1:9">
      <c r="A142" s="21" t="s">
        <v>3</v>
      </c>
      <c r="B142" s="5">
        <v>2000</v>
      </c>
      <c r="C142" s="2">
        <v>3.24</v>
      </c>
      <c r="D142" s="2">
        <v>0.45067788686302013</v>
      </c>
      <c r="E142" s="2">
        <v>67</v>
      </c>
      <c r="F142" s="41">
        <v>4.1875</v>
      </c>
      <c r="G142" s="2">
        <f t="shared" si="4"/>
        <v>898.64626556016594</v>
      </c>
      <c r="H142" s="2">
        <v>2</v>
      </c>
      <c r="I142" s="15">
        <f t="shared" si="5"/>
        <v>1797292.531120332</v>
      </c>
    </row>
    <row r="143" spans="1:9">
      <c r="A143" s="21" t="s">
        <v>3</v>
      </c>
      <c r="B143" s="5">
        <v>2001</v>
      </c>
      <c r="C143" s="2">
        <v>4.5</v>
      </c>
      <c r="D143" s="2">
        <v>0.58765778401122015</v>
      </c>
      <c r="E143" s="2">
        <v>67</v>
      </c>
      <c r="F143" s="41">
        <v>2.68</v>
      </c>
      <c r="G143" s="2">
        <f t="shared" si="4"/>
        <v>612.60143198090702</v>
      </c>
      <c r="H143" s="2">
        <v>2</v>
      </c>
      <c r="I143" s="15">
        <f t="shared" si="5"/>
        <v>1225202.863961814</v>
      </c>
    </row>
    <row r="144" spans="1:9">
      <c r="A144" s="21" t="s">
        <v>3</v>
      </c>
      <c r="B144" s="5">
        <v>2002</v>
      </c>
      <c r="C144" s="2">
        <v>5.46</v>
      </c>
      <c r="D144" s="2">
        <v>0.61524076671341743</v>
      </c>
      <c r="E144" s="2">
        <v>67</v>
      </c>
      <c r="F144" s="41">
        <v>3.1154999999999999</v>
      </c>
      <c r="G144" s="2">
        <f t="shared" si="4"/>
        <v>825.33542553191501</v>
      </c>
      <c r="H144" s="2">
        <v>1.4</v>
      </c>
      <c r="I144" s="15">
        <f t="shared" si="5"/>
        <v>1155469.5957446808</v>
      </c>
    </row>
    <row r="145" spans="1:9">
      <c r="A145" s="21" t="s">
        <v>3</v>
      </c>
      <c r="B145" s="5">
        <v>2003</v>
      </c>
      <c r="C145" s="2">
        <v>4.75</v>
      </c>
      <c r="D145" s="2">
        <v>0.49041608228143996</v>
      </c>
      <c r="E145" s="2">
        <v>67</v>
      </c>
      <c r="F145" s="41">
        <v>3.9195000000000002</v>
      </c>
      <c r="G145" s="2">
        <f t="shared" si="4"/>
        <v>1133.2214013346043</v>
      </c>
      <c r="H145" s="2">
        <v>1.2</v>
      </c>
      <c r="I145" s="15">
        <f t="shared" si="5"/>
        <v>1359865.6816015251</v>
      </c>
    </row>
    <row r="146" spans="1:9">
      <c r="A146" s="21" t="s">
        <v>3</v>
      </c>
      <c r="B146" s="5">
        <v>2004</v>
      </c>
      <c r="C146" s="2">
        <v>10.119999999999999</v>
      </c>
      <c r="D146" s="2">
        <v>0.70453482935951373</v>
      </c>
      <c r="E146" s="2">
        <v>67</v>
      </c>
      <c r="F146" s="41">
        <v>4.6900000000000004</v>
      </c>
      <c r="G146" s="2">
        <f t="shared" si="4"/>
        <v>2010.9722627737226</v>
      </c>
      <c r="H146" s="2">
        <v>1</v>
      </c>
      <c r="I146" s="15">
        <f t="shared" si="5"/>
        <v>2010972.2627737226</v>
      </c>
    </row>
    <row r="147" spans="1:9">
      <c r="A147" s="21" t="s">
        <v>3</v>
      </c>
      <c r="B147" s="5">
        <v>2005</v>
      </c>
      <c r="C147" s="2">
        <v>10.68</v>
      </c>
      <c r="D147" s="2">
        <v>0.66245909303412798</v>
      </c>
      <c r="E147" s="2">
        <v>67</v>
      </c>
      <c r="F147" s="41">
        <v>4.1875</v>
      </c>
      <c r="G147" s="2">
        <f t="shared" si="4"/>
        <v>2015.2187720536349</v>
      </c>
      <c r="H147" s="2">
        <v>0.8</v>
      </c>
      <c r="I147" s="15">
        <f t="shared" si="5"/>
        <v>1612175.017642908</v>
      </c>
    </row>
    <row r="148" spans="1:9">
      <c r="A148" s="21" t="s">
        <v>3</v>
      </c>
      <c r="B148" s="5">
        <v>2006</v>
      </c>
      <c r="C148" s="2">
        <v>8.14</v>
      </c>
      <c r="D148" s="2">
        <v>0.82328190743338003</v>
      </c>
      <c r="E148" s="2">
        <v>67</v>
      </c>
      <c r="F148" s="41">
        <v>5.5945</v>
      </c>
      <c r="G148" s="2">
        <f t="shared" si="4"/>
        <v>1651.1719591141398</v>
      </c>
      <c r="H148" s="2">
        <v>0.6</v>
      </c>
      <c r="I148" s="15">
        <f t="shared" si="5"/>
        <v>990703.17546848382</v>
      </c>
    </row>
    <row r="149" spans="1:9">
      <c r="A149" s="21" t="s">
        <v>3</v>
      </c>
      <c r="B149" s="5">
        <v>2007</v>
      </c>
      <c r="C149" s="2">
        <v>5.7</v>
      </c>
      <c r="D149" s="2">
        <v>0.85273492286115005</v>
      </c>
      <c r="E149" s="2">
        <v>67</v>
      </c>
      <c r="F149" s="41">
        <v>6.7</v>
      </c>
      <c r="G149" s="2">
        <f>((C149/D149)/E149)*(F149*2000)</f>
        <v>1336.875</v>
      </c>
      <c r="H149" s="2">
        <v>0.5</v>
      </c>
      <c r="I149" s="15">
        <f t="shared" si="5"/>
        <v>668437.5</v>
      </c>
    </row>
    <row r="150" spans="1:9">
      <c r="A150" s="21" t="s">
        <v>3</v>
      </c>
      <c r="B150" s="5">
        <v>2008</v>
      </c>
      <c r="C150" s="2" t="e">
        <v>#N/A</v>
      </c>
      <c r="D150" s="2">
        <v>0.73352033660589055</v>
      </c>
      <c r="E150" s="2">
        <v>67</v>
      </c>
      <c r="F150" s="41">
        <v>2.1105</v>
      </c>
      <c r="G150" s="2" t="e">
        <f t="shared" si="4"/>
        <v>#N/A</v>
      </c>
      <c r="H150" s="2">
        <v>0.4</v>
      </c>
      <c r="I150" s="15" t="e">
        <f t="shared" si="5"/>
        <v>#N/A</v>
      </c>
    </row>
    <row r="151" spans="1:9">
      <c r="A151" s="21" t="s">
        <v>3</v>
      </c>
      <c r="B151" s="5">
        <v>2009</v>
      </c>
      <c r="C151" s="2" t="e">
        <v>#N/A</v>
      </c>
      <c r="D151" s="2">
        <v>0.76811594202898559</v>
      </c>
      <c r="E151" s="2">
        <v>67</v>
      </c>
      <c r="F151" s="2" t="e">
        <v>#N/A</v>
      </c>
      <c r="G151" s="2" t="e">
        <f t="shared" si="4"/>
        <v>#N/A</v>
      </c>
      <c r="H151" s="2" t="e">
        <v>#N/A</v>
      </c>
      <c r="I151" s="15" t="e">
        <f t="shared" si="5"/>
        <v>#N/A</v>
      </c>
    </row>
    <row r="152" spans="1:9">
      <c r="A152" s="21" t="s">
        <v>3</v>
      </c>
      <c r="B152" s="5">
        <v>2010</v>
      </c>
      <c r="C152" s="2" t="e">
        <v>#N/A</v>
      </c>
      <c r="D152" s="2">
        <v>0.76577840112201967</v>
      </c>
      <c r="E152" s="2">
        <v>67</v>
      </c>
      <c r="F152" s="2" t="e">
        <v>#N/A</v>
      </c>
      <c r="G152" s="2" t="e">
        <f t="shared" si="4"/>
        <v>#N/A</v>
      </c>
      <c r="H152" s="2" t="e">
        <v>#N/A</v>
      </c>
      <c r="I152" s="15" t="e">
        <f t="shared" si="5"/>
        <v>#N/A</v>
      </c>
    </row>
    <row r="153" spans="1:9">
      <c r="A153" s="21" t="s">
        <v>3</v>
      </c>
      <c r="B153" s="5">
        <v>2011</v>
      </c>
      <c r="C153" s="2" t="e">
        <v>#N/A</v>
      </c>
      <c r="D153" s="2">
        <v>0.74801309022907903</v>
      </c>
      <c r="E153" s="2">
        <v>67</v>
      </c>
      <c r="F153" s="2" t="e">
        <v>#N/A</v>
      </c>
      <c r="G153" s="2" t="e">
        <f t="shared" si="4"/>
        <v>#N/A</v>
      </c>
      <c r="H153" s="2" t="e">
        <v>#N/A</v>
      </c>
      <c r="I153" s="15" t="e">
        <f t="shared" si="5"/>
        <v>#N/A</v>
      </c>
    </row>
    <row r="154" spans="1:9">
      <c r="A154" s="21" t="s">
        <v>3</v>
      </c>
      <c r="B154" s="5">
        <v>2012</v>
      </c>
      <c r="C154" s="2" t="e">
        <v>#N/A</v>
      </c>
      <c r="D154" s="2">
        <v>0.80785413744740531</v>
      </c>
      <c r="E154" s="2">
        <v>67</v>
      </c>
      <c r="F154" s="2" t="e">
        <v>#N/A</v>
      </c>
      <c r="G154" s="2" t="e">
        <f t="shared" si="4"/>
        <v>#N/A</v>
      </c>
      <c r="H154" s="2" t="e">
        <v>#N/A</v>
      </c>
      <c r="I154" s="15" t="e">
        <f t="shared" si="5"/>
        <v>#N/A</v>
      </c>
    </row>
    <row r="155" spans="1:9">
      <c r="A155" s="21" t="s">
        <v>3</v>
      </c>
      <c r="B155" s="5">
        <v>2013</v>
      </c>
      <c r="C155" s="2" t="e">
        <v>#N/A</v>
      </c>
      <c r="D155" s="2">
        <v>0.81954184198223468</v>
      </c>
      <c r="E155" s="2">
        <v>67</v>
      </c>
      <c r="F155" s="2" t="e">
        <v>#N/A</v>
      </c>
      <c r="G155" s="2" t="e">
        <f t="shared" si="4"/>
        <v>#N/A</v>
      </c>
      <c r="H155" s="2" t="e">
        <v>#N/A</v>
      </c>
      <c r="I155" s="15" t="e">
        <f t="shared" si="5"/>
        <v>#N/A</v>
      </c>
    </row>
    <row r="156" spans="1:9">
      <c r="A156" s="21" t="s">
        <v>3</v>
      </c>
      <c r="B156" s="5">
        <v>2014</v>
      </c>
      <c r="C156" s="2" t="e">
        <v>#N/A</v>
      </c>
      <c r="D156" s="2">
        <v>1.0032725572697521</v>
      </c>
      <c r="E156" s="2">
        <v>67</v>
      </c>
      <c r="F156" s="2" t="e">
        <v>#N/A</v>
      </c>
      <c r="G156" s="2" t="e">
        <f t="shared" si="4"/>
        <v>#N/A</v>
      </c>
      <c r="H156" s="2" t="e">
        <v>#N/A</v>
      </c>
      <c r="I156" s="15" t="e">
        <f t="shared" si="5"/>
        <v>#N/A</v>
      </c>
    </row>
    <row r="157" spans="1:9">
      <c r="A157" s="21" t="s">
        <v>3</v>
      </c>
      <c r="B157" s="5">
        <v>2015</v>
      </c>
      <c r="C157" s="2" t="e">
        <v>#N/A</v>
      </c>
      <c r="D157" s="2">
        <v>1</v>
      </c>
      <c r="E157" s="2">
        <v>67</v>
      </c>
      <c r="F157" s="2" t="e">
        <v>#N/A</v>
      </c>
      <c r="G157" s="2" t="e">
        <f t="shared" si="4"/>
        <v>#N/A</v>
      </c>
      <c r="H157" s="2" t="e">
        <v>#N/A</v>
      </c>
      <c r="I157" s="15" t="e">
        <f t="shared" si="5"/>
        <v>#N/A</v>
      </c>
    </row>
    <row r="158" spans="1:9">
      <c r="A158" s="21" t="s">
        <v>3</v>
      </c>
      <c r="B158" s="5">
        <v>2016</v>
      </c>
      <c r="C158" s="2" t="e">
        <v>#N/A</v>
      </c>
      <c r="D158" s="2">
        <v>1.1813931743805515</v>
      </c>
      <c r="E158" s="2">
        <v>67</v>
      </c>
      <c r="F158" s="2" t="e">
        <v>#N/A</v>
      </c>
      <c r="G158" s="2" t="e">
        <f t="shared" si="4"/>
        <v>#N/A</v>
      </c>
      <c r="H158" s="2" t="e">
        <v>#N/A</v>
      </c>
      <c r="I158" s="15" t="e">
        <f t="shared" si="5"/>
        <v>#N/A</v>
      </c>
    </row>
    <row r="159" spans="1:9">
      <c r="A159" s="21" t="s">
        <v>3</v>
      </c>
      <c r="B159" s="5">
        <v>2017</v>
      </c>
      <c r="C159" s="2" t="e">
        <v>#N/A</v>
      </c>
      <c r="D159" s="2">
        <v>1.4385226741467976</v>
      </c>
      <c r="E159" s="2">
        <v>67</v>
      </c>
      <c r="F159" s="2" t="e">
        <v>#N/A</v>
      </c>
      <c r="G159" s="2" t="e">
        <f t="shared" si="4"/>
        <v>#N/A</v>
      </c>
      <c r="H159" s="2" t="e">
        <v>#N/A</v>
      </c>
      <c r="I159" s="15" t="e">
        <f t="shared" si="5"/>
        <v>#N/A</v>
      </c>
    </row>
    <row r="160" spans="1:9">
      <c r="A160" s="21" t="s">
        <v>3</v>
      </c>
      <c r="B160" s="5">
        <v>2018</v>
      </c>
      <c r="C160" s="2" t="e">
        <v>#N/A</v>
      </c>
      <c r="D160" s="2">
        <v>1.5455820476858346</v>
      </c>
      <c r="E160" s="2">
        <v>67</v>
      </c>
      <c r="F160" s="2" t="e">
        <v>#N/A</v>
      </c>
      <c r="G160" s="2" t="e">
        <f t="shared" si="4"/>
        <v>#N/A</v>
      </c>
      <c r="H160" s="2" t="e">
        <v>#N/A</v>
      </c>
      <c r="I160" s="15" t="e">
        <f t="shared" si="5"/>
        <v>#N/A</v>
      </c>
    </row>
    <row r="161" spans="1:9">
      <c r="A161" s="22" t="s">
        <v>3</v>
      </c>
      <c r="B161" s="14">
        <v>2019</v>
      </c>
      <c r="C161" s="3" t="e">
        <v>#N/A</v>
      </c>
      <c r="D161" s="3">
        <v>1.1491351098644227</v>
      </c>
      <c r="E161" s="3">
        <v>67</v>
      </c>
      <c r="F161" s="3" t="e">
        <v>#N/A</v>
      </c>
      <c r="G161" s="3" t="e">
        <f t="shared" si="4"/>
        <v>#N/A</v>
      </c>
      <c r="H161" s="3" t="e">
        <v>#N/A</v>
      </c>
      <c r="I161" s="16" t="e">
        <f t="shared" si="5"/>
        <v>#N/A</v>
      </c>
    </row>
    <row r="162" spans="1:9">
      <c r="A162" s="21" t="s">
        <v>4</v>
      </c>
      <c r="B162" s="5">
        <v>1980</v>
      </c>
      <c r="C162" s="2">
        <v>3.5</v>
      </c>
      <c r="D162" s="2">
        <v>0.4731182795698925</v>
      </c>
      <c r="E162" s="2">
        <f>(C162/D162)/(G162/(F162*2000))</f>
        <v>81.137303947778278</v>
      </c>
      <c r="F162" s="2">
        <v>14.00507614213198</v>
      </c>
      <c r="G162" s="2">
        <f>(I2+I42+I82+I122)/((H2+H42+H82+H122)*1000)</f>
        <v>2553.8372288030346</v>
      </c>
      <c r="I162" s="15"/>
    </row>
    <row r="163" spans="1:9">
      <c r="A163" s="21" t="s">
        <v>4</v>
      </c>
      <c r="B163" s="5">
        <v>1981</v>
      </c>
      <c r="C163" s="2">
        <v>1.99</v>
      </c>
      <c r="D163" s="2">
        <v>0.47218326320710613</v>
      </c>
      <c r="E163" s="2">
        <f t="shared" ref="E163:E201" si="6">(C163/D163)/(G163/(F163*2000))</f>
        <v>81.330415720193969</v>
      </c>
      <c r="F163" s="2">
        <v>14.455047714716223</v>
      </c>
      <c r="G163" s="2">
        <f t="shared" ref="G163:G189" si="7">(I3+I43+I83+I123)/((H3+H43+H83+H123)*1000)</f>
        <v>1498.0938468521861</v>
      </c>
      <c r="I163" s="15"/>
    </row>
    <row r="164" spans="1:9">
      <c r="A164" s="21" t="s">
        <v>4</v>
      </c>
      <c r="B164" s="5">
        <v>1982</v>
      </c>
      <c r="C164" s="2">
        <v>1.79</v>
      </c>
      <c r="D164" s="2">
        <v>0.46750818139317435</v>
      </c>
      <c r="E164" s="2">
        <f t="shared" si="6"/>
        <v>80.687787612340358</v>
      </c>
      <c r="F164" s="2">
        <v>12.37</v>
      </c>
      <c r="G164" s="2">
        <f t="shared" si="7"/>
        <v>1173.9664973229833</v>
      </c>
      <c r="I164" s="15"/>
    </row>
    <row r="165" spans="1:9">
      <c r="A165" s="21" t="s">
        <v>4</v>
      </c>
      <c r="B165" s="5">
        <v>1983</v>
      </c>
      <c r="C165" s="2">
        <v>2.68</v>
      </c>
      <c r="D165" s="2">
        <v>0.47078073866292658</v>
      </c>
      <c r="E165" s="2">
        <f t="shared" si="6"/>
        <v>80.849967420216942</v>
      </c>
      <c r="F165" s="2">
        <v>11.4</v>
      </c>
      <c r="G165" s="2">
        <f t="shared" si="7"/>
        <v>1605.3550768397961</v>
      </c>
      <c r="I165" s="15"/>
    </row>
    <row r="166" spans="1:9">
      <c r="A166" s="21" t="s">
        <v>4</v>
      </c>
      <c r="B166" s="5">
        <v>1984</v>
      </c>
      <c r="C166" s="2">
        <v>3.95</v>
      </c>
      <c r="D166" s="2">
        <v>0.48948106591865359</v>
      </c>
      <c r="E166" s="2">
        <f t="shared" si="6"/>
        <v>69.790526518244505</v>
      </c>
      <c r="F166" s="2">
        <v>13.92</v>
      </c>
      <c r="G166" s="2">
        <f>(I6+I46+I126)/((H6+H46+H126)*1000)</f>
        <v>3219.0961946587126</v>
      </c>
      <c r="I166" s="15"/>
    </row>
    <row r="167" spans="1:9">
      <c r="A167" s="21" t="s">
        <v>4</v>
      </c>
      <c r="B167" s="5">
        <v>1985</v>
      </c>
      <c r="C167" s="2">
        <v>4.29</v>
      </c>
      <c r="D167" s="2">
        <v>0.55352968676951853</v>
      </c>
      <c r="E167" s="2">
        <f t="shared" si="6"/>
        <v>80.131919828041134</v>
      </c>
      <c r="F167" s="2">
        <v>16.2</v>
      </c>
      <c r="G167" s="2">
        <f t="shared" si="7"/>
        <v>3133.688593097153</v>
      </c>
      <c r="I167" s="15"/>
    </row>
    <row r="168" spans="1:9">
      <c r="A168" s="21" t="s">
        <v>4</v>
      </c>
      <c r="B168" s="5">
        <v>1986</v>
      </c>
      <c r="C168" s="2">
        <v>4.9400000000000004</v>
      </c>
      <c r="D168" s="2">
        <v>0.53669939223936414</v>
      </c>
      <c r="E168" s="2">
        <f t="shared" si="6"/>
        <v>81.176634841019293</v>
      </c>
      <c r="F168" s="2">
        <v>17.489999999999998</v>
      </c>
      <c r="G168" s="2">
        <f t="shared" si="7"/>
        <v>3966.2912951483722</v>
      </c>
      <c r="I168" s="15"/>
    </row>
    <row r="169" spans="1:9">
      <c r="A169" s="21" t="s">
        <v>4</v>
      </c>
      <c r="B169" s="5">
        <v>1987</v>
      </c>
      <c r="C169" s="2">
        <v>5.43</v>
      </c>
      <c r="D169" s="2">
        <v>0.58859280037400652</v>
      </c>
      <c r="E169" s="2">
        <f t="shared" si="6"/>
        <v>81.829801867147609</v>
      </c>
      <c r="F169" s="2">
        <v>18.836583725622059</v>
      </c>
      <c r="G169" s="2">
        <f t="shared" si="7"/>
        <v>4247.227461584318</v>
      </c>
      <c r="I169" s="15"/>
    </row>
    <row r="170" spans="1:9">
      <c r="A170" s="21" t="s">
        <v>4</v>
      </c>
      <c r="B170" s="5">
        <v>1988</v>
      </c>
      <c r="C170" s="2">
        <v>4.41</v>
      </c>
      <c r="D170" s="2">
        <v>0.66386161757830764</v>
      </c>
      <c r="E170" s="2">
        <f t="shared" si="6"/>
        <v>81.813324857104845</v>
      </c>
      <c r="F170" s="2">
        <v>18.934753661784285</v>
      </c>
      <c r="G170" s="2">
        <f t="shared" si="7"/>
        <v>3074.8691705556625</v>
      </c>
      <c r="I170" s="15"/>
    </row>
    <row r="171" spans="1:9">
      <c r="A171" s="21" t="s">
        <v>4</v>
      </c>
      <c r="B171" s="5">
        <v>1989</v>
      </c>
      <c r="C171" s="2">
        <v>5.86</v>
      </c>
      <c r="D171" s="2">
        <v>0.63581112669471718</v>
      </c>
      <c r="E171" s="2">
        <f t="shared" si="6"/>
        <v>79.192210624700067</v>
      </c>
      <c r="F171" s="2">
        <v>13.428377460964018</v>
      </c>
      <c r="G171" s="2">
        <f t="shared" si="7"/>
        <v>3125.6515577320843</v>
      </c>
      <c r="I171" s="15"/>
    </row>
    <row r="172" spans="1:9">
      <c r="A172" s="21" t="s">
        <v>4</v>
      </c>
      <c r="B172" s="5">
        <v>1990</v>
      </c>
      <c r="C172" s="2">
        <v>5.55</v>
      </c>
      <c r="D172" s="2">
        <v>0.70500233754090702</v>
      </c>
      <c r="E172" s="2">
        <f t="shared" si="6"/>
        <v>78.668349606556262</v>
      </c>
      <c r="F172" s="2">
        <v>16.936936936936938</v>
      </c>
      <c r="G172" s="2">
        <f>(I12+I52+I132)/((H12+H52+H132)*1000)</f>
        <v>3389.7467511018513</v>
      </c>
      <c r="I172" s="15"/>
    </row>
    <row r="173" spans="1:9">
      <c r="A173" s="21" t="s">
        <v>4</v>
      </c>
      <c r="B173" s="5">
        <v>1991</v>
      </c>
      <c r="C173" s="2">
        <v>6.2</v>
      </c>
      <c r="D173" s="2">
        <v>0.95745675549322118</v>
      </c>
      <c r="E173" s="2">
        <f t="shared" si="6"/>
        <v>81.187276595069747</v>
      </c>
      <c r="F173" s="2">
        <v>16.281112737920939</v>
      </c>
      <c r="G173" s="2">
        <f t="shared" si="7"/>
        <v>2597.15953439235</v>
      </c>
      <c r="I173" s="15"/>
    </row>
    <row r="174" spans="1:9">
      <c r="A174" s="21" t="s">
        <v>4</v>
      </c>
      <c r="B174" s="5">
        <v>1992</v>
      </c>
      <c r="C174" s="2">
        <v>2.75</v>
      </c>
      <c r="D174" s="2">
        <v>0.48574100046750818</v>
      </c>
      <c r="E174" s="2">
        <f t="shared" si="6"/>
        <v>80.628464850917055</v>
      </c>
      <c r="F174" s="2">
        <v>19.168956043956044</v>
      </c>
      <c r="G174" s="2">
        <f t="shared" si="7"/>
        <v>2691.956247616647</v>
      </c>
      <c r="I174" s="15"/>
    </row>
    <row r="175" spans="1:9">
      <c r="A175" s="21" t="s">
        <v>4</v>
      </c>
      <c r="B175" s="5">
        <v>1993</v>
      </c>
      <c r="C175" s="2">
        <v>3.33</v>
      </c>
      <c r="D175" s="2">
        <v>0.51753155680224405</v>
      </c>
      <c r="E175" s="2">
        <f t="shared" si="6"/>
        <v>81.464061922021571</v>
      </c>
      <c r="F175" s="2">
        <v>17.201034259857792</v>
      </c>
      <c r="G175" s="2">
        <f t="shared" si="7"/>
        <v>2717.2268216284901</v>
      </c>
      <c r="I175" s="15"/>
    </row>
    <row r="176" spans="1:9">
      <c r="A176" s="21" t="s">
        <v>4</v>
      </c>
      <c r="B176" s="5">
        <v>1994</v>
      </c>
      <c r="C176" s="2">
        <v>2.2999999999999998</v>
      </c>
      <c r="D176" s="2">
        <v>0.5053763440860215</v>
      </c>
      <c r="E176" s="2">
        <f t="shared" si="6"/>
        <v>80.20261467009955</v>
      </c>
      <c r="F176" s="2">
        <v>17.531607465382301</v>
      </c>
      <c r="G176" s="2">
        <f t="shared" si="7"/>
        <v>1989.6474682757421</v>
      </c>
      <c r="I176" s="15"/>
    </row>
    <row r="177" spans="1:9">
      <c r="A177" s="21" t="s">
        <v>4</v>
      </c>
      <c r="B177" s="5">
        <v>1995</v>
      </c>
      <c r="C177" s="2">
        <v>2.3199999999999998</v>
      </c>
      <c r="D177" s="2">
        <v>0.50163627863487603</v>
      </c>
      <c r="E177" s="2">
        <f t="shared" si="6"/>
        <v>80.084222954300913</v>
      </c>
      <c r="F177" s="2">
        <v>15.59380378657487</v>
      </c>
      <c r="G177" s="2">
        <f t="shared" si="7"/>
        <v>1801.0847225996256</v>
      </c>
      <c r="I177" s="15"/>
    </row>
    <row r="178" spans="1:9">
      <c r="A178" s="21" t="s">
        <v>4</v>
      </c>
      <c r="B178" s="5">
        <v>1996</v>
      </c>
      <c r="C178" s="2">
        <v>1.93</v>
      </c>
      <c r="D178" s="2">
        <v>0.60028050490883589</v>
      </c>
      <c r="E178" s="2">
        <f t="shared" si="6"/>
        <v>79.432619945032187</v>
      </c>
      <c r="F178" s="2">
        <v>15.851648351648352</v>
      </c>
      <c r="G178" s="2">
        <f t="shared" si="7"/>
        <v>1283.2421250898635</v>
      </c>
      <c r="I178" s="15"/>
    </row>
    <row r="179" spans="1:9">
      <c r="A179" s="21" t="s">
        <v>4</v>
      </c>
      <c r="B179" s="5">
        <v>1997</v>
      </c>
      <c r="C179" s="2">
        <v>2</v>
      </c>
      <c r="D179" s="2">
        <v>0.52267414679756896</v>
      </c>
      <c r="E179" s="2">
        <f t="shared" si="6"/>
        <v>77.352638320474639</v>
      </c>
      <c r="F179" s="2">
        <v>15.261918775750441</v>
      </c>
      <c r="G179" s="2">
        <f t="shared" si="7"/>
        <v>1509.9514349859594</v>
      </c>
      <c r="I179" s="15"/>
    </row>
    <row r="180" spans="1:9">
      <c r="A180" s="21" t="s">
        <v>4</v>
      </c>
      <c r="B180" s="5">
        <v>1998</v>
      </c>
      <c r="C180" s="2">
        <v>3.17</v>
      </c>
      <c r="D180" s="2">
        <v>0.51425899953249177</v>
      </c>
      <c r="E180" s="2">
        <f t="shared" si="6"/>
        <v>78.536287424626664</v>
      </c>
      <c r="F180" s="2">
        <v>16.057507987220447</v>
      </c>
      <c r="G180" s="2">
        <f t="shared" si="7"/>
        <v>2520.6650316177752</v>
      </c>
      <c r="I180" s="15"/>
    </row>
    <row r="181" spans="1:9">
      <c r="A181" s="21" t="s">
        <v>4</v>
      </c>
      <c r="B181" s="5">
        <v>1999</v>
      </c>
      <c r="C181" s="2">
        <v>3.87</v>
      </c>
      <c r="D181" s="2">
        <v>0.74146797568957457</v>
      </c>
      <c r="E181" s="2">
        <f t="shared" si="6"/>
        <v>81.433900003425563</v>
      </c>
      <c r="F181" s="2">
        <v>18</v>
      </c>
      <c r="G181" s="2">
        <f t="shared" si="7"/>
        <v>2307.3625156766661</v>
      </c>
      <c r="I181" s="15"/>
    </row>
    <row r="182" spans="1:9">
      <c r="A182" s="21" t="s">
        <v>4</v>
      </c>
      <c r="B182" s="5">
        <v>2000</v>
      </c>
      <c r="C182" s="2">
        <v>2.5</v>
      </c>
      <c r="D182" s="2">
        <v>0.45067788686302013</v>
      </c>
      <c r="E182" s="2">
        <f t="shared" si="6"/>
        <v>79.750299027989598</v>
      </c>
      <c r="F182" s="2">
        <v>16.955922865013775</v>
      </c>
      <c r="G182" s="2">
        <f t="shared" si="7"/>
        <v>2358.8094939302496</v>
      </c>
      <c r="I182" s="15"/>
    </row>
    <row r="183" spans="1:9">
      <c r="A183" s="21" t="s">
        <v>4</v>
      </c>
      <c r="B183" s="5">
        <v>2001</v>
      </c>
      <c r="C183" s="2">
        <v>2.64</v>
      </c>
      <c r="D183" s="2">
        <v>0.58765778401122015</v>
      </c>
      <c r="E183" s="2">
        <f t="shared" si="6"/>
        <v>80.330728070720554</v>
      </c>
      <c r="F183" s="2">
        <v>17.784299339691856</v>
      </c>
      <c r="G183" s="2">
        <f t="shared" si="7"/>
        <v>1989.1360386939523</v>
      </c>
      <c r="I183" s="15"/>
    </row>
    <row r="184" spans="1:9">
      <c r="A184" s="21" t="s">
        <v>4</v>
      </c>
      <c r="B184" s="5">
        <v>2002</v>
      </c>
      <c r="C184" s="2">
        <v>3.03</v>
      </c>
      <c r="D184" s="2">
        <v>0.61524076671341743</v>
      </c>
      <c r="E184" s="2">
        <f t="shared" si="6"/>
        <v>78.10801490178703</v>
      </c>
      <c r="F184" s="2">
        <v>16.066978193146415</v>
      </c>
      <c r="G184" s="2">
        <f t="shared" si="7"/>
        <v>2026.1244774237989</v>
      </c>
      <c r="I184" s="15"/>
    </row>
    <row r="185" spans="1:9">
      <c r="A185" s="21" t="s">
        <v>4</v>
      </c>
      <c r="B185" s="5">
        <v>2003</v>
      </c>
      <c r="C185" s="2">
        <v>3.66</v>
      </c>
      <c r="D185" s="2">
        <v>0.49041608228143996</v>
      </c>
      <c r="E185" s="2">
        <f t="shared" si="6"/>
        <v>80.853695600555028</v>
      </c>
      <c r="F185" s="2">
        <v>18.991228070175438</v>
      </c>
      <c r="G185" s="2">
        <f t="shared" si="7"/>
        <v>3505.9002202348097</v>
      </c>
      <c r="I185" s="15"/>
    </row>
    <row r="186" spans="1:9">
      <c r="A186" s="21" t="s">
        <v>4</v>
      </c>
      <c r="B186" s="5">
        <v>2004</v>
      </c>
      <c r="C186" s="2">
        <v>12.65</v>
      </c>
      <c r="D186" s="2">
        <v>0.70453482935951373</v>
      </c>
      <c r="E186" s="2">
        <f t="shared" si="6"/>
        <v>79.395813256055746</v>
      </c>
      <c r="F186" s="2">
        <v>10.029556650246306</v>
      </c>
      <c r="G186" s="2">
        <f t="shared" si="7"/>
        <v>4536.3043817194639</v>
      </c>
      <c r="I186" s="15"/>
    </row>
    <row r="187" spans="1:9">
      <c r="A187" s="21" t="s">
        <v>4</v>
      </c>
      <c r="B187" s="5">
        <v>2005</v>
      </c>
      <c r="C187" s="2">
        <v>8.74</v>
      </c>
      <c r="D187" s="2">
        <v>0.66245909303412798</v>
      </c>
      <c r="E187" s="2">
        <f t="shared" si="6"/>
        <v>79.706899663293484</v>
      </c>
      <c r="F187" s="2">
        <v>13.827160493827162</v>
      </c>
      <c r="G187" s="2">
        <f t="shared" si="7"/>
        <v>4577.4061585034069</v>
      </c>
      <c r="I187" s="15"/>
    </row>
    <row r="188" spans="1:9">
      <c r="A188" s="21" t="s">
        <v>4</v>
      </c>
      <c r="B188" s="5">
        <v>2006</v>
      </c>
      <c r="C188" s="2">
        <v>5.19</v>
      </c>
      <c r="D188" s="2">
        <v>0.82328190743338003</v>
      </c>
      <c r="E188" s="2">
        <f t="shared" si="6"/>
        <v>79.582716279901945</v>
      </c>
      <c r="F188" s="2">
        <v>18.896631823461092</v>
      </c>
      <c r="G188" s="2">
        <f t="shared" si="7"/>
        <v>2993.7423803785859</v>
      </c>
      <c r="I188" s="15"/>
    </row>
    <row r="189" spans="1:9">
      <c r="A189" s="21" t="s">
        <v>4</v>
      </c>
      <c r="B189" s="5">
        <v>2007</v>
      </c>
      <c r="C189" s="2">
        <v>4.8</v>
      </c>
      <c r="D189" s="2">
        <v>0.85273492286115005</v>
      </c>
      <c r="E189" s="2">
        <f t="shared" si="6"/>
        <v>80.82188055756481</v>
      </c>
      <c r="F189" s="2">
        <v>18.561151079136689</v>
      </c>
      <c r="G189" s="2">
        <f t="shared" si="7"/>
        <v>2585.4321082607598</v>
      </c>
      <c r="I189" s="15"/>
    </row>
    <row r="190" spans="1:9">
      <c r="A190" s="21" t="s">
        <v>4</v>
      </c>
      <c r="B190" s="5">
        <v>2008</v>
      </c>
      <c r="C190" s="2">
        <v>4.37</v>
      </c>
      <c r="D190" s="2">
        <v>0.73352033660589055</v>
      </c>
      <c r="E190" s="2">
        <f t="shared" si="6"/>
        <v>80.047602153375806</v>
      </c>
      <c r="F190" s="2">
        <v>16.218905472636816</v>
      </c>
      <c r="G190" s="2">
        <f t="shared" ref="G190:G201" si="8">(I30+I70+I110)/((H30+H70+H110)*1000)</f>
        <v>2414.1957954349909</v>
      </c>
      <c r="I190" s="15"/>
    </row>
    <row r="191" spans="1:9">
      <c r="A191" s="21" t="s">
        <v>4</v>
      </c>
      <c r="B191" s="5">
        <v>2009</v>
      </c>
      <c r="C191" s="2">
        <v>7.28</v>
      </c>
      <c r="D191" s="2">
        <v>0.76811594202898559</v>
      </c>
      <c r="E191" s="2">
        <f t="shared" si="6"/>
        <v>82.378196028982003</v>
      </c>
      <c r="F191" s="2">
        <v>16.354029062087186</v>
      </c>
      <c r="G191" s="2">
        <f t="shared" si="8"/>
        <v>3763.1114782782088</v>
      </c>
      <c r="I191" s="15"/>
    </row>
    <row r="192" spans="1:9">
      <c r="A192" s="21" t="s">
        <v>4</v>
      </c>
      <c r="B192" s="5">
        <v>2010</v>
      </c>
      <c r="C192" s="2">
        <v>7.09</v>
      </c>
      <c r="D192" s="2">
        <v>0.76577840112201967</v>
      </c>
      <c r="E192" s="2">
        <f t="shared" si="6"/>
        <v>83.082835861299685</v>
      </c>
      <c r="F192" s="2">
        <v>17.173913043478262</v>
      </c>
      <c r="G192" s="2">
        <f t="shared" si="8"/>
        <v>3827.6398351648345</v>
      </c>
      <c r="I192" s="15"/>
    </row>
    <row r="193" spans="1:9">
      <c r="A193" s="21" t="s">
        <v>4</v>
      </c>
      <c r="B193" s="5">
        <v>2011</v>
      </c>
      <c r="C193" s="2">
        <v>7.65</v>
      </c>
      <c r="D193" s="2">
        <v>0.74801309022907903</v>
      </c>
      <c r="E193" s="2">
        <f t="shared" si="6"/>
        <v>83.337073511023192</v>
      </c>
      <c r="F193" s="2">
        <v>15.97</v>
      </c>
      <c r="G193" s="2">
        <f t="shared" si="8"/>
        <v>3919.6645695963007</v>
      </c>
      <c r="I193" s="15"/>
    </row>
    <row r="194" spans="1:9">
      <c r="A194" s="21" t="s">
        <v>4</v>
      </c>
      <c r="B194" s="5">
        <v>2012</v>
      </c>
      <c r="C194" s="2">
        <v>6.51</v>
      </c>
      <c r="D194" s="2">
        <v>0.80785413744740531</v>
      </c>
      <c r="E194" s="2">
        <f t="shared" si="6"/>
        <v>83.121157094421974</v>
      </c>
      <c r="F194" s="2">
        <v>16.86</v>
      </c>
      <c r="G194" s="2">
        <f t="shared" si="8"/>
        <v>3269.0684989060978</v>
      </c>
      <c r="I194" s="15"/>
    </row>
    <row r="195" spans="1:9">
      <c r="A195" s="21" t="s">
        <v>4</v>
      </c>
      <c r="B195" s="5">
        <v>2013</v>
      </c>
      <c r="C195" s="2">
        <v>7.25</v>
      </c>
      <c r="D195" s="2">
        <v>0.81954184198223468</v>
      </c>
      <c r="E195" s="2">
        <f t="shared" si="6"/>
        <v>85.208118981292003</v>
      </c>
      <c r="F195" s="2">
        <v>15.46</v>
      </c>
      <c r="G195" s="2">
        <f t="shared" si="8"/>
        <v>3210.1504148221575</v>
      </c>
      <c r="I195" s="15"/>
    </row>
    <row r="196" spans="1:9">
      <c r="A196" s="21" t="s">
        <v>4</v>
      </c>
      <c r="B196" s="5">
        <v>2014</v>
      </c>
      <c r="C196" s="2">
        <v>7.44</v>
      </c>
      <c r="D196" s="2">
        <v>1.0032725572697521</v>
      </c>
      <c r="E196" s="2">
        <f t="shared" si="6"/>
        <v>82.8711890172859</v>
      </c>
      <c r="F196" s="2">
        <v>13.521545319465082</v>
      </c>
      <c r="G196" s="2">
        <f t="shared" si="8"/>
        <v>2419.9520245759413</v>
      </c>
      <c r="I196" s="15"/>
    </row>
    <row r="197" spans="1:9">
      <c r="A197" s="21" t="s">
        <v>4</v>
      </c>
      <c r="B197" s="5">
        <v>2015</v>
      </c>
      <c r="C197" s="2">
        <v>10.64</v>
      </c>
      <c r="D197" s="2">
        <v>1</v>
      </c>
      <c r="E197" s="2">
        <f t="shared" si="6"/>
        <v>82.562815934793946</v>
      </c>
      <c r="F197" s="2">
        <v>12.527301092043682</v>
      </c>
      <c r="G197" s="2">
        <f t="shared" si="8"/>
        <v>3228.8260062402501</v>
      </c>
      <c r="I197" s="15"/>
    </row>
    <row r="198" spans="1:9">
      <c r="A198" s="21" t="s">
        <v>4</v>
      </c>
      <c r="B198" s="5">
        <v>2016</v>
      </c>
      <c r="C198" s="2">
        <v>12.48</v>
      </c>
      <c r="D198" s="2">
        <v>1.1813931743805515</v>
      </c>
      <c r="E198" s="2">
        <f t="shared" si="6"/>
        <v>82.011716031893826</v>
      </c>
      <c r="F198" s="2">
        <v>11.720989932885905</v>
      </c>
      <c r="G198" s="2">
        <f t="shared" si="8"/>
        <v>3019.5242188392217</v>
      </c>
      <c r="I198" s="15"/>
    </row>
    <row r="199" spans="1:9">
      <c r="A199" s="21" t="s">
        <v>4</v>
      </c>
      <c r="B199" s="5">
        <v>2017</v>
      </c>
      <c r="C199" s="2">
        <v>14.24</v>
      </c>
      <c r="D199" s="2">
        <v>1.4385226741467976</v>
      </c>
      <c r="E199" s="2">
        <f t="shared" si="6"/>
        <v>81.711399267864039</v>
      </c>
      <c r="F199" s="2">
        <v>9.2876094890510963</v>
      </c>
      <c r="G199" s="2">
        <f t="shared" si="8"/>
        <v>2250.3215139224621</v>
      </c>
      <c r="I199" s="15"/>
    </row>
    <row r="200" spans="1:9">
      <c r="A200" s="21" t="s">
        <v>4</v>
      </c>
      <c r="B200" s="5">
        <v>2018</v>
      </c>
      <c r="C200" s="2">
        <v>11.18</v>
      </c>
      <c r="D200" s="2">
        <v>1.5455820476858346</v>
      </c>
      <c r="E200" s="2">
        <f t="shared" si="6"/>
        <v>76.119982844538157</v>
      </c>
      <c r="F200" s="2">
        <v>11.348088531187122</v>
      </c>
      <c r="G200" s="2">
        <f t="shared" si="8"/>
        <v>2156.769672572641</v>
      </c>
      <c r="H200" s="25"/>
      <c r="I200" s="15"/>
    </row>
    <row r="201" spans="1:9">
      <c r="A201" s="22" t="s">
        <v>4</v>
      </c>
      <c r="B201" s="14">
        <v>2019</v>
      </c>
      <c r="C201" s="3">
        <v>13.4</v>
      </c>
      <c r="D201" s="3">
        <v>1.1491351098644227</v>
      </c>
      <c r="E201" s="3">
        <f t="shared" si="6"/>
        <v>103.66014215344771</v>
      </c>
      <c r="F201" s="3">
        <v>12.155172413793103</v>
      </c>
      <c r="G201" s="3">
        <f t="shared" si="8"/>
        <v>2734.7209861448187</v>
      </c>
      <c r="H201" s="3"/>
      <c r="I201" s="16"/>
    </row>
  </sheetData>
  <phoneticPr fontId="2" type="noConversion"/>
  <pageMargins left="0.66700000000000004" right="0.66700000000000004" top="0.66700000000000004" bottom="0.72" header="0" footer="0"/>
  <pageSetup scale="28" firstPageNumber="74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DD7B-4002-D149-8532-84C60FB2AB04}">
  <dimension ref="A1:J121"/>
  <sheetViews>
    <sheetView showGridLines="0" view="pageBreakPreview" zoomScaleNormal="88" zoomScaleSheetLayoutView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H36" sqref="H36"/>
    </sheetView>
  </sheetViews>
  <sheetFormatPr baseColWidth="10" defaultRowHeight="12"/>
  <cols>
    <col min="1" max="1" width="13.59765625" style="13" bestFit="1" customWidth="1"/>
    <col min="2" max="2" width="6.3984375" style="6" bestFit="1" customWidth="1"/>
    <col min="3" max="3" width="13" style="7" bestFit="1" customWidth="1"/>
    <col min="4" max="4" width="16.19921875" style="7" bestFit="1" customWidth="1"/>
    <col min="5" max="6" width="20" style="7" bestFit="1" customWidth="1"/>
    <col min="7" max="7" width="15.3984375" style="7" bestFit="1" customWidth="1"/>
    <col min="8" max="8" width="24.19921875" style="7" bestFit="1" customWidth="1"/>
    <col min="9" max="9" width="14.796875" style="7" bestFit="1" customWidth="1"/>
  </cols>
  <sheetData>
    <row r="1" spans="1:10">
      <c r="A1" s="27" t="s">
        <v>5</v>
      </c>
      <c r="B1" s="28" t="s">
        <v>12</v>
      </c>
      <c r="C1" s="29" t="s">
        <v>6</v>
      </c>
      <c r="D1" s="29" t="s">
        <v>13</v>
      </c>
      <c r="E1" s="29" t="s">
        <v>7</v>
      </c>
      <c r="F1" s="29" t="s">
        <v>8</v>
      </c>
      <c r="G1" s="29" t="s">
        <v>9</v>
      </c>
      <c r="H1" s="29" t="s">
        <v>11</v>
      </c>
      <c r="I1" s="30" t="s">
        <v>10</v>
      </c>
    </row>
    <row r="2" spans="1:10">
      <c r="A2" s="31" t="s">
        <v>1</v>
      </c>
      <c r="B2" s="32">
        <v>1980</v>
      </c>
      <c r="C2" s="33">
        <v>2.14</v>
      </c>
      <c r="D2" s="2">
        <v>0.4731182795698925</v>
      </c>
      <c r="E2" s="26">
        <v>76</v>
      </c>
      <c r="F2" s="26">
        <v>17.514231499051231</v>
      </c>
      <c r="G2" s="26">
        <f>((C2/D2)/E2)*(F2*2000)</f>
        <v>2084.7382493667324</v>
      </c>
      <c r="H2" s="26">
        <v>52.7</v>
      </c>
      <c r="I2" s="34">
        <f>G2*H2*1000</f>
        <v>109865705.74162681</v>
      </c>
      <c r="J2" s="1"/>
    </row>
    <row r="3" spans="1:10">
      <c r="A3" s="31" t="s">
        <v>1</v>
      </c>
      <c r="B3" s="32">
        <v>1981</v>
      </c>
      <c r="C3" s="33">
        <v>1.64</v>
      </c>
      <c r="D3" s="2">
        <v>0.47218326320710613</v>
      </c>
      <c r="E3" s="26">
        <v>76</v>
      </c>
      <c r="F3" s="26">
        <v>12.970479704797047</v>
      </c>
      <c r="G3" s="26">
        <f t="shared" ref="G3:G66" si="0">((C3/D3)/E3)*(F3*2000)</f>
        <v>1185.511307588323</v>
      </c>
      <c r="H3" s="26">
        <v>54.2</v>
      </c>
      <c r="I3" s="34">
        <f>G3*H3*1000</f>
        <v>64254712.871287115</v>
      </c>
      <c r="J3" s="1"/>
    </row>
    <row r="4" spans="1:10">
      <c r="A4" s="31" t="s">
        <v>1</v>
      </c>
      <c r="B4" s="32">
        <v>1982</v>
      </c>
      <c r="C4" s="33">
        <v>1.22</v>
      </c>
      <c r="D4" s="2">
        <v>0.46750818139317435</v>
      </c>
      <c r="E4" s="26">
        <v>76</v>
      </c>
      <c r="F4" s="26">
        <v>14.826923076923077</v>
      </c>
      <c r="G4" s="26">
        <f t="shared" si="0"/>
        <v>1018.2116295546559</v>
      </c>
      <c r="H4" s="26">
        <v>52</v>
      </c>
      <c r="I4" s="34">
        <f t="shared" ref="I4:I41" si="1">G4*H4*1000</f>
        <v>52947004.736842111</v>
      </c>
      <c r="J4" s="1"/>
    </row>
    <row r="5" spans="1:10">
      <c r="A5" s="31" t="s">
        <v>1</v>
      </c>
      <c r="B5" s="32">
        <v>1983</v>
      </c>
      <c r="C5" s="33">
        <v>3.41</v>
      </c>
      <c r="D5" s="2">
        <v>0.47078073866292658</v>
      </c>
      <c r="E5" s="26">
        <v>76</v>
      </c>
      <c r="F5" s="26">
        <v>12.737864077669903</v>
      </c>
      <c r="G5" s="26">
        <f t="shared" si="0"/>
        <v>2428.0001359923563</v>
      </c>
      <c r="H5" s="26">
        <v>51.5</v>
      </c>
      <c r="I5" s="34">
        <f t="shared" si="1"/>
        <v>125042007.00360633</v>
      </c>
      <c r="J5" s="1"/>
    </row>
    <row r="6" spans="1:10">
      <c r="A6" s="31" t="s">
        <v>1</v>
      </c>
      <c r="B6" s="32">
        <v>1984</v>
      </c>
      <c r="C6" s="33">
        <v>4.4400000000000004</v>
      </c>
      <c r="D6" s="2">
        <v>0.48948106591865359</v>
      </c>
      <c r="E6" s="26">
        <v>76</v>
      </c>
      <c r="F6" s="26">
        <v>15.161290322580644</v>
      </c>
      <c r="G6" s="26">
        <f t="shared" si="0"/>
        <v>3619.092142964862</v>
      </c>
      <c r="H6" s="26">
        <v>49.6</v>
      </c>
      <c r="I6" s="34">
        <f t="shared" si="1"/>
        <v>179506970.29105717</v>
      </c>
      <c r="J6" s="1"/>
    </row>
    <row r="7" spans="1:10">
      <c r="A7" s="31" t="s">
        <v>1</v>
      </c>
      <c r="B7" s="32">
        <v>1985</v>
      </c>
      <c r="C7" s="33">
        <v>8.5500000000000007</v>
      </c>
      <c r="D7" s="2">
        <v>0.55352968676951853</v>
      </c>
      <c r="E7" s="26">
        <v>76</v>
      </c>
      <c r="F7" s="26">
        <v>11.762295081967213</v>
      </c>
      <c r="G7" s="26">
        <f t="shared" si="0"/>
        <v>4781.1643290319007</v>
      </c>
      <c r="H7" s="26">
        <v>48.8</v>
      </c>
      <c r="I7" s="34">
        <f t="shared" si="1"/>
        <v>233320819.25675675</v>
      </c>
      <c r="J7" s="1"/>
    </row>
    <row r="8" spans="1:10">
      <c r="A8" s="31" t="s">
        <v>1</v>
      </c>
      <c r="B8" s="32">
        <v>1986</v>
      </c>
      <c r="C8" s="33">
        <v>4.2699999999999996</v>
      </c>
      <c r="D8" s="2">
        <v>0.53669939223936414</v>
      </c>
      <c r="E8" s="26">
        <v>76</v>
      </c>
      <c r="F8" s="26">
        <v>16.880165289256198</v>
      </c>
      <c r="G8" s="26">
        <f t="shared" si="0"/>
        <v>3534.1898054827652</v>
      </c>
      <c r="H8" s="26">
        <v>48.4</v>
      </c>
      <c r="I8" s="34">
        <f t="shared" si="1"/>
        <v>171054786.58536583</v>
      </c>
      <c r="J8" s="1"/>
    </row>
    <row r="9" spans="1:10">
      <c r="A9" s="31" t="s">
        <v>1</v>
      </c>
      <c r="B9" s="32">
        <v>1987</v>
      </c>
      <c r="C9" s="33">
        <v>7.16</v>
      </c>
      <c r="D9" s="2">
        <v>0.58859280037400652</v>
      </c>
      <c r="E9" s="26">
        <v>76</v>
      </c>
      <c r="F9" s="26">
        <v>13.183673469387756</v>
      </c>
      <c r="G9" s="26">
        <f t="shared" si="0"/>
        <v>4220.3737984470999</v>
      </c>
      <c r="H9" s="26">
        <v>49</v>
      </c>
      <c r="I9" s="34">
        <f t="shared" si="1"/>
        <v>206798316.12390789</v>
      </c>
      <c r="J9" s="1"/>
    </row>
    <row r="10" spans="1:10">
      <c r="A10" s="31" t="s">
        <v>1</v>
      </c>
      <c r="B10" s="32">
        <v>1988</v>
      </c>
      <c r="C10" s="33">
        <v>9.3699999999999992</v>
      </c>
      <c r="D10" s="2">
        <v>0.66386161757830764</v>
      </c>
      <c r="E10" s="26">
        <v>76</v>
      </c>
      <c r="F10" s="26">
        <v>12.719008264462811</v>
      </c>
      <c r="G10" s="26">
        <f t="shared" si="0"/>
        <v>4724.2370795018041</v>
      </c>
      <c r="H10" s="26">
        <v>48.4</v>
      </c>
      <c r="I10" s="34">
        <f t="shared" si="1"/>
        <v>228653074.64788732</v>
      </c>
      <c r="J10" s="1"/>
    </row>
    <row r="11" spans="1:10">
      <c r="A11" s="31" t="s">
        <v>1</v>
      </c>
      <c r="B11" s="32">
        <v>1989</v>
      </c>
      <c r="C11" s="33">
        <v>12.17</v>
      </c>
      <c r="D11" s="2">
        <v>0.63581112669471718</v>
      </c>
      <c r="E11" s="26">
        <v>76</v>
      </c>
      <c r="F11" s="26">
        <v>12.560669456066947</v>
      </c>
      <c r="G11" s="26">
        <f t="shared" si="0"/>
        <v>6326.9098264828954</v>
      </c>
      <c r="H11" s="26">
        <v>47.8</v>
      </c>
      <c r="I11" s="34">
        <f t="shared" si="1"/>
        <v>302426289.70588237</v>
      </c>
      <c r="J11" s="1"/>
    </row>
    <row r="12" spans="1:10">
      <c r="A12" s="31" t="s">
        <v>1</v>
      </c>
      <c r="B12" s="32">
        <v>1990</v>
      </c>
      <c r="C12" s="33">
        <v>13.05</v>
      </c>
      <c r="D12" s="2">
        <v>0.70500233754090702</v>
      </c>
      <c r="E12" s="26">
        <v>76</v>
      </c>
      <c r="F12" s="26">
        <v>12.055674518201284</v>
      </c>
      <c r="G12" s="26">
        <f t="shared" si="0"/>
        <v>5872.5655402300836</v>
      </c>
      <c r="H12" s="26">
        <v>46.7</v>
      </c>
      <c r="I12" s="34">
        <f t="shared" si="1"/>
        <v>274248810.72874492</v>
      </c>
      <c r="J12" s="1"/>
    </row>
    <row r="13" spans="1:10">
      <c r="A13" s="31" t="s">
        <v>1</v>
      </c>
      <c r="B13" s="32">
        <v>1991</v>
      </c>
      <c r="C13" s="33">
        <v>9.0399999999999991</v>
      </c>
      <c r="D13" s="2">
        <v>0.95745675549322118</v>
      </c>
      <c r="E13" s="26">
        <v>76</v>
      </c>
      <c r="F13" s="26">
        <f>325*76/2000</f>
        <v>12.35</v>
      </c>
      <c r="G13" s="26">
        <f t="shared" si="0"/>
        <v>3068.5458984374995</v>
      </c>
      <c r="H13" s="26">
        <v>46.4</v>
      </c>
      <c r="I13" s="34">
        <f t="shared" si="1"/>
        <v>142380529.68749997</v>
      </c>
      <c r="J13" s="1"/>
    </row>
    <row r="14" spans="1:10">
      <c r="A14" s="31" t="s">
        <v>1</v>
      </c>
      <c r="B14" s="32">
        <v>1992</v>
      </c>
      <c r="C14" s="33">
        <v>6.42</v>
      </c>
      <c r="D14" s="2">
        <v>0.48574100046750818</v>
      </c>
      <c r="E14" s="26">
        <v>76</v>
      </c>
      <c r="F14" s="26">
        <f>440*76/2000</f>
        <v>16.72</v>
      </c>
      <c r="G14" s="26">
        <f t="shared" si="0"/>
        <v>5815.444850818094</v>
      </c>
      <c r="H14" s="26">
        <v>46.4</v>
      </c>
      <c r="I14" s="34">
        <f t="shared" si="1"/>
        <v>269836641.07795954</v>
      </c>
      <c r="J14" s="1"/>
    </row>
    <row r="15" spans="1:10">
      <c r="A15" s="31" t="s">
        <v>1</v>
      </c>
      <c r="B15" s="32">
        <v>1993</v>
      </c>
      <c r="C15" s="33">
        <v>6.19</v>
      </c>
      <c r="D15" s="2">
        <v>0.51753155680224405</v>
      </c>
      <c r="E15" s="26">
        <v>76</v>
      </c>
      <c r="F15" s="26">
        <f>455*76/2000</f>
        <v>17.29</v>
      </c>
      <c r="G15" s="26">
        <f t="shared" si="0"/>
        <v>5442.0836043360432</v>
      </c>
      <c r="H15" s="26">
        <v>45.5</v>
      </c>
      <c r="I15" s="34">
        <f t="shared" si="1"/>
        <v>247614803.99728999</v>
      </c>
      <c r="J15" s="1"/>
    </row>
    <row r="16" spans="1:10">
      <c r="A16" s="31" t="s">
        <v>1</v>
      </c>
      <c r="B16" s="32">
        <v>1994</v>
      </c>
      <c r="C16" s="33">
        <v>7.67</v>
      </c>
      <c r="D16" s="2">
        <v>0.5053763440860215</v>
      </c>
      <c r="E16" s="26">
        <v>76</v>
      </c>
      <c r="F16" s="26">
        <f>438*76/2000</f>
        <v>16.643999999999998</v>
      </c>
      <c r="G16" s="26">
        <f t="shared" si="0"/>
        <v>6647.442127659574</v>
      </c>
      <c r="H16" s="26">
        <v>45.7</v>
      </c>
      <c r="I16" s="34">
        <f t="shared" si="1"/>
        <v>303788105.23404258</v>
      </c>
      <c r="J16" s="1"/>
    </row>
    <row r="17" spans="1:10">
      <c r="A17" s="31" t="s">
        <v>1</v>
      </c>
      <c r="B17" s="32">
        <v>1995</v>
      </c>
      <c r="C17" s="33">
        <v>6.77</v>
      </c>
      <c r="D17" s="2">
        <v>0.50163627863487603</v>
      </c>
      <c r="E17" s="26">
        <v>76</v>
      </c>
      <c r="F17" s="26">
        <f>453*76/2000</f>
        <v>17.213999999999999</v>
      </c>
      <c r="G17" s="26">
        <f t="shared" si="0"/>
        <v>6113.6128518173355</v>
      </c>
      <c r="H17" s="26">
        <v>46.4</v>
      </c>
      <c r="I17" s="34">
        <f t="shared" si="1"/>
        <v>283671636.32432437</v>
      </c>
      <c r="J17" s="1"/>
    </row>
    <row r="18" spans="1:10">
      <c r="A18" s="31" t="s">
        <v>1</v>
      </c>
      <c r="B18" s="32">
        <v>1996</v>
      </c>
      <c r="C18" s="33">
        <v>8.49</v>
      </c>
      <c r="D18" s="2">
        <v>0.60028050490883589</v>
      </c>
      <c r="E18" s="26">
        <v>76</v>
      </c>
      <c r="F18" s="26">
        <f>477*76/2000</f>
        <v>18.126000000000001</v>
      </c>
      <c r="G18" s="26">
        <f t="shared" si="0"/>
        <v>6746.3960046728971</v>
      </c>
      <c r="H18" s="26">
        <v>47.4</v>
      </c>
      <c r="I18" s="34">
        <f t="shared" si="1"/>
        <v>319779170.62149531</v>
      </c>
      <c r="J18" s="1"/>
    </row>
    <row r="19" spans="1:10">
      <c r="A19" s="31" t="s">
        <v>1</v>
      </c>
      <c r="B19" s="32">
        <v>1997</v>
      </c>
      <c r="C19" s="33">
        <v>6.68</v>
      </c>
      <c r="D19" s="2">
        <v>0.52267414679756896</v>
      </c>
      <c r="E19" s="26">
        <v>76</v>
      </c>
      <c r="F19" s="26">
        <f>431*76/2000</f>
        <v>16.378</v>
      </c>
      <c r="G19" s="26">
        <f t="shared" si="0"/>
        <v>5508.3650447227183</v>
      </c>
      <c r="H19" s="26">
        <v>48.7</v>
      </c>
      <c r="I19" s="34">
        <f t="shared" si="1"/>
        <v>268257377.6779964</v>
      </c>
      <c r="J19" s="1"/>
    </row>
    <row r="20" spans="1:10">
      <c r="A20" s="31" t="s">
        <v>1</v>
      </c>
      <c r="B20" s="32">
        <v>1998</v>
      </c>
      <c r="C20" s="33">
        <v>8.84</v>
      </c>
      <c r="D20" s="2">
        <v>0.51425899953249177</v>
      </c>
      <c r="E20" s="26">
        <v>76</v>
      </c>
      <c r="F20" s="26">
        <f>331*76/2000</f>
        <v>12.577999999999999</v>
      </c>
      <c r="G20" s="26">
        <f t="shared" si="0"/>
        <v>5689.817781818183</v>
      </c>
      <c r="H20" s="26">
        <v>49</v>
      </c>
      <c r="I20" s="34">
        <f t="shared" si="1"/>
        <v>278801071.30909091</v>
      </c>
      <c r="J20" s="1"/>
    </row>
    <row r="21" spans="1:10">
      <c r="A21" s="31" t="s">
        <v>1</v>
      </c>
      <c r="B21" s="32">
        <v>1999</v>
      </c>
      <c r="C21" s="33">
        <v>9.34</v>
      </c>
      <c r="D21" s="2">
        <v>0.74146797568957457</v>
      </c>
      <c r="E21" s="26">
        <v>76</v>
      </c>
      <c r="F21" s="26">
        <f>384*76/2000</f>
        <v>14.592000000000001</v>
      </c>
      <c r="G21" s="26">
        <f t="shared" si="0"/>
        <v>4837.107087011349</v>
      </c>
      <c r="H21" s="26">
        <v>49.5</v>
      </c>
      <c r="I21" s="34">
        <f t="shared" si="1"/>
        <v>239436800.80706179</v>
      </c>
      <c r="J21" s="1"/>
    </row>
    <row r="22" spans="1:10">
      <c r="A22" s="31" t="s">
        <v>1</v>
      </c>
      <c r="B22" s="32">
        <v>2000</v>
      </c>
      <c r="C22" s="33">
        <v>5.31</v>
      </c>
      <c r="D22" s="2">
        <v>0.45067788686302013</v>
      </c>
      <c r="E22" s="26">
        <v>76</v>
      </c>
      <c r="F22" s="26">
        <f>448*76/2000</f>
        <v>17.024000000000001</v>
      </c>
      <c r="G22" s="26">
        <f t="shared" si="0"/>
        <v>5278.4484647302897</v>
      </c>
      <c r="H22" s="26">
        <v>50.5</v>
      </c>
      <c r="I22" s="34">
        <f t="shared" si="1"/>
        <v>266561647.46887964</v>
      </c>
      <c r="J22" s="1"/>
    </row>
    <row r="23" spans="1:10">
      <c r="A23" s="31" t="s">
        <v>1</v>
      </c>
      <c r="B23" s="32">
        <v>2001</v>
      </c>
      <c r="C23" s="33">
        <v>11.5</v>
      </c>
      <c r="D23" s="2">
        <v>0.58765778401122015</v>
      </c>
      <c r="E23" s="26">
        <v>76</v>
      </c>
      <c r="F23" s="26">
        <f>359*76/2000</f>
        <v>13.641999999999999</v>
      </c>
      <c r="G23" s="26">
        <f t="shared" si="0"/>
        <v>7025.3472553699294</v>
      </c>
      <c r="H23" s="26">
        <v>51</v>
      </c>
      <c r="I23" s="34">
        <f t="shared" si="1"/>
        <v>358292710.02386636</v>
      </c>
      <c r="J23" s="1"/>
    </row>
    <row r="24" spans="1:10">
      <c r="A24" s="31" t="s">
        <v>1</v>
      </c>
      <c r="B24" s="32">
        <v>2002</v>
      </c>
      <c r="C24" s="33">
        <v>6.66</v>
      </c>
      <c r="D24" s="2">
        <v>0.61524076671341743</v>
      </c>
      <c r="E24" s="26">
        <v>76</v>
      </c>
      <c r="F24" s="26">
        <f>480*76/2000</f>
        <v>18.239999999999998</v>
      </c>
      <c r="G24" s="26">
        <f t="shared" si="0"/>
        <v>5196.0145896656541</v>
      </c>
      <c r="H24" s="26">
        <v>50</v>
      </c>
      <c r="I24" s="34">
        <f t="shared" si="1"/>
        <v>259800729.48328272</v>
      </c>
      <c r="J24" s="1"/>
    </row>
    <row r="25" spans="1:10">
      <c r="A25" s="31" t="s">
        <v>1</v>
      </c>
      <c r="B25" s="32">
        <v>2003</v>
      </c>
      <c r="C25" s="33">
        <v>8.52</v>
      </c>
      <c r="D25" s="2">
        <v>0.49041608228143996</v>
      </c>
      <c r="E25" s="26">
        <v>76</v>
      </c>
      <c r="F25" s="26">
        <f>375*76/2000</f>
        <v>14.25</v>
      </c>
      <c r="G25" s="26">
        <f t="shared" si="0"/>
        <v>6514.8760724499516</v>
      </c>
      <c r="H25" s="26">
        <v>48</v>
      </c>
      <c r="I25" s="34">
        <f t="shared" si="1"/>
        <v>312714051.47759765</v>
      </c>
      <c r="J25" s="1"/>
    </row>
    <row r="26" spans="1:10">
      <c r="A26" s="31" t="s">
        <v>1</v>
      </c>
      <c r="B26" s="32">
        <v>2004</v>
      </c>
      <c r="C26" s="33">
        <v>8.35</v>
      </c>
      <c r="D26" s="2">
        <v>0.70453482935951373</v>
      </c>
      <c r="E26" s="26">
        <v>76</v>
      </c>
      <c r="F26" s="26">
        <f>427*76/2000</f>
        <v>16.225999999999999</v>
      </c>
      <c r="G26" s="26">
        <f t="shared" si="0"/>
        <v>5060.7150298606502</v>
      </c>
      <c r="H26" s="26">
        <v>48</v>
      </c>
      <c r="I26" s="34">
        <f t="shared" si="1"/>
        <v>242914321.43331122</v>
      </c>
      <c r="J26" s="1"/>
    </row>
    <row r="27" spans="1:10">
      <c r="A27" s="31" t="s">
        <v>1</v>
      </c>
      <c r="B27" s="32">
        <v>2005</v>
      </c>
      <c r="C27" s="33">
        <v>11.72</v>
      </c>
      <c r="D27" s="2">
        <v>0.66245909303412798</v>
      </c>
      <c r="E27" s="26">
        <v>76</v>
      </c>
      <c r="F27" s="26">
        <f>458*76/2000</f>
        <v>17.404</v>
      </c>
      <c r="G27" s="26">
        <f t="shared" si="0"/>
        <v>8102.7795624558948</v>
      </c>
      <c r="H27" s="26">
        <v>48</v>
      </c>
      <c r="I27" s="34">
        <f t="shared" si="1"/>
        <v>388933418.99788296</v>
      </c>
      <c r="J27" s="1"/>
    </row>
    <row r="28" spans="1:10">
      <c r="A28" s="31" t="s">
        <v>1</v>
      </c>
      <c r="B28" s="32">
        <v>2006</v>
      </c>
      <c r="C28" s="33">
        <v>15.89</v>
      </c>
      <c r="D28" s="2">
        <v>0.82328190743338003</v>
      </c>
      <c r="E28" s="26">
        <v>76</v>
      </c>
      <c r="F28" s="26">
        <f>385*76/2000</f>
        <v>14.63</v>
      </c>
      <c r="G28" s="26">
        <f t="shared" si="0"/>
        <v>7430.8082623509372</v>
      </c>
      <c r="H28" s="26">
        <v>48</v>
      </c>
      <c r="I28" s="34">
        <f t="shared" si="1"/>
        <v>356678796.59284502</v>
      </c>
      <c r="J28" s="1"/>
    </row>
    <row r="29" spans="1:10">
      <c r="A29" s="31" t="s">
        <v>1</v>
      </c>
      <c r="B29" s="32">
        <v>2007</v>
      </c>
      <c r="C29" s="33">
        <v>26.47</v>
      </c>
      <c r="D29" s="2">
        <v>0.85273492286115005</v>
      </c>
      <c r="E29" s="26">
        <v>76</v>
      </c>
      <c r="F29" s="26">
        <f>315*76/2000</f>
        <v>11.97</v>
      </c>
      <c r="G29" s="26">
        <f t="shared" si="0"/>
        <v>9778.0092927631576</v>
      </c>
      <c r="H29" s="26">
        <v>47</v>
      </c>
      <c r="I29" s="34">
        <f t="shared" si="1"/>
        <v>459566436.75986838</v>
      </c>
      <c r="J29" s="1"/>
    </row>
    <row r="30" spans="1:10">
      <c r="A30" s="31" t="s">
        <v>1</v>
      </c>
      <c r="B30" s="32">
        <v>2008</v>
      </c>
      <c r="C30" s="33">
        <v>8.9</v>
      </c>
      <c r="D30" s="2">
        <v>0.73352033660589055</v>
      </c>
      <c r="E30" s="26">
        <v>76</v>
      </c>
      <c r="F30" s="26">
        <f>447*76/2000</f>
        <v>16.986000000000001</v>
      </c>
      <c r="G30" s="26">
        <f t="shared" si="0"/>
        <v>5423.5715105162526</v>
      </c>
      <c r="H30" s="26">
        <v>47</v>
      </c>
      <c r="I30" s="34">
        <f t="shared" si="1"/>
        <v>254907860.99426386</v>
      </c>
      <c r="J30" s="1"/>
    </row>
    <row r="31" spans="1:10">
      <c r="A31" s="31" t="s">
        <v>1</v>
      </c>
      <c r="B31" s="32">
        <v>2009</v>
      </c>
      <c r="C31" s="35">
        <v>11.52</v>
      </c>
      <c r="D31" s="2">
        <v>0.76811594202898559</v>
      </c>
      <c r="E31" s="26">
        <v>76</v>
      </c>
      <c r="F31" s="26">
        <f>457*76/2000</f>
        <v>17.366</v>
      </c>
      <c r="G31" s="26">
        <f t="shared" si="0"/>
        <v>6853.9652830188661</v>
      </c>
      <c r="H31" s="26">
        <v>46</v>
      </c>
      <c r="I31" s="34">
        <f t="shared" si="1"/>
        <v>315282403.01886785</v>
      </c>
      <c r="J31" s="1"/>
    </row>
    <row r="32" spans="1:10">
      <c r="A32" s="31" t="s">
        <v>1</v>
      </c>
      <c r="B32" s="32">
        <v>2010</v>
      </c>
      <c r="C32" s="35">
        <v>11.31</v>
      </c>
      <c r="D32" s="2">
        <v>0.76577840112201967</v>
      </c>
      <c r="E32" s="26">
        <v>80</v>
      </c>
      <c r="F32" s="26">
        <f>456*80/2000</f>
        <v>18.239999999999998</v>
      </c>
      <c r="G32" s="26">
        <f t="shared" si="0"/>
        <v>6734.7942857142862</v>
      </c>
      <c r="H32" s="26">
        <v>45</v>
      </c>
      <c r="I32" s="34">
        <f t="shared" si="1"/>
        <v>303065742.85714287</v>
      </c>
      <c r="J32" s="1"/>
    </row>
    <row r="33" spans="1:10">
      <c r="A33" s="31" t="s">
        <v>1</v>
      </c>
      <c r="B33" s="32">
        <v>2011</v>
      </c>
      <c r="C33" s="35">
        <v>15.27</v>
      </c>
      <c r="D33" s="2">
        <v>0.74801309022907903</v>
      </c>
      <c r="E33" s="26">
        <v>80</v>
      </c>
      <c r="F33" s="26">
        <f>456*80/2000</f>
        <v>18.239999999999998</v>
      </c>
      <c r="G33" s="26">
        <f t="shared" si="0"/>
        <v>9308.8210499999986</v>
      </c>
      <c r="H33" s="26">
        <v>45</v>
      </c>
      <c r="I33" s="34">
        <f t="shared" si="1"/>
        <v>418896947.24999994</v>
      </c>
      <c r="J33" s="1"/>
    </row>
    <row r="34" spans="1:10">
      <c r="A34" s="31" t="s">
        <v>1</v>
      </c>
      <c r="B34" s="32">
        <v>2012</v>
      </c>
      <c r="C34" s="35">
        <v>12.1</v>
      </c>
      <c r="D34" s="2">
        <v>0.80785413744740531</v>
      </c>
      <c r="E34" s="26">
        <v>80</v>
      </c>
      <c r="F34" s="26">
        <f>467*80/2000</f>
        <v>18.68</v>
      </c>
      <c r="G34" s="26">
        <f t="shared" si="0"/>
        <v>6994.7032986111108</v>
      </c>
      <c r="H34" s="26">
        <v>45</v>
      </c>
      <c r="I34" s="34">
        <f t="shared" si="1"/>
        <v>314761648.4375</v>
      </c>
      <c r="J34" s="1"/>
    </row>
    <row r="35" spans="1:10">
      <c r="A35" s="31" t="s">
        <v>1</v>
      </c>
      <c r="B35" s="32">
        <v>2013</v>
      </c>
      <c r="C35" s="26" t="e">
        <v>#N/A</v>
      </c>
      <c r="D35" s="2">
        <v>0.81954184198223468</v>
      </c>
      <c r="E35" s="26">
        <v>80</v>
      </c>
      <c r="F35" s="26">
        <f>409*80/2000</f>
        <v>16.36</v>
      </c>
      <c r="G35" s="26" t="e">
        <f t="shared" si="0"/>
        <v>#N/A</v>
      </c>
      <c r="H35" s="26">
        <v>46</v>
      </c>
      <c r="I35" s="34" t="e">
        <f t="shared" si="1"/>
        <v>#N/A</v>
      </c>
      <c r="J35" s="1"/>
    </row>
    <row r="36" spans="1:10">
      <c r="A36" s="31" t="s">
        <v>1</v>
      </c>
      <c r="B36" s="32">
        <v>2014</v>
      </c>
      <c r="C36" s="26" t="e">
        <v>#N/A</v>
      </c>
      <c r="D36" s="2">
        <v>1.0032725572697521</v>
      </c>
      <c r="E36" s="26">
        <v>80</v>
      </c>
      <c r="F36" s="26">
        <f>438*80/2000</f>
        <v>17.52</v>
      </c>
      <c r="G36" s="26" t="e">
        <f t="shared" si="0"/>
        <v>#N/A</v>
      </c>
      <c r="H36" s="26">
        <v>47</v>
      </c>
      <c r="I36" s="34" t="e">
        <f t="shared" si="1"/>
        <v>#N/A</v>
      </c>
      <c r="J36" s="1"/>
    </row>
    <row r="37" spans="1:10">
      <c r="A37" s="31" t="s">
        <v>1</v>
      </c>
      <c r="B37" s="32">
        <v>2015</v>
      </c>
      <c r="C37" s="26" t="e">
        <v>#N/A</v>
      </c>
      <c r="D37" s="2">
        <v>1</v>
      </c>
      <c r="E37" s="26">
        <v>80</v>
      </c>
      <c r="F37" s="26">
        <f>447*80/2000</f>
        <v>17.88</v>
      </c>
      <c r="G37" s="26" t="e">
        <f t="shared" si="0"/>
        <v>#N/A</v>
      </c>
      <c r="H37" s="26">
        <v>47</v>
      </c>
      <c r="I37" s="34" t="e">
        <f t="shared" si="1"/>
        <v>#N/A</v>
      </c>
      <c r="J37" s="1"/>
    </row>
    <row r="38" spans="1:10">
      <c r="A38" s="31" t="s">
        <v>1</v>
      </c>
      <c r="B38" s="32">
        <v>2016</v>
      </c>
      <c r="C38" s="35">
        <v>28.88</v>
      </c>
      <c r="D38" s="2">
        <v>1.1813931743805515</v>
      </c>
      <c r="E38" s="26">
        <v>80</v>
      </c>
      <c r="F38" s="26">
        <f>436*80/2000</f>
        <v>17.440000000000001</v>
      </c>
      <c r="G38" s="26">
        <f t="shared" si="0"/>
        <v>10658.33142857143</v>
      </c>
      <c r="H38" s="26">
        <v>47</v>
      </c>
      <c r="I38" s="34">
        <f t="shared" si="1"/>
        <v>500941577.14285719</v>
      </c>
      <c r="J38" s="1"/>
    </row>
    <row r="39" spans="1:10">
      <c r="A39" s="31" t="s">
        <v>1</v>
      </c>
      <c r="B39" s="32">
        <v>2017</v>
      </c>
      <c r="C39" s="35">
        <v>25.94</v>
      </c>
      <c r="D39" s="2">
        <v>1.4385226741467976</v>
      </c>
      <c r="E39" s="26">
        <v>80</v>
      </c>
      <c r="F39" s="26">
        <f>451*80/2000</f>
        <v>18.04</v>
      </c>
      <c r="G39" s="26">
        <f t="shared" si="0"/>
        <v>8132.6072993175176</v>
      </c>
      <c r="H39" s="26">
        <v>47</v>
      </c>
      <c r="I39" s="34">
        <f t="shared" si="1"/>
        <v>382232543.06792337</v>
      </c>
      <c r="J39" s="1"/>
    </row>
    <row r="40" spans="1:10">
      <c r="A40" s="31" t="s">
        <v>1</v>
      </c>
      <c r="B40" s="32">
        <v>2018</v>
      </c>
      <c r="C40" s="35">
        <v>22.74</v>
      </c>
      <c r="D40" s="2">
        <v>1.5455820476858346</v>
      </c>
      <c r="E40" s="26">
        <v>80</v>
      </c>
      <c r="F40" s="26">
        <f>485*80/2000</f>
        <v>19.399999999999999</v>
      </c>
      <c r="G40" s="26">
        <f t="shared" si="0"/>
        <v>7135.7583484573497</v>
      </c>
      <c r="H40" s="26">
        <v>49</v>
      </c>
      <c r="I40" s="34">
        <f t="shared" si="1"/>
        <v>349652159.07441014</v>
      </c>
      <c r="J40" s="1"/>
    </row>
    <row r="41" spans="1:10">
      <c r="A41" s="36" t="s">
        <v>1</v>
      </c>
      <c r="B41" s="37">
        <v>2019</v>
      </c>
      <c r="C41" s="8">
        <v>17.850000000000001</v>
      </c>
      <c r="D41" s="3">
        <v>1.1491351098644227</v>
      </c>
      <c r="E41" s="9">
        <v>80</v>
      </c>
      <c r="F41" s="9">
        <f>514*80/2000</f>
        <v>20.56</v>
      </c>
      <c r="G41" s="9">
        <f t="shared" si="0"/>
        <v>7984.1786411716848</v>
      </c>
      <c r="H41" s="9">
        <v>50</v>
      </c>
      <c r="I41" s="38">
        <f t="shared" si="1"/>
        <v>399208932.05858421</v>
      </c>
      <c r="J41" s="1"/>
    </row>
    <row r="42" spans="1:10">
      <c r="A42" s="31" t="s">
        <v>3</v>
      </c>
      <c r="B42" s="32">
        <v>1980</v>
      </c>
      <c r="C42" s="33">
        <v>1.21</v>
      </c>
      <c r="D42" s="2">
        <v>0.4731182795698925</v>
      </c>
      <c r="E42" s="26">
        <v>76</v>
      </c>
      <c r="F42" s="26">
        <v>13.854166666666668</v>
      </c>
      <c r="G42" s="26">
        <f t="shared" si="0"/>
        <v>932.421875</v>
      </c>
      <c r="H42" s="26">
        <v>19.2</v>
      </c>
      <c r="I42" s="34">
        <f t="shared" ref="I42:I81" si="2">G42*H42*1000</f>
        <v>17902500</v>
      </c>
      <c r="J42" s="1"/>
    </row>
    <row r="43" spans="1:10">
      <c r="A43" s="31" t="s">
        <v>3</v>
      </c>
      <c r="B43" s="32">
        <v>1981</v>
      </c>
      <c r="C43" s="33">
        <v>0.39</v>
      </c>
      <c r="D43" s="2">
        <v>0.47218326320710613</v>
      </c>
      <c r="E43" s="26">
        <v>76</v>
      </c>
      <c r="F43" s="26">
        <v>11.064814814814815</v>
      </c>
      <c r="G43" s="26">
        <f t="shared" si="0"/>
        <v>240.49971773493141</v>
      </c>
      <c r="H43" s="26">
        <v>21.6</v>
      </c>
      <c r="I43" s="34">
        <f t="shared" si="2"/>
        <v>5194793.9030745188</v>
      </c>
      <c r="J43" s="1"/>
    </row>
    <row r="44" spans="1:10">
      <c r="A44" s="31" t="s">
        <v>3</v>
      </c>
      <c r="B44" s="32">
        <v>1982</v>
      </c>
      <c r="C44" s="33">
        <v>1.25</v>
      </c>
      <c r="D44" s="2">
        <v>0.46750818139317435</v>
      </c>
      <c r="E44" s="26">
        <v>76</v>
      </c>
      <c r="F44" s="26">
        <v>9.1794871794871788</v>
      </c>
      <c r="G44" s="26">
        <f t="shared" si="0"/>
        <v>645.88562753036433</v>
      </c>
      <c r="H44" s="26">
        <v>19.5</v>
      </c>
      <c r="I44" s="34">
        <f t="shared" si="2"/>
        <v>12594769.736842105</v>
      </c>
      <c r="J44" s="1"/>
    </row>
    <row r="45" spans="1:10">
      <c r="A45" s="31" t="s">
        <v>3</v>
      </c>
      <c r="B45" s="32">
        <v>1983</v>
      </c>
      <c r="C45" s="33">
        <v>1.63</v>
      </c>
      <c r="D45" s="2">
        <v>0.47078073866292658</v>
      </c>
      <c r="E45" s="26">
        <v>76</v>
      </c>
      <c r="F45" s="26">
        <v>7.2677595628415297</v>
      </c>
      <c r="G45" s="26">
        <f t="shared" si="0"/>
        <v>662.19496312696367</v>
      </c>
      <c r="H45" s="26">
        <v>18.3</v>
      </c>
      <c r="I45" s="34">
        <f t="shared" si="2"/>
        <v>12118167.825223437</v>
      </c>
      <c r="J45" s="1"/>
    </row>
    <row r="46" spans="1:10">
      <c r="A46" s="31" t="s">
        <v>3</v>
      </c>
      <c r="B46" s="32">
        <v>1984</v>
      </c>
      <c r="C46" s="33">
        <v>1.54</v>
      </c>
      <c r="D46" s="2">
        <v>0.48948106591865359</v>
      </c>
      <c r="E46" s="26">
        <v>76</v>
      </c>
      <c r="F46" s="26">
        <v>12.647058823529411</v>
      </c>
      <c r="G46" s="26">
        <f t="shared" si="0"/>
        <v>1047.1062833216531</v>
      </c>
      <c r="H46" s="26">
        <v>17</v>
      </c>
      <c r="I46" s="34">
        <f t="shared" si="2"/>
        <v>17800806.816468101</v>
      </c>
      <c r="J46" s="1"/>
    </row>
    <row r="47" spans="1:10">
      <c r="A47" s="31" t="s">
        <v>3</v>
      </c>
      <c r="B47" s="32">
        <v>1985</v>
      </c>
      <c r="C47" s="33">
        <v>12.28</v>
      </c>
      <c r="D47" s="2">
        <v>0.55352968676951853</v>
      </c>
      <c r="E47" s="26">
        <v>76</v>
      </c>
      <c r="F47" s="26">
        <v>7.1515151515151514</v>
      </c>
      <c r="G47" s="26">
        <f t="shared" si="0"/>
        <v>4175.1483900168105</v>
      </c>
      <c r="H47" s="26">
        <v>16.5</v>
      </c>
      <c r="I47" s="34">
        <f t="shared" si="2"/>
        <v>68889948.435277373</v>
      </c>
      <c r="J47" s="1"/>
    </row>
    <row r="48" spans="1:10">
      <c r="A48" s="31" t="s">
        <v>3</v>
      </c>
      <c r="B48" s="32">
        <v>1986</v>
      </c>
      <c r="C48" s="33">
        <v>1.35</v>
      </c>
      <c r="D48" s="2">
        <v>0.53669939223936414</v>
      </c>
      <c r="E48" s="26">
        <v>76</v>
      </c>
      <c r="F48" s="26">
        <v>17.419354838709676</v>
      </c>
      <c r="G48" s="26">
        <f t="shared" si="0"/>
        <v>1153.05794975243</v>
      </c>
      <c r="H48" s="26">
        <v>15.5</v>
      </c>
      <c r="I48" s="34">
        <f t="shared" si="2"/>
        <v>17872398.221162666</v>
      </c>
      <c r="J48" s="1"/>
    </row>
    <row r="49" spans="1:10">
      <c r="A49" s="31" t="s">
        <v>3</v>
      </c>
      <c r="B49" s="32">
        <v>1987</v>
      </c>
      <c r="C49" s="33">
        <v>5.65</v>
      </c>
      <c r="D49" s="2">
        <v>0.58859280037400652</v>
      </c>
      <c r="E49" s="26">
        <v>76</v>
      </c>
      <c r="F49" s="26">
        <v>8.9677419354838701</v>
      </c>
      <c r="G49" s="26">
        <f t="shared" si="0"/>
        <v>2265.337987542327</v>
      </c>
      <c r="H49" s="26">
        <v>15.5</v>
      </c>
      <c r="I49" s="34">
        <f t="shared" si="2"/>
        <v>35112738.806906067</v>
      </c>
      <c r="J49" s="1"/>
    </row>
    <row r="50" spans="1:10">
      <c r="A50" s="31" t="s">
        <v>3</v>
      </c>
      <c r="B50" s="32">
        <v>1988</v>
      </c>
      <c r="C50" s="33">
        <v>6.05</v>
      </c>
      <c r="D50" s="2">
        <v>0.66386161757830764</v>
      </c>
      <c r="E50" s="26">
        <v>76</v>
      </c>
      <c r="F50" s="26">
        <v>9.3161290322580648</v>
      </c>
      <c r="G50" s="26">
        <f t="shared" si="0"/>
        <v>2234.2394366197182</v>
      </c>
      <c r="H50" s="26">
        <v>15.5</v>
      </c>
      <c r="I50" s="34">
        <f t="shared" si="2"/>
        <v>34630711.267605633</v>
      </c>
      <c r="J50" s="1"/>
    </row>
    <row r="51" spans="1:10">
      <c r="A51" s="31" t="s">
        <v>3</v>
      </c>
      <c r="B51" s="32">
        <v>1989</v>
      </c>
      <c r="C51" s="33">
        <v>11.21</v>
      </c>
      <c r="D51" s="2">
        <v>0.63581112669471718</v>
      </c>
      <c r="E51" s="26">
        <v>76</v>
      </c>
      <c r="F51" s="26">
        <v>6.8645161290322587</v>
      </c>
      <c r="G51" s="26">
        <f t="shared" si="0"/>
        <v>3184.9588235294118</v>
      </c>
      <c r="H51" s="26">
        <v>15.5</v>
      </c>
      <c r="I51" s="34">
        <f t="shared" si="2"/>
        <v>49366861.764705889</v>
      </c>
      <c r="J51" s="1"/>
    </row>
    <row r="52" spans="1:10">
      <c r="A52" s="31" t="s">
        <v>3</v>
      </c>
      <c r="B52" s="32">
        <v>1990</v>
      </c>
      <c r="C52" s="33">
        <v>8.2200000000000006</v>
      </c>
      <c r="D52" s="2">
        <v>0.70500233754090702</v>
      </c>
      <c r="E52" s="26">
        <v>76</v>
      </c>
      <c r="F52" s="26">
        <v>10.116883116883118</v>
      </c>
      <c r="G52" s="26">
        <f t="shared" si="0"/>
        <v>3104.1621309724765</v>
      </c>
      <c r="H52" s="26">
        <v>15.4</v>
      </c>
      <c r="I52" s="34">
        <f t="shared" si="2"/>
        <v>47804096.816976137</v>
      </c>
      <c r="J52" s="1"/>
    </row>
    <row r="53" spans="1:10">
      <c r="A53" s="31" t="s">
        <v>3</v>
      </c>
      <c r="B53" s="32">
        <v>1991</v>
      </c>
      <c r="C53" s="33">
        <v>9.41</v>
      </c>
      <c r="D53" s="2">
        <v>0.95745675549322118</v>
      </c>
      <c r="E53" s="26">
        <v>76</v>
      </c>
      <c r="F53" s="26">
        <f>325*76/2000</f>
        <v>12.35</v>
      </c>
      <c r="G53" s="26">
        <f t="shared" si="0"/>
        <v>3194.139038085937</v>
      </c>
      <c r="H53" s="26">
        <v>15.7</v>
      </c>
      <c r="I53" s="34">
        <f t="shared" si="2"/>
        <v>50147982.897949211</v>
      </c>
      <c r="J53" s="1"/>
    </row>
    <row r="54" spans="1:10">
      <c r="A54" s="31" t="s">
        <v>3</v>
      </c>
      <c r="B54" s="32">
        <v>1992</v>
      </c>
      <c r="C54" s="33">
        <v>4.9000000000000004</v>
      </c>
      <c r="D54" s="2">
        <v>0.48574100046750818</v>
      </c>
      <c r="E54" s="26">
        <v>76</v>
      </c>
      <c r="F54" s="26">
        <f>280*76/2000</f>
        <v>10.64</v>
      </c>
      <c r="G54" s="26">
        <f t="shared" si="0"/>
        <v>2824.5505293551496</v>
      </c>
      <c r="H54" s="26">
        <v>15.7</v>
      </c>
      <c r="I54" s="34">
        <f t="shared" si="2"/>
        <v>44345443.310875848</v>
      </c>
      <c r="J54" s="1"/>
    </row>
    <row r="55" spans="1:10">
      <c r="A55" s="31" t="s">
        <v>3</v>
      </c>
      <c r="B55" s="32">
        <v>1993</v>
      </c>
      <c r="C55" s="33">
        <v>6.12</v>
      </c>
      <c r="D55" s="2">
        <v>0.51753155680224405</v>
      </c>
      <c r="E55" s="26">
        <v>76</v>
      </c>
      <c r="F55" s="26">
        <f>333*76/2000</f>
        <v>12.654</v>
      </c>
      <c r="G55" s="26">
        <f t="shared" si="0"/>
        <v>3937.8468292682928</v>
      </c>
      <c r="H55" s="26">
        <v>15.6</v>
      </c>
      <c r="I55" s="34">
        <f t="shared" si="2"/>
        <v>61430410.536585368</v>
      </c>
      <c r="J55" s="1"/>
    </row>
    <row r="56" spans="1:10">
      <c r="A56" s="31" t="s">
        <v>3</v>
      </c>
      <c r="B56" s="32">
        <v>1994</v>
      </c>
      <c r="C56" s="33">
        <v>6.73</v>
      </c>
      <c r="D56" s="2">
        <v>0.5053763440860215</v>
      </c>
      <c r="E56" s="26">
        <v>76</v>
      </c>
      <c r="F56" s="26">
        <f>235*76/2000</f>
        <v>8.93</v>
      </c>
      <c r="G56" s="26">
        <f t="shared" si="0"/>
        <v>3129.4500000000003</v>
      </c>
      <c r="H56" s="26">
        <v>15.3</v>
      </c>
      <c r="I56" s="34">
        <f t="shared" si="2"/>
        <v>47880585.000000007</v>
      </c>
      <c r="J56" s="1"/>
    </row>
    <row r="57" spans="1:10">
      <c r="A57" s="31" t="s">
        <v>3</v>
      </c>
      <c r="B57" s="32">
        <v>1995</v>
      </c>
      <c r="C57" s="33">
        <v>4.74</v>
      </c>
      <c r="D57" s="2">
        <v>0.50163627863487603</v>
      </c>
      <c r="E57" s="26">
        <v>76</v>
      </c>
      <c r="F57" s="26">
        <f>342*76/2000</f>
        <v>12.996</v>
      </c>
      <c r="G57" s="26">
        <f t="shared" si="0"/>
        <v>3231.5844547996276</v>
      </c>
      <c r="H57" s="26">
        <v>14.9</v>
      </c>
      <c r="I57" s="34">
        <f t="shared" si="2"/>
        <v>48150608.37651445</v>
      </c>
      <c r="J57" s="1"/>
    </row>
    <row r="58" spans="1:10">
      <c r="A58" s="31" t="s">
        <v>3</v>
      </c>
      <c r="B58" s="32">
        <v>1996</v>
      </c>
      <c r="C58" s="33">
        <v>7.23</v>
      </c>
      <c r="D58" s="2">
        <v>0.60028050490883589</v>
      </c>
      <c r="E58" s="26">
        <v>76</v>
      </c>
      <c r="F58" s="26">
        <f>186*76/2000</f>
        <v>7.0679999999999996</v>
      </c>
      <c r="G58" s="26">
        <f t="shared" si="0"/>
        <v>2240.2526635514018</v>
      </c>
      <c r="H58" s="26">
        <v>14.5</v>
      </c>
      <c r="I58" s="34">
        <f t="shared" si="2"/>
        <v>32483663.621495325</v>
      </c>
      <c r="J58" s="1"/>
    </row>
    <row r="59" spans="1:10">
      <c r="A59" s="31" t="s">
        <v>3</v>
      </c>
      <c r="B59" s="32">
        <v>1997</v>
      </c>
      <c r="C59" s="33">
        <v>5.66</v>
      </c>
      <c r="D59" s="2">
        <v>0.52267414679756896</v>
      </c>
      <c r="E59" s="26">
        <v>76</v>
      </c>
      <c r="F59" s="26">
        <f>186*76/2000</f>
        <v>7.0679999999999996</v>
      </c>
      <c r="G59" s="26">
        <f t="shared" si="0"/>
        <v>2014.1803577817532</v>
      </c>
      <c r="H59" s="26">
        <v>14</v>
      </c>
      <c r="I59" s="34">
        <f t="shared" si="2"/>
        <v>28198525.008944545</v>
      </c>
      <c r="J59" s="1"/>
    </row>
    <row r="60" spans="1:10">
      <c r="A60" s="31" t="s">
        <v>3</v>
      </c>
      <c r="B60" s="32">
        <v>1998</v>
      </c>
      <c r="C60" s="33">
        <v>8.9</v>
      </c>
      <c r="D60" s="2">
        <v>0.51425899953249177</v>
      </c>
      <c r="E60" s="26">
        <v>76</v>
      </c>
      <c r="F60" s="26">
        <f>245*76/2000</f>
        <v>9.31</v>
      </c>
      <c r="G60" s="26">
        <f t="shared" si="0"/>
        <v>4240.0813636363646</v>
      </c>
      <c r="H60" s="26">
        <v>14.1</v>
      </c>
      <c r="I60" s="34">
        <f t="shared" si="2"/>
        <v>59785147.227272741</v>
      </c>
      <c r="J60" s="1"/>
    </row>
    <row r="61" spans="1:10">
      <c r="A61" s="31" t="s">
        <v>3</v>
      </c>
      <c r="B61" s="32">
        <v>1999</v>
      </c>
      <c r="C61" s="33">
        <v>10.43</v>
      </c>
      <c r="D61" s="2">
        <v>0.74146797568957457</v>
      </c>
      <c r="E61" s="26">
        <v>76</v>
      </c>
      <c r="F61" s="26">
        <f>217*76/2000</f>
        <v>8.2460000000000004</v>
      </c>
      <c r="G61" s="26">
        <f t="shared" si="0"/>
        <v>3052.4716834804535</v>
      </c>
      <c r="H61" s="26">
        <v>14.3</v>
      </c>
      <c r="I61" s="34">
        <f t="shared" si="2"/>
        <v>43650345.073770486</v>
      </c>
      <c r="J61" s="1"/>
    </row>
    <row r="62" spans="1:10">
      <c r="A62" s="31" t="s">
        <v>3</v>
      </c>
      <c r="B62" s="32">
        <v>2000</v>
      </c>
      <c r="C62" s="33">
        <v>2.74</v>
      </c>
      <c r="D62" s="2">
        <v>0.45067788686302013</v>
      </c>
      <c r="E62" s="26">
        <v>76</v>
      </c>
      <c r="F62" s="26">
        <f>243*76/2000</f>
        <v>9.234</v>
      </c>
      <c r="G62" s="26">
        <f t="shared" si="0"/>
        <v>1477.3744605809131</v>
      </c>
      <c r="H62" s="26">
        <v>14.8</v>
      </c>
      <c r="I62" s="34">
        <f t="shared" si="2"/>
        <v>21865142.016597513</v>
      </c>
      <c r="J62" s="1"/>
    </row>
    <row r="63" spans="1:10">
      <c r="A63" s="31" t="s">
        <v>3</v>
      </c>
      <c r="B63" s="32">
        <v>2001</v>
      </c>
      <c r="C63" s="33">
        <v>10.44</v>
      </c>
      <c r="D63" s="2">
        <v>0.58765778401122015</v>
      </c>
      <c r="E63" s="26">
        <v>76</v>
      </c>
      <c r="F63" s="26">
        <f>189*76/2000</f>
        <v>7.1820000000000004</v>
      </c>
      <c r="G63" s="26">
        <f t="shared" si="0"/>
        <v>3357.668448687351</v>
      </c>
      <c r="H63" s="26">
        <v>14.8</v>
      </c>
      <c r="I63" s="34">
        <f t="shared" si="2"/>
        <v>49693493.040572792</v>
      </c>
      <c r="J63" s="1"/>
    </row>
    <row r="64" spans="1:10">
      <c r="A64" s="31" t="s">
        <v>3</v>
      </c>
      <c r="B64" s="32">
        <v>2002</v>
      </c>
      <c r="C64" s="33">
        <v>5.54</v>
      </c>
      <c r="D64" s="2">
        <v>0.61524076671341743</v>
      </c>
      <c r="E64" s="26">
        <v>76</v>
      </c>
      <c r="F64" s="26">
        <f>203*76/2000</f>
        <v>7.7140000000000004</v>
      </c>
      <c r="G64" s="26">
        <f t="shared" si="0"/>
        <v>1827.9347872340429</v>
      </c>
      <c r="H64" s="26">
        <v>14.8</v>
      </c>
      <c r="I64" s="34">
        <f t="shared" si="2"/>
        <v>27053434.851063836</v>
      </c>
      <c r="J64" s="1"/>
    </row>
    <row r="65" spans="1:10">
      <c r="A65" s="31" t="s">
        <v>3</v>
      </c>
      <c r="B65" s="32">
        <v>2003</v>
      </c>
      <c r="C65" s="33">
        <v>5</v>
      </c>
      <c r="D65" s="2">
        <v>0.49041608228143996</v>
      </c>
      <c r="E65" s="26">
        <v>76</v>
      </c>
      <c r="F65" s="26">
        <f>214*76/2000</f>
        <v>8.1319999999999997</v>
      </c>
      <c r="G65" s="26">
        <f t="shared" si="0"/>
        <v>2181.8207816968543</v>
      </c>
      <c r="H65" s="26">
        <v>14</v>
      </c>
      <c r="I65" s="34">
        <f t="shared" si="2"/>
        <v>30545490.943755962</v>
      </c>
      <c r="J65" s="1"/>
    </row>
    <row r="66" spans="1:10">
      <c r="A66" s="31" t="s">
        <v>3</v>
      </c>
      <c r="B66" s="32">
        <v>2004</v>
      </c>
      <c r="C66" s="33">
        <v>6.64</v>
      </c>
      <c r="D66" s="2">
        <v>0.70453482935951373</v>
      </c>
      <c r="E66" s="26">
        <v>76</v>
      </c>
      <c r="F66" s="26">
        <f>178*76/2000</f>
        <v>6.7640000000000002</v>
      </c>
      <c r="G66" s="26">
        <f t="shared" si="0"/>
        <v>1677.5891705374918</v>
      </c>
      <c r="H66" s="26">
        <v>13.5</v>
      </c>
      <c r="I66" s="34">
        <f t="shared" si="2"/>
        <v>22647453.802256141</v>
      </c>
      <c r="J66" s="1"/>
    </row>
    <row r="67" spans="1:10">
      <c r="A67" s="31" t="s">
        <v>3</v>
      </c>
      <c r="B67" s="32">
        <v>2005</v>
      </c>
      <c r="C67" s="33">
        <v>4.0599999999999996</v>
      </c>
      <c r="D67" s="2">
        <v>0.66245909303412798</v>
      </c>
      <c r="E67" s="26">
        <v>76</v>
      </c>
      <c r="F67" s="26">
        <f>292*76/2000</f>
        <v>11.096</v>
      </c>
      <c r="G67" s="26">
        <f t="shared" ref="G67:G81" si="3">((C67/D67)/E67)*(F67*2000)</f>
        <v>1789.5746506704309</v>
      </c>
      <c r="H67" s="26">
        <v>13</v>
      </c>
      <c r="I67" s="34">
        <f t="shared" si="2"/>
        <v>23264470.458715603</v>
      </c>
      <c r="J67" s="1"/>
    </row>
    <row r="68" spans="1:10">
      <c r="A68" s="31" t="s">
        <v>3</v>
      </c>
      <c r="B68" s="32">
        <v>2006</v>
      </c>
      <c r="C68" s="33">
        <v>16.63</v>
      </c>
      <c r="D68" s="2">
        <v>0.82328190743338003</v>
      </c>
      <c r="E68" s="26">
        <v>76</v>
      </c>
      <c r="F68" s="26">
        <f>200*76/2000</f>
        <v>7.6</v>
      </c>
      <c r="G68" s="26">
        <f t="shared" si="3"/>
        <v>4039.9284497444637</v>
      </c>
      <c r="H68" s="26">
        <v>12.5</v>
      </c>
      <c r="I68" s="34">
        <f t="shared" si="2"/>
        <v>50499105.621805795</v>
      </c>
      <c r="J68" s="1"/>
    </row>
    <row r="69" spans="1:10">
      <c r="A69" s="31" t="s">
        <v>3</v>
      </c>
      <c r="B69" s="32">
        <v>2007</v>
      </c>
      <c r="C69" s="33">
        <v>27.79</v>
      </c>
      <c r="D69" s="2">
        <v>0.85273492286115005</v>
      </c>
      <c r="E69" s="26">
        <v>76</v>
      </c>
      <c r="F69" s="26">
        <f>125*76/2000</f>
        <v>4.75</v>
      </c>
      <c r="G69" s="26">
        <f t="shared" si="3"/>
        <v>4073.6574835526317</v>
      </c>
      <c r="H69" s="26">
        <v>12</v>
      </c>
      <c r="I69" s="34">
        <f t="shared" si="2"/>
        <v>48883889.802631579</v>
      </c>
      <c r="J69" s="1"/>
    </row>
    <row r="70" spans="1:10">
      <c r="A70" s="31" t="s">
        <v>3</v>
      </c>
      <c r="B70" s="32">
        <v>2008</v>
      </c>
      <c r="C70" s="33">
        <v>4.24</v>
      </c>
      <c r="D70" s="2">
        <v>0.73352033660589055</v>
      </c>
      <c r="E70" s="26">
        <v>76</v>
      </c>
      <c r="F70" s="26">
        <f>250*76/2000</f>
        <v>9.5</v>
      </c>
      <c r="G70" s="26">
        <f t="shared" si="3"/>
        <v>1445.0860420650099</v>
      </c>
      <c r="H70" s="26">
        <v>12</v>
      </c>
      <c r="I70" s="34">
        <f t="shared" si="2"/>
        <v>17341032.504780121</v>
      </c>
      <c r="J70" s="1"/>
    </row>
    <row r="71" spans="1:10">
      <c r="A71" s="31" t="s">
        <v>3</v>
      </c>
      <c r="B71" s="32">
        <v>2009</v>
      </c>
      <c r="C71" s="33">
        <v>9.14</v>
      </c>
      <c r="D71" s="2">
        <v>0.76811594202898559</v>
      </c>
      <c r="E71" s="26">
        <v>76</v>
      </c>
      <c r="F71" s="26">
        <f>200*76/2000</f>
        <v>7.6</v>
      </c>
      <c r="G71" s="26">
        <f t="shared" si="3"/>
        <v>2379.8490566037735</v>
      </c>
      <c r="H71" s="26">
        <v>11</v>
      </c>
      <c r="I71" s="34">
        <f t="shared" si="2"/>
        <v>26178339.622641511</v>
      </c>
      <c r="J71" s="1"/>
    </row>
    <row r="72" spans="1:10">
      <c r="A72" s="31" t="s">
        <v>3</v>
      </c>
      <c r="B72" s="32">
        <v>2010</v>
      </c>
      <c r="C72" s="33">
        <v>7.87</v>
      </c>
      <c r="D72" s="2">
        <v>0.76577840112201967</v>
      </c>
      <c r="E72" s="26">
        <v>80</v>
      </c>
      <c r="F72" s="26">
        <f>250*80/2000</f>
        <v>10</v>
      </c>
      <c r="G72" s="26">
        <f t="shared" si="3"/>
        <v>2569.2811355311351</v>
      </c>
      <c r="H72" s="26">
        <v>10</v>
      </c>
      <c r="I72" s="34">
        <f t="shared" si="2"/>
        <v>25692811.355311349</v>
      </c>
      <c r="J72" s="1"/>
    </row>
    <row r="73" spans="1:10">
      <c r="A73" s="31" t="s">
        <v>3</v>
      </c>
      <c r="B73" s="32">
        <v>2011</v>
      </c>
      <c r="C73" s="33">
        <v>11.27</v>
      </c>
      <c r="D73" s="2">
        <v>0.74801309022907903</v>
      </c>
      <c r="E73" s="26">
        <v>80</v>
      </c>
      <c r="F73" s="26">
        <f>79*80/2000</f>
        <v>3.16</v>
      </c>
      <c r="G73" s="26">
        <f t="shared" si="3"/>
        <v>1190.25991875</v>
      </c>
      <c r="H73" s="26">
        <v>9.5</v>
      </c>
      <c r="I73" s="34">
        <f t="shared" si="2"/>
        <v>11307469.228124999</v>
      </c>
      <c r="J73" s="1"/>
    </row>
    <row r="74" spans="1:10">
      <c r="A74" s="31" t="s">
        <v>3</v>
      </c>
      <c r="B74" s="32">
        <v>2012</v>
      </c>
      <c r="C74" s="33">
        <v>11.36</v>
      </c>
      <c r="D74" s="2">
        <v>0.80785413744740531</v>
      </c>
      <c r="E74" s="26">
        <v>80</v>
      </c>
      <c r="F74" s="26">
        <f>200*80/2000</f>
        <v>8</v>
      </c>
      <c r="G74" s="26">
        <f t="shared" si="3"/>
        <v>2812.3888888888891</v>
      </c>
      <c r="H74" s="26">
        <v>9</v>
      </c>
      <c r="I74" s="34">
        <f t="shared" si="2"/>
        <v>25311500.000000004</v>
      </c>
      <c r="J74" s="1"/>
    </row>
    <row r="75" spans="1:10">
      <c r="A75" s="31" t="s">
        <v>3</v>
      </c>
      <c r="B75" s="32">
        <v>2013</v>
      </c>
      <c r="C75" s="26" t="e">
        <v>#N/A</v>
      </c>
      <c r="D75" s="2">
        <v>0.81954184198223468</v>
      </c>
      <c r="E75" s="26">
        <v>80</v>
      </c>
      <c r="F75" s="26">
        <f>217*80/2000</f>
        <v>8.68</v>
      </c>
      <c r="G75" s="26" t="e">
        <f t="shared" si="3"/>
        <v>#N/A</v>
      </c>
      <c r="H75" s="26">
        <v>8.3000000000000007</v>
      </c>
      <c r="I75" s="34" t="e">
        <f t="shared" si="2"/>
        <v>#N/A</v>
      </c>
      <c r="J75" s="1"/>
    </row>
    <row r="76" spans="1:10">
      <c r="A76" s="31" t="s">
        <v>3</v>
      </c>
      <c r="B76" s="32">
        <v>2014</v>
      </c>
      <c r="C76" s="26" t="e">
        <v>#N/A</v>
      </c>
      <c r="D76" s="2">
        <v>1.0032725572697521</v>
      </c>
      <c r="E76" s="26">
        <v>80</v>
      </c>
      <c r="F76" s="26">
        <f>241*80/2000</f>
        <v>9.64</v>
      </c>
      <c r="G76" s="26" t="e">
        <f t="shared" si="3"/>
        <v>#N/A</v>
      </c>
      <c r="H76" s="26">
        <v>8.3000000000000007</v>
      </c>
      <c r="I76" s="34" t="e">
        <f t="shared" si="2"/>
        <v>#N/A</v>
      </c>
    </row>
    <row r="77" spans="1:10">
      <c r="A77" s="31" t="s">
        <v>3</v>
      </c>
      <c r="B77" s="32">
        <v>2015</v>
      </c>
      <c r="C77" s="26" t="e">
        <v>#N/A</v>
      </c>
      <c r="D77" s="2">
        <v>1</v>
      </c>
      <c r="E77" s="26">
        <v>80</v>
      </c>
      <c r="F77" s="26">
        <f>213*80/2000</f>
        <v>8.52</v>
      </c>
      <c r="G77" s="26" t="e">
        <f t="shared" si="3"/>
        <v>#N/A</v>
      </c>
      <c r="H77" s="26">
        <v>7.5</v>
      </c>
      <c r="I77" s="34" t="e">
        <f t="shared" si="2"/>
        <v>#N/A</v>
      </c>
    </row>
    <row r="78" spans="1:10">
      <c r="A78" s="31" t="s">
        <v>3</v>
      </c>
      <c r="B78" s="32">
        <v>2016</v>
      </c>
      <c r="C78" s="35">
        <v>23.46</v>
      </c>
      <c r="D78" s="2">
        <v>1.1813931743805515</v>
      </c>
      <c r="E78" s="26">
        <v>80</v>
      </c>
      <c r="F78" s="26">
        <f>212*80/2000</f>
        <v>8.48</v>
      </c>
      <c r="G78" s="26">
        <f t="shared" si="3"/>
        <v>4209.8770399683426</v>
      </c>
      <c r="H78" s="26">
        <v>7.3</v>
      </c>
      <c r="I78" s="34">
        <f t="shared" si="2"/>
        <v>30732102.391768903</v>
      </c>
    </row>
    <row r="79" spans="1:10">
      <c r="A79" s="31" t="s">
        <v>3</v>
      </c>
      <c r="B79" s="32">
        <v>2017</v>
      </c>
      <c r="C79" s="35">
        <v>27.94</v>
      </c>
      <c r="D79" s="2">
        <v>1.4385226741467976</v>
      </c>
      <c r="E79" s="26">
        <v>80</v>
      </c>
      <c r="F79" s="26">
        <f>137*80/2000</f>
        <v>5.48</v>
      </c>
      <c r="G79" s="26">
        <f t="shared" si="3"/>
        <v>2660.9104387390321</v>
      </c>
      <c r="H79" s="26">
        <v>7.3</v>
      </c>
      <c r="I79" s="34">
        <f t="shared" si="2"/>
        <v>19424646.202794936</v>
      </c>
    </row>
    <row r="80" spans="1:10">
      <c r="A80" s="31" t="s">
        <v>3</v>
      </c>
      <c r="B80" s="32">
        <v>2018</v>
      </c>
      <c r="C80" s="35">
        <v>25.39</v>
      </c>
      <c r="D80" s="2">
        <v>1.5455820476858346</v>
      </c>
      <c r="E80" s="26">
        <v>80</v>
      </c>
      <c r="F80" s="26">
        <f>185*80/2000</f>
        <v>7.4</v>
      </c>
      <c r="G80" s="26">
        <f t="shared" si="3"/>
        <v>3039.081624319419</v>
      </c>
      <c r="H80" s="26">
        <v>7.3</v>
      </c>
      <c r="I80" s="34">
        <f t="shared" si="2"/>
        <v>22185295.857531756</v>
      </c>
    </row>
    <row r="81" spans="1:9">
      <c r="A81" s="36" t="s">
        <v>3</v>
      </c>
      <c r="B81" s="37">
        <v>2019</v>
      </c>
      <c r="C81" s="8">
        <v>21.38</v>
      </c>
      <c r="D81" s="3">
        <v>1.1491351098644227</v>
      </c>
      <c r="E81" s="9">
        <v>80</v>
      </c>
      <c r="F81" s="9">
        <f>247*80/2000</f>
        <v>9.8800000000000008</v>
      </c>
      <c r="G81" s="9">
        <f t="shared" si="3"/>
        <v>4595.5083563873068</v>
      </c>
      <c r="H81" s="9">
        <v>7.3</v>
      </c>
      <c r="I81" s="38">
        <f t="shared" si="2"/>
        <v>33547211.001627337</v>
      </c>
    </row>
    <row r="82" spans="1:9">
      <c r="A82" s="31" t="s">
        <v>4</v>
      </c>
      <c r="B82" s="32">
        <v>1980</v>
      </c>
      <c r="C82" s="33">
        <v>1.93</v>
      </c>
      <c r="D82" s="2">
        <v>0.4731182795698925</v>
      </c>
      <c r="E82" s="26">
        <f>(C82/D82)/(G82/(F82*2000))</f>
        <v>75.923572535566876</v>
      </c>
      <c r="F82" s="26">
        <v>16.536856745479831</v>
      </c>
      <c r="G82" s="26">
        <f>(I2+I42)/((H2+H42) * 1000)</f>
        <v>1777.0265054468264</v>
      </c>
      <c r="H82" s="26"/>
      <c r="I82" s="34"/>
    </row>
    <row r="83" spans="1:9">
      <c r="A83" s="31" t="s">
        <v>4</v>
      </c>
      <c r="B83" s="32">
        <v>1981</v>
      </c>
      <c r="C83" s="33">
        <v>1.32</v>
      </c>
      <c r="D83" s="2">
        <v>0.47218326320710613</v>
      </c>
      <c r="E83" s="26">
        <f t="shared" ref="E83:E121" si="4">(C83/D83)/(G83/(F83*2000))</f>
        <v>75.835940070458165</v>
      </c>
      <c r="F83" s="26">
        <v>12.42744063324538</v>
      </c>
      <c r="G83" s="26">
        <f t="shared" ref="G83:G121" si="5">(I3+I43)/((H3+H43) * 1000)</f>
        <v>916.22040599421666</v>
      </c>
      <c r="H83" s="26"/>
      <c r="I83" s="34"/>
    </row>
    <row r="84" spans="1:9">
      <c r="A84" s="31" t="s">
        <v>4</v>
      </c>
      <c r="B84" s="32">
        <v>1982</v>
      </c>
      <c r="C84" s="33">
        <v>1.23</v>
      </c>
      <c r="D84" s="2">
        <v>0.46750818139317435</v>
      </c>
      <c r="E84" s="26">
        <f t="shared" si="4"/>
        <v>76.269570669117201</v>
      </c>
      <c r="F84" s="26">
        <v>13.286713286713287</v>
      </c>
      <c r="G84" s="26">
        <f t="shared" si="5"/>
        <v>916.66817445712184</v>
      </c>
      <c r="H84" s="26"/>
      <c r="I84" s="34"/>
    </row>
    <row r="85" spans="1:9">
      <c r="A85" s="31" t="s">
        <v>4</v>
      </c>
      <c r="B85" s="32">
        <v>1983</v>
      </c>
      <c r="C85" s="33">
        <v>3.08</v>
      </c>
      <c r="D85" s="2">
        <v>0.47078073866292658</v>
      </c>
      <c r="E85" s="26">
        <f t="shared" si="4"/>
        <v>75.172711156393277</v>
      </c>
      <c r="F85" s="26">
        <v>11.289398280802292</v>
      </c>
      <c r="G85" s="26">
        <f t="shared" si="5"/>
        <v>1965.0454846537216</v>
      </c>
      <c r="H85" s="26"/>
      <c r="I85" s="34"/>
    </row>
    <row r="86" spans="1:9">
      <c r="A86" s="31" t="s">
        <v>4</v>
      </c>
      <c r="B86" s="32">
        <v>1984</v>
      </c>
      <c r="C86" s="33">
        <v>3.76</v>
      </c>
      <c r="D86" s="2">
        <v>0.48948106591865359</v>
      </c>
      <c r="E86" s="26">
        <f t="shared" si="4"/>
        <v>75.29466645594799</v>
      </c>
      <c r="F86" s="26">
        <v>14.519519519519521</v>
      </c>
      <c r="G86" s="26">
        <f t="shared" si="5"/>
        <v>2962.5792358487274</v>
      </c>
      <c r="H86" s="26"/>
      <c r="I86" s="34"/>
    </row>
    <row r="87" spans="1:9">
      <c r="A87" s="31" t="s">
        <v>4</v>
      </c>
      <c r="B87" s="32">
        <v>1985</v>
      </c>
      <c r="C87" s="33">
        <v>9.2100000000000009</v>
      </c>
      <c r="D87" s="2">
        <v>0.55352968676951853</v>
      </c>
      <c r="E87" s="26">
        <f t="shared" si="4"/>
        <v>76.198227393286501</v>
      </c>
      <c r="F87" s="26">
        <v>10.597243491577336</v>
      </c>
      <c r="G87" s="26">
        <f t="shared" si="5"/>
        <v>4628.0362586835245</v>
      </c>
      <c r="H87" s="26"/>
      <c r="I87" s="34"/>
    </row>
    <row r="88" spans="1:9">
      <c r="A88" s="31" t="s">
        <v>4</v>
      </c>
      <c r="B88" s="32">
        <v>1986</v>
      </c>
      <c r="C88" s="33">
        <v>3.55</v>
      </c>
      <c r="D88" s="2">
        <v>0.53669939223936414</v>
      </c>
      <c r="E88" s="26">
        <f t="shared" si="4"/>
        <v>76.113612710837288</v>
      </c>
      <c r="F88" s="26">
        <v>17.010954616588421</v>
      </c>
      <c r="G88" s="26">
        <f t="shared" si="5"/>
        <v>2956.6069609785368</v>
      </c>
      <c r="H88" s="26"/>
      <c r="I88" s="34"/>
    </row>
    <row r="89" spans="1:9">
      <c r="A89" s="31" t="s">
        <v>4</v>
      </c>
      <c r="B89" s="32">
        <v>1987</v>
      </c>
      <c r="C89" s="33">
        <v>6.89</v>
      </c>
      <c r="D89" s="2">
        <v>0.58859280037400652</v>
      </c>
      <c r="E89" s="26">
        <f t="shared" si="4"/>
        <v>75.971064795562853</v>
      </c>
      <c r="F89" s="26">
        <v>12.170542635658915</v>
      </c>
      <c r="G89" s="26">
        <f t="shared" si="5"/>
        <v>3750.5589911754105</v>
      </c>
      <c r="H89" s="26"/>
      <c r="I89" s="34"/>
    </row>
    <row r="90" spans="1:9">
      <c r="A90" s="31" t="s">
        <v>4</v>
      </c>
      <c r="B90" s="32">
        <v>1988</v>
      </c>
      <c r="C90" s="33">
        <v>8.74</v>
      </c>
      <c r="D90" s="2">
        <v>0.66386161757830764</v>
      </c>
      <c r="E90" s="26">
        <f t="shared" si="4"/>
        <v>76.006957158550009</v>
      </c>
      <c r="F90" s="26">
        <v>11.893583724569641</v>
      </c>
      <c r="G90" s="26">
        <f t="shared" si="5"/>
        <v>4120.2470409310317</v>
      </c>
      <c r="H90" s="26"/>
      <c r="I90" s="34"/>
    </row>
    <row r="91" spans="1:9">
      <c r="A91" s="31" t="s">
        <v>4</v>
      </c>
      <c r="B91" s="32">
        <v>1989</v>
      </c>
      <c r="C91" s="33">
        <v>12.02</v>
      </c>
      <c r="D91" s="2">
        <v>0.63581112669471718</v>
      </c>
      <c r="E91" s="26">
        <f t="shared" si="4"/>
        <v>75.879360140204042</v>
      </c>
      <c r="F91" s="26">
        <v>11.153238546603475</v>
      </c>
      <c r="G91" s="26">
        <f t="shared" si="5"/>
        <v>5557.5537357122948</v>
      </c>
      <c r="H91" s="26"/>
      <c r="I91" s="34"/>
    </row>
    <row r="92" spans="1:9">
      <c r="A92" s="31" t="s">
        <v>4</v>
      </c>
      <c r="B92" s="32">
        <v>1990</v>
      </c>
      <c r="C92" s="33">
        <v>12</v>
      </c>
      <c r="D92" s="2">
        <v>0.70500233754090702</v>
      </c>
      <c r="E92" s="26">
        <f t="shared" si="4"/>
        <v>76.001532715193832</v>
      </c>
      <c r="F92" s="26">
        <v>11.578099838969404</v>
      </c>
      <c r="G92" s="26">
        <f t="shared" si="5"/>
        <v>5186.0371585462326</v>
      </c>
      <c r="H92" s="26"/>
      <c r="I92" s="34"/>
    </row>
    <row r="93" spans="1:9">
      <c r="A93" s="31" t="s">
        <v>4</v>
      </c>
      <c r="B93" s="32">
        <v>1991</v>
      </c>
      <c r="C93" s="33">
        <v>9.1300000000000008</v>
      </c>
      <c r="D93" s="2">
        <v>0.95745675549322118</v>
      </c>
      <c r="E93" s="26">
        <f t="shared" si="4"/>
        <v>75.877902908913498</v>
      </c>
      <c r="F93" s="26">
        <v>12.334943639291465</v>
      </c>
      <c r="G93" s="26">
        <f t="shared" si="5"/>
        <v>3100.2981092664932</v>
      </c>
      <c r="H93" s="26"/>
      <c r="I93" s="34"/>
    </row>
    <row r="94" spans="1:9">
      <c r="A94" s="31" t="s">
        <v>4</v>
      </c>
      <c r="B94" s="32">
        <v>1992</v>
      </c>
      <c r="C94" s="33">
        <v>6.15</v>
      </c>
      <c r="D94" s="2">
        <v>0.48574100046750818</v>
      </c>
      <c r="E94" s="26">
        <f t="shared" si="4"/>
        <v>75.922383637575052</v>
      </c>
      <c r="F94" s="26">
        <v>15.169082125603865</v>
      </c>
      <c r="G94" s="26">
        <f t="shared" si="5"/>
        <v>5059.2928242968665</v>
      </c>
      <c r="H94" s="26"/>
      <c r="I94" s="34"/>
    </row>
    <row r="95" spans="1:9">
      <c r="A95" s="31" t="s">
        <v>4</v>
      </c>
      <c r="B95" s="32">
        <v>1993</v>
      </c>
      <c r="C95" s="33">
        <v>6.18</v>
      </c>
      <c r="D95" s="2">
        <v>0.51753155680224405</v>
      </c>
      <c r="E95" s="26">
        <f t="shared" si="4"/>
        <v>76.057662163698438</v>
      </c>
      <c r="F95" s="26">
        <v>16.108019639934533</v>
      </c>
      <c r="G95" s="26">
        <f t="shared" si="5"/>
        <v>5058.0231511272559</v>
      </c>
      <c r="H95" s="26"/>
      <c r="I95" s="34"/>
    </row>
    <row r="96" spans="1:9">
      <c r="A96" s="31" t="s">
        <v>4</v>
      </c>
      <c r="B96" s="32">
        <v>1994</v>
      </c>
      <c r="C96" s="33">
        <v>7.52</v>
      </c>
      <c r="D96" s="2">
        <v>0.5053763440860215</v>
      </c>
      <c r="E96" s="26">
        <f t="shared" si="4"/>
        <v>75.908719602629759</v>
      </c>
      <c r="F96" s="26">
        <v>14.704918032786885</v>
      </c>
      <c r="G96" s="26">
        <f t="shared" si="5"/>
        <v>5765.0604956400421</v>
      </c>
      <c r="H96" s="26"/>
      <c r="I96" s="34"/>
    </row>
    <row r="97" spans="1:9">
      <c r="A97" s="31" t="s">
        <v>4</v>
      </c>
      <c r="B97" s="32">
        <v>1995</v>
      </c>
      <c r="C97" s="33">
        <v>6.37</v>
      </c>
      <c r="D97" s="2">
        <v>0.50163627863487603</v>
      </c>
      <c r="E97" s="26">
        <f t="shared" si="4"/>
        <v>75.910018568725249</v>
      </c>
      <c r="F97" s="26">
        <v>16.179445350734095</v>
      </c>
      <c r="G97" s="26">
        <f t="shared" si="5"/>
        <v>5413.0871892469622</v>
      </c>
      <c r="H97" s="26"/>
      <c r="I97" s="34"/>
    </row>
    <row r="98" spans="1:9">
      <c r="A98" s="31" t="s">
        <v>4</v>
      </c>
      <c r="B98" s="32">
        <v>1996</v>
      </c>
      <c r="C98" s="33">
        <v>8.36</v>
      </c>
      <c r="D98" s="2">
        <v>0.60028050490883589</v>
      </c>
      <c r="E98" s="26">
        <f t="shared" si="4"/>
        <v>76.065947782208767</v>
      </c>
      <c r="F98" s="26">
        <v>15.541195476575121</v>
      </c>
      <c r="G98" s="26">
        <f t="shared" si="5"/>
        <v>5690.8373868011404</v>
      </c>
      <c r="H98" s="26"/>
      <c r="I98" s="34"/>
    </row>
    <row r="99" spans="1:9">
      <c r="A99" s="31" t="s">
        <v>4</v>
      </c>
      <c r="B99" s="32">
        <v>1997</v>
      </c>
      <c r="C99" s="33">
        <v>6.57</v>
      </c>
      <c r="D99" s="2">
        <v>0.52267414679756896</v>
      </c>
      <c r="E99" s="26">
        <f t="shared" si="4"/>
        <v>76.067069861242075</v>
      </c>
      <c r="F99" s="26">
        <v>14.30622009569378</v>
      </c>
      <c r="G99" s="26">
        <f t="shared" si="5"/>
        <v>4728.1643171760916</v>
      </c>
      <c r="H99" s="26"/>
      <c r="I99" s="34"/>
    </row>
    <row r="100" spans="1:9">
      <c r="A100" s="31" t="s">
        <v>4</v>
      </c>
      <c r="B100" s="32">
        <v>1998</v>
      </c>
      <c r="C100" s="33">
        <v>8.85</v>
      </c>
      <c r="D100" s="2">
        <v>0.51425899953249177</v>
      </c>
      <c r="E100" s="26">
        <f t="shared" si="4"/>
        <v>75.935121212540622</v>
      </c>
      <c r="F100" s="26">
        <v>11.838351822503961</v>
      </c>
      <c r="G100" s="26">
        <f t="shared" si="5"/>
        <v>5365.8671717331799</v>
      </c>
      <c r="H100" s="26"/>
      <c r="I100" s="34"/>
    </row>
    <row r="101" spans="1:9">
      <c r="A101" s="31" t="s">
        <v>4</v>
      </c>
      <c r="B101" s="32">
        <v>1999</v>
      </c>
      <c r="C101" s="33">
        <v>9.49</v>
      </c>
      <c r="D101" s="2">
        <v>0.74146797568957457</v>
      </c>
      <c r="E101" s="26">
        <f t="shared" si="4"/>
        <v>75.956150425555151</v>
      </c>
      <c r="F101" s="26">
        <v>13.16614420062696</v>
      </c>
      <c r="G101" s="26">
        <f t="shared" si="5"/>
        <v>4437.102600013045</v>
      </c>
      <c r="H101" s="26"/>
      <c r="I101" s="34"/>
    </row>
    <row r="102" spans="1:9">
      <c r="A102" s="31" t="s">
        <v>4</v>
      </c>
      <c r="B102" s="32">
        <v>2000</v>
      </c>
      <c r="C102" s="33">
        <v>4.96</v>
      </c>
      <c r="D102" s="2">
        <v>0.45067788686302013</v>
      </c>
      <c r="E102" s="26">
        <f t="shared" si="4"/>
        <v>76.009725729480493</v>
      </c>
      <c r="F102" s="26">
        <v>15.252679938744258</v>
      </c>
      <c r="G102" s="26">
        <f t="shared" si="5"/>
        <v>4416.9493029935247</v>
      </c>
      <c r="H102" s="26"/>
      <c r="I102" s="34"/>
    </row>
    <row r="103" spans="1:9">
      <c r="A103" s="31" t="s">
        <v>4</v>
      </c>
      <c r="B103" s="32">
        <v>2001</v>
      </c>
      <c r="C103" s="33">
        <v>11.36</v>
      </c>
      <c r="D103" s="2">
        <v>0.58765778401122015</v>
      </c>
      <c r="E103" s="26">
        <f t="shared" si="4"/>
        <v>75.905085409487597</v>
      </c>
      <c r="F103" s="26">
        <v>12.173252279635259</v>
      </c>
      <c r="G103" s="26">
        <f t="shared" si="5"/>
        <v>6200.398222863817</v>
      </c>
      <c r="H103" s="26"/>
      <c r="I103" s="34"/>
    </row>
    <row r="104" spans="1:9">
      <c r="A104" s="31" t="s">
        <v>4</v>
      </c>
      <c r="B104" s="32">
        <v>2002</v>
      </c>
      <c r="C104" s="33">
        <v>6.53</v>
      </c>
      <c r="D104" s="2">
        <v>0.61524076671341743</v>
      </c>
      <c r="E104" s="26">
        <f t="shared" si="4"/>
        <v>75.924907936326335</v>
      </c>
      <c r="F104" s="26">
        <v>15.833333333333334</v>
      </c>
      <c r="G104" s="26">
        <f t="shared" si="5"/>
        <v>4426.7617952831251</v>
      </c>
      <c r="H104" s="26"/>
      <c r="I104" s="34"/>
    </row>
    <row r="105" spans="1:9">
      <c r="A105" s="31" t="s">
        <v>4</v>
      </c>
      <c r="B105" s="32">
        <v>2003</v>
      </c>
      <c r="C105" s="33">
        <v>8.01</v>
      </c>
      <c r="D105" s="2">
        <v>0.49041608228143996</v>
      </c>
      <c r="E105" s="26">
        <f t="shared" si="4"/>
        <v>75.94130925507902</v>
      </c>
      <c r="F105" s="26">
        <v>12.870967741935484</v>
      </c>
      <c r="G105" s="26">
        <f t="shared" si="5"/>
        <v>5536.4442326024782</v>
      </c>
      <c r="H105" s="26"/>
      <c r="I105" s="34"/>
    </row>
    <row r="106" spans="1:9">
      <c r="A106" s="31" t="s">
        <v>4</v>
      </c>
      <c r="B106" s="32">
        <v>2004</v>
      </c>
      <c r="C106" s="33">
        <v>8.17</v>
      </c>
      <c r="D106" s="2">
        <v>0.70453482935951373</v>
      </c>
      <c r="E106" s="26">
        <f t="shared" si="4"/>
        <v>75.980697125221113</v>
      </c>
      <c r="F106" s="26">
        <v>14.146341463414634</v>
      </c>
      <c r="G106" s="26">
        <f t="shared" si="5"/>
        <v>4318.0776461067862</v>
      </c>
      <c r="H106" s="26"/>
      <c r="I106" s="34"/>
    </row>
    <row r="107" spans="1:9">
      <c r="A107" s="31" t="s">
        <v>4</v>
      </c>
      <c r="B107" s="32">
        <v>2005</v>
      </c>
      <c r="C107" s="33">
        <v>10.59</v>
      </c>
      <c r="D107" s="2">
        <v>0.66245909303412798</v>
      </c>
      <c r="E107" s="26">
        <f t="shared" si="4"/>
        <v>76.012882536358461</v>
      </c>
      <c r="F107" s="26">
        <v>16.065573770491802</v>
      </c>
      <c r="G107" s="26">
        <f t="shared" si="5"/>
        <v>6757.3424501081736</v>
      </c>
      <c r="H107" s="26"/>
      <c r="I107" s="34"/>
    </row>
    <row r="108" spans="1:9">
      <c r="A108" s="31" t="s">
        <v>4</v>
      </c>
      <c r="B108" s="32">
        <v>2006</v>
      </c>
      <c r="C108" s="33">
        <v>15.98</v>
      </c>
      <c r="D108" s="2">
        <v>0.82328190743338003</v>
      </c>
      <c r="E108" s="26">
        <f t="shared" si="4"/>
        <v>76.0811187325899</v>
      </c>
      <c r="F108" s="26">
        <v>13.190082644628099</v>
      </c>
      <c r="G108" s="26">
        <f t="shared" si="5"/>
        <v>6730.2132597462942</v>
      </c>
      <c r="H108" s="26"/>
      <c r="I108" s="34"/>
    </row>
    <row r="109" spans="1:9">
      <c r="A109" s="31" t="s">
        <v>4</v>
      </c>
      <c r="B109" s="32">
        <v>2007</v>
      </c>
      <c r="C109" s="33">
        <v>26.59</v>
      </c>
      <c r="D109" s="2">
        <v>0.85273492286115005</v>
      </c>
      <c r="E109" s="26">
        <f t="shared" si="4"/>
        <v>75.923531739208599</v>
      </c>
      <c r="F109" s="26">
        <v>10.491525423728813</v>
      </c>
      <c r="G109" s="26">
        <f t="shared" si="5"/>
        <v>8617.8021451271179</v>
      </c>
      <c r="H109" s="26"/>
      <c r="I109" s="34"/>
    </row>
    <row r="110" spans="1:9">
      <c r="A110" s="31" t="s">
        <v>4</v>
      </c>
      <c r="B110" s="32">
        <v>2008</v>
      </c>
      <c r="C110" s="33">
        <v>8.32</v>
      </c>
      <c r="D110" s="2">
        <v>0.73352033660589055</v>
      </c>
      <c r="E110" s="26">
        <f t="shared" si="4"/>
        <v>75.992350529619173</v>
      </c>
      <c r="F110" s="26">
        <v>15.457627118644067</v>
      </c>
      <c r="G110" s="26">
        <f t="shared" si="5"/>
        <v>4614.3880254075257</v>
      </c>
      <c r="H110" s="26"/>
      <c r="I110" s="34"/>
    </row>
    <row r="111" spans="1:9">
      <c r="A111" s="31" t="s">
        <v>4</v>
      </c>
      <c r="B111" s="32">
        <v>2009</v>
      </c>
      <c r="C111" s="33">
        <v>11.29</v>
      </c>
      <c r="D111" s="2">
        <v>0.76811594202898559</v>
      </c>
      <c r="E111" s="26">
        <f t="shared" si="4"/>
        <v>75.932021724449882</v>
      </c>
      <c r="F111" s="26">
        <v>15.473684210526315</v>
      </c>
      <c r="G111" s="26">
        <f t="shared" si="5"/>
        <v>5990.5393445878835</v>
      </c>
      <c r="H111" s="26"/>
      <c r="I111" s="34"/>
    </row>
    <row r="112" spans="1:9">
      <c r="A112" s="31" t="s">
        <v>4</v>
      </c>
      <c r="B112" s="32">
        <v>2010</v>
      </c>
      <c r="C112" s="33">
        <v>10.93</v>
      </c>
      <c r="D112" s="2">
        <v>0.76577840112201967</v>
      </c>
      <c r="E112" s="26">
        <f t="shared" si="4"/>
        <v>79.883633451728286</v>
      </c>
      <c r="F112" s="26">
        <v>16.727272727272727</v>
      </c>
      <c r="G112" s="26">
        <f t="shared" si="5"/>
        <v>5977.4282584082584</v>
      </c>
      <c r="H112" s="26"/>
      <c r="I112" s="34"/>
    </row>
    <row r="113" spans="1:9">
      <c r="A113" s="31" t="s">
        <v>4</v>
      </c>
      <c r="B113" s="32">
        <v>2011</v>
      </c>
      <c r="C113" s="33">
        <v>15.13</v>
      </c>
      <c r="D113" s="2">
        <v>0.74801309022907903</v>
      </c>
      <c r="E113" s="26">
        <f t="shared" si="4"/>
        <v>79.928890913067718</v>
      </c>
      <c r="F113" s="26">
        <v>15.596330275229358</v>
      </c>
      <c r="G113" s="26">
        <f t="shared" si="5"/>
        <v>7893.659017947246</v>
      </c>
      <c r="H113" s="26"/>
      <c r="I113" s="34"/>
    </row>
    <row r="114" spans="1:9">
      <c r="A114" s="31" t="s">
        <v>4</v>
      </c>
      <c r="B114" s="32">
        <v>2012</v>
      </c>
      <c r="C114" s="33">
        <v>12.05</v>
      </c>
      <c r="D114" s="2">
        <v>0.80785413744740531</v>
      </c>
      <c r="E114" s="26">
        <f t="shared" si="4"/>
        <v>80.003057552974852</v>
      </c>
      <c r="F114" s="26">
        <v>16.888888888888889</v>
      </c>
      <c r="G114" s="26">
        <f t="shared" si="5"/>
        <v>6297.6508969907409</v>
      </c>
      <c r="H114" s="26"/>
      <c r="I114" s="34"/>
    </row>
    <row r="115" spans="1:9">
      <c r="A115" s="31" t="s">
        <v>4</v>
      </c>
      <c r="B115" s="32">
        <v>2013</v>
      </c>
      <c r="C115" s="33">
        <v>25.4</v>
      </c>
      <c r="D115" s="2">
        <v>0.81954184198223468</v>
      </c>
      <c r="E115" s="26" t="e">
        <f t="shared" si="4"/>
        <v>#N/A</v>
      </c>
      <c r="F115" s="26">
        <v>15.174953959484347</v>
      </c>
      <c r="G115" s="26" t="e">
        <f>(I35+I75)/((H35+H75) * 1000)</f>
        <v>#N/A</v>
      </c>
      <c r="H115" s="26"/>
      <c r="I115" s="34"/>
    </row>
    <row r="116" spans="1:9">
      <c r="A116" s="31" t="s">
        <v>4</v>
      </c>
      <c r="B116" s="32">
        <v>2014</v>
      </c>
      <c r="C116" s="33">
        <v>25.1</v>
      </c>
      <c r="D116" s="2">
        <v>1.0032725572697521</v>
      </c>
      <c r="E116" s="26" t="e">
        <f t="shared" si="4"/>
        <v>#N/A</v>
      </c>
      <c r="F116" s="26">
        <v>16.347197106690778</v>
      </c>
      <c r="G116" s="26" t="e">
        <f t="shared" si="5"/>
        <v>#N/A</v>
      </c>
      <c r="H116" s="26"/>
      <c r="I116" s="34"/>
    </row>
    <row r="117" spans="1:9">
      <c r="A117" s="31" t="s">
        <v>4</v>
      </c>
      <c r="B117" s="32">
        <v>2015</v>
      </c>
      <c r="C117" s="33">
        <v>27.44</v>
      </c>
      <c r="D117" s="2">
        <v>1</v>
      </c>
      <c r="E117" s="26" t="e">
        <f t="shared" si="4"/>
        <v>#N/A</v>
      </c>
      <c r="F117" s="26">
        <v>16.587155963302752</v>
      </c>
      <c r="G117" s="26" t="e">
        <f t="shared" si="5"/>
        <v>#N/A</v>
      </c>
      <c r="H117" s="26"/>
      <c r="I117" s="34"/>
    </row>
    <row r="118" spans="1:9">
      <c r="A118" s="31" t="s">
        <v>4</v>
      </c>
      <c r="B118" s="32">
        <v>2016</v>
      </c>
      <c r="C118" s="33">
        <v>28.5</v>
      </c>
      <c r="D118" s="2">
        <v>1.1813931743805515</v>
      </c>
      <c r="E118" s="26">
        <f t="shared" si="4"/>
        <v>80.039399622925487</v>
      </c>
      <c r="F118" s="26">
        <v>16.243093922651934</v>
      </c>
      <c r="G118" s="26">
        <f t="shared" si="5"/>
        <v>9791.4121461257109</v>
      </c>
      <c r="H118" s="26"/>
      <c r="I118" s="34"/>
    </row>
    <row r="119" spans="1:9">
      <c r="A119" s="31" t="s">
        <v>4</v>
      </c>
      <c r="B119" s="32">
        <v>2017</v>
      </c>
      <c r="C119" s="33">
        <v>26.03</v>
      </c>
      <c r="D119" s="2">
        <v>1.4385226741467976</v>
      </c>
      <c r="E119" s="26">
        <f t="shared" si="4"/>
        <v>80.010111026376023</v>
      </c>
      <c r="F119" s="26">
        <v>16.353591160220994</v>
      </c>
      <c r="G119" s="26">
        <f t="shared" si="5"/>
        <v>7397.0016440279605</v>
      </c>
      <c r="H119" s="26"/>
      <c r="I119" s="34"/>
    </row>
    <row r="120" spans="1:9">
      <c r="A120" s="31" t="s">
        <v>4</v>
      </c>
      <c r="B120" s="32">
        <v>2018</v>
      </c>
      <c r="C120" s="33">
        <v>22.88</v>
      </c>
      <c r="D120" s="2">
        <v>1.5455820476858346</v>
      </c>
      <c r="E120" s="26">
        <f t="shared" si="4"/>
        <v>79.782664957002012</v>
      </c>
      <c r="F120" s="26">
        <v>17.797513321492008</v>
      </c>
      <c r="G120" s="26">
        <f t="shared" si="5"/>
        <v>6604.5729117574047</v>
      </c>
      <c r="H120" s="26"/>
      <c r="I120" s="34"/>
    </row>
    <row r="121" spans="1:9">
      <c r="A121" s="36" t="s">
        <v>4</v>
      </c>
      <c r="B121" s="37">
        <v>2019</v>
      </c>
      <c r="C121" s="10">
        <v>18.079999999999998</v>
      </c>
      <c r="D121" s="3">
        <v>1.1491351098644227</v>
      </c>
      <c r="E121" s="9">
        <f t="shared" si="4"/>
        <v>79.984672607327667</v>
      </c>
      <c r="F121" s="9">
        <v>19.197207678883071</v>
      </c>
      <c r="G121" s="9">
        <f t="shared" si="5"/>
        <v>7552.4632296721038</v>
      </c>
      <c r="H121" s="9"/>
      <c r="I121" s="38"/>
    </row>
  </sheetData>
  <phoneticPr fontId="2" type="noConversion"/>
  <pageMargins left="0.7" right="0.7" top="0.75" bottom="0.75" header="0.3" footer="0.3"/>
  <pageSetup scale="47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8F4A-8BEA-BD47-89EA-2D4C4125F44E}">
  <dimension ref="A1:I211"/>
  <sheetViews>
    <sheetView view="pageBreakPreview" zoomScale="107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4" sqref="F94"/>
    </sheetView>
  </sheetViews>
  <sheetFormatPr baseColWidth="10" defaultRowHeight="12"/>
  <cols>
    <col min="1" max="1" width="13.59765625" style="12" bestFit="1" customWidth="1"/>
    <col min="2" max="2" width="6.3984375" style="4" bestFit="1" customWidth="1"/>
    <col min="3" max="3" width="13" style="2" bestFit="1" customWidth="1"/>
    <col min="4" max="4" width="16.19921875" style="2" bestFit="1" customWidth="1"/>
    <col min="5" max="6" width="20" style="2" bestFit="1" customWidth="1"/>
    <col min="7" max="7" width="15.3984375" style="2" bestFit="1" customWidth="1"/>
    <col min="8" max="8" width="24.19921875" style="2" bestFit="1" customWidth="1"/>
    <col min="9" max="9" width="16" style="2" bestFit="1" customWidth="1"/>
  </cols>
  <sheetData>
    <row r="1" spans="1:9">
      <c r="A1" s="20" t="s">
        <v>5</v>
      </c>
      <c r="B1" s="17" t="s">
        <v>12</v>
      </c>
      <c r="C1" s="18" t="s">
        <v>6</v>
      </c>
      <c r="D1" s="18" t="s">
        <v>13</v>
      </c>
      <c r="E1" s="18" t="s">
        <v>7</v>
      </c>
      <c r="F1" s="18" t="s">
        <v>8</v>
      </c>
      <c r="G1" s="18" t="s">
        <v>9</v>
      </c>
      <c r="H1" s="18" t="s">
        <v>11</v>
      </c>
      <c r="I1" s="19" t="s">
        <v>10</v>
      </c>
    </row>
    <row r="2" spans="1:9">
      <c r="A2" s="21" t="s">
        <v>0</v>
      </c>
      <c r="B2" s="23">
        <v>1980</v>
      </c>
      <c r="C2" s="24">
        <v>4.04</v>
      </c>
      <c r="D2" s="2">
        <v>0.4731182795698925</v>
      </c>
      <c r="E2" s="25">
        <v>90</v>
      </c>
      <c r="F2" s="25">
        <v>13.529822113707709</v>
      </c>
      <c r="G2" s="25">
        <f>((C2/D2)/E2)*(F2*2000)</f>
        <v>2567.3862447284146</v>
      </c>
      <c r="H2" s="25">
        <v>573.4</v>
      </c>
      <c r="I2" s="15">
        <f>G2*H2*1000</f>
        <v>1472139272.727273</v>
      </c>
    </row>
    <row r="3" spans="1:9">
      <c r="A3" s="21" t="s">
        <v>0</v>
      </c>
      <c r="B3" s="23">
        <v>1981</v>
      </c>
      <c r="C3" s="24">
        <v>4.28</v>
      </c>
      <c r="D3" s="2">
        <v>0.47218326320710613</v>
      </c>
      <c r="E3" s="25">
        <v>90</v>
      </c>
      <c r="F3" s="25">
        <v>10.105319528739734</v>
      </c>
      <c r="G3" s="25">
        <f t="shared" ref="G3:G66" si="0">((C3/D3)/E3)*(F3*2000)</f>
        <v>2035.4981707381733</v>
      </c>
      <c r="H3" s="25">
        <v>560.20000000000005</v>
      </c>
      <c r="I3" s="15">
        <f t="shared" ref="I3:I66" si="1">G3*H3*1000</f>
        <v>1140286075.2475247</v>
      </c>
    </row>
    <row r="4" spans="1:9">
      <c r="A4" s="21" t="s">
        <v>0</v>
      </c>
      <c r="B4" s="23">
        <v>1982</v>
      </c>
      <c r="C4" s="24">
        <v>5.15</v>
      </c>
      <c r="D4" s="2">
        <v>0.46750818139317435</v>
      </c>
      <c r="E4" s="25">
        <v>90</v>
      </c>
      <c r="F4" s="25">
        <v>11.702682563338302</v>
      </c>
      <c r="G4" s="25">
        <f t="shared" si="0"/>
        <v>2864.7776825633391</v>
      </c>
      <c r="H4" s="25">
        <v>536.79999999999995</v>
      </c>
      <c r="I4" s="15">
        <f t="shared" si="1"/>
        <v>1537812660.0000005</v>
      </c>
    </row>
    <row r="5" spans="1:9">
      <c r="A5" s="21" t="s">
        <v>0</v>
      </c>
      <c r="B5" s="23">
        <v>1983</v>
      </c>
      <c r="C5" s="24">
        <v>5.75</v>
      </c>
      <c r="D5" s="2">
        <v>0.47078073866292658</v>
      </c>
      <c r="E5" s="25">
        <v>90</v>
      </c>
      <c r="F5" s="25">
        <v>11.075495571488824</v>
      </c>
      <c r="G5" s="25">
        <f t="shared" si="0"/>
        <v>3006.0750062370944</v>
      </c>
      <c r="H5" s="25">
        <v>474.2</v>
      </c>
      <c r="I5" s="15">
        <f t="shared" si="1"/>
        <v>1425480767.9576302</v>
      </c>
    </row>
    <row r="6" spans="1:9">
      <c r="A6" s="21" t="s">
        <v>0</v>
      </c>
      <c r="B6" s="23">
        <v>1984</v>
      </c>
      <c r="C6" s="24">
        <v>7.1</v>
      </c>
      <c r="D6" s="2">
        <v>0.48948106591865359</v>
      </c>
      <c r="E6" s="25">
        <v>90</v>
      </c>
      <c r="F6" s="25">
        <v>11.130683170673649</v>
      </c>
      <c r="G6" s="25">
        <f t="shared" si="0"/>
        <v>3587.8291891054569</v>
      </c>
      <c r="H6" s="25">
        <v>420.1</v>
      </c>
      <c r="I6" s="15">
        <f t="shared" si="1"/>
        <v>1507247042.3432026</v>
      </c>
    </row>
    <row r="7" spans="1:9">
      <c r="A7" s="21" t="s">
        <v>0</v>
      </c>
      <c r="B7" s="23">
        <v>1985</v>
      </c>
      <c r="C7" s="24">
        <v>3.94</v>
      </c>
      <c r="D7" s="2">
        <v>0.55352968676951853</v>
      </c>
      <c r="E7" s="25">
        <v>90</v>
      </c>
      <c r="F7" s="25">
        <v>14.591947769314471</v>
      </c>
      <c r="G7" s="25">
        <f t="shared" si="0"/>
        <v>2308.1076302090987</v>
      </c>
      <c r="H7" s="25">
        <v>367.6</v>
      </c>
      <c r="I7" s="15">
        <f t="shared" si="1"/>
        <v>848460364.86486471</v>
      </c>
    </row>
    <row r="8" spans="1:9">
      <c r="A8" s="21" t="s">
        <v>0</v>
      </c>
      <c r="B8" s="23">
        <v>1986</v>
      </c>
      <c r="C8" s="24">
        <v>5.22</v>
      </c>
      <c r="D8" s="2">
        <v>0.53669939223936414</v>
      </c>
      <c r="E8" s="25">
        <v>90</v>
      </c>
      <c r="F8" s="25">
        <v>14.350026638252531</v>
      </c>
      <c r="G8" s="25">
        <f t="shared" si="0"/>
        <v>3101.5557574823792</v>
      </c>
      <c r="H8" s="25">
        <v>375.4</v>
      </c>
      <c r="I8" s="15">
        <f t="shared" si="1"/>
        <v>1164324031.358885</v>
      </c>
    </row>
    <row r="9" spans="1:9">
      <c r="A9" s="21" t="s">
        <v>0</v>
      </c>
      <c r="B9" s="23">
        <v>1987</v>
      </c>
      <c r="C9" s="24">
        <v>7.58</v>
      </c>
      <c r="D9" s="2">
        <v>0.58859280037400652</v>
      </c>
      <c r="E9" s="25">
        <v>90</v>
      </c>
      <c r="F9" s="25">
        <v>16.333508679642293</v>
      </c>
      <c r="G9" s="25">
        <f t="shared" si="0"/>
        <v>4674.3500661622429</v>
      </c>
      <c r="H9" s="25">
        <v>380.2</v>
      </c>
      <c r="I9" s="15">
        <f t="shared" si="1"/>
        <v>1777187895.1548848</v>
      </c>
    </row>
    <row r="10" spans="1:9">
      <c r="A10" s="21" t="s">
        <v>0</v>
      </c>
      <c r="B10" s="23">
        <v>1988</v>
      </c>
      <c r="C10" s="24">
        <v>7.41</v>
      </c>
      <c r="D10" s="2">
        <v>0.66386161757830764</v>
      </c>
      <c r="E10" s="25">
        <v>90</v>
      </c>
      <c r="F10" s="25">
        <v>16.971957808078209</v>
      </c>
      <c r="G10" s="25">
        <f t="shared" si="0"/>
        <v>4209.7865655471287</v>
      </c>
      <c r="H10" s="25">
        <v>388.7</v>
      </c>
      <c r="I10" s="15">
        <f t="shared" si="1"/>
        <v>1636344038.0281689</v>
      </c>
    </row>
    <row r="11" spans="1:9">
      <c r="A11" s="21" t="s">
        <v>0</v>
      </c>
      <c r="B11" s="23">
        <v>1989</v>
      </c>
      <c r="C11" s="24">
        <v>6.21</v>
      </c>
      <c r="D11" s="2">
        <v>0.63581112669471718</v>
      </c>
      <c r="E11" s="25">
        <v>90</v>
      </c>
      <c r="F11" s="25">
        <v>12.410513141426783</v>
      </c>
      <c r="G11" s="25">
        <f t="shared" si="0"/>
        <v>2693.6471250828245</v>
      </c>
      <c r="H11" s="25">
        <v>399.5</v>
      </c>
      <c r="I11" s="15">
        <f t="shared" si="1"/>
        <v>1076112026.4705882</v>
      </c>
    </row>
    <row r="12" spans="1:9">
      <c r="A12" s="21" t="s">
        <v>0</v>
      </c>
      <c r="B12" s="23">
        <v>1990</v>
      </c>
      <c r="C12" s="24">
        <v>5.89</v>
      </c>
      <c r="D12" s="2">
        <v>0.70500233754090702</v>
      </c>
      <c r="E12" s="25">
        <v>90</v>
      </c>
      <c r="F12" s="25">
        <v>16.208125445473986</v>
      </c>
      <c r="G12" s="25">
        <f t="shared" si="0"/>
        <v>3009.1581510631822</v>
      </c>
      <c r="H12" s="25">
        <v>420.9</v>
      </c>
      <c r="I12" s="15">
        <f t="shared" si="1"/>
        <v>1266554665.7824934</v>
      </c>
    </row>
    <row r="13" spans="1:9">
      <c r="A13" s="21" t="s">
        <v>0</v>
      </c>
      <c r="B13" s="23">
        <v>1991</v>
      </c>
      <c r="C13" s="24">
        <v>5.93</v>
      </c>
      <c r="D13" s="2">
        <v>0.95745675549322118</v>
      </c>
      <c r="E13" s="25">
        <v>90</v>
      </c>
      <c r="F13" s="25">
        <f>315*90/2000</f>
        <v>14.175000000000001</v>
      </c>
      <c r="G13" s="25">
        <f t="shared" si="0"/>
        <v>1950.9497314453124</v>
      </c>
      <c r="H13" s="25">
        <v>444.4</v>
      </c>
      <c r="I13" s="15">
        <f t="shared" si="1"/>
        <v>867002060.65429676</v>
      </c>
    </row>
    <row r="14" spans="1:9">
      <c r="A14" s="21" t="s">
        <v>0</v>
      </c>
      <c r="B14" s="23">
        <v>1992</v>
      </c>
      <c r="C14" s="24">
        <v>3.48</v>
      </c>
      <c r="D14" s="2">
        <v>0.48574100046750818</v>
      </c>
      <c r="E14" s="25">
        <v>90</v>
      </c>
      <c r="F14" s="25">
        <f>381*90/2000</f>
        <v>17.145</v>
      </c>
      <c r="G14" s="25">
        <f t="shared" si="0"/>
        <v>2729.6028103946101</v>
      </c>
      <c r="H14" s="25">
        <v>489.2</v>
      </c>
      <c r="I14" s="15">
        <f t="shared" si="1"/>
        <v>1335321694.8450432</v>
      </c>
    </row>
    <row r="15" spans="1:9">
      <c r="A15" s="21" t="s">
        <v>0</v>
      </c>
      <c r="B15" s="23">
        <v>1993</v>
      </c>
      <c r="C15" s="24">
        <v>4.09</v>
      </c>
      <c r="D15" s="2">
        <v>0.51753155680224405</v>
      </c>
      <c r="E15" s="25">
        <v>90</v>
      </c>
      <c r="F15" s="25">
        <f>341*90/2000</f>
        <v>15.345000000000001</v>
      </c>
      <c r="G15" s="25">
        <f t="shared" si="0"/>
        <v>2694.8888075880759</v>
      </c>
      <c r="H15" s="25">
        <v>510.8</v>
      </c>
      <c r="I15" s="15">
        <f t="shared" si="1"/>
        <v>1376549202.9159892</v>
      </c>
    </row>
    <row r="16" spans="1:9">
      <c r="A16" s="21" t="s">
        <v>0</v>
      </c>
      <c r="B16" s="23">
        <v>1994</v>
      </c>
      <c r="C16" s="24">
        <v>3.74</v>
      </c>
      <c r="D16" s="2">
        <v>0.5053763440860215</v>
      </c>
      <c r="E16" s="25">
        <v>90</v>
      </c>
      <c r="F16" s="25">
        <f>365*90/2000</f>
        <v>16.425000000000001</v>
      </c>
      <c r="G16" s="25">
        <f t="shared" si="0"/>
        <v>2701.1553191489361</v>
      </c>
      <c r="H16" s="25">
        <v>562.79999999999995</v>
      </c>
      <c r="I16" s="15">
        <f t="shared" si="1"/>
        <v>1520210213.6170213</v>
      </c>
    </row>
    <row r="17" spans="1:9">
      <c r="A17" s="21" t="s">
        <v>0</v>
      </c>
      <c r="B17" s="23">
        <v>1995</v>
      </c>
      <c r="C17" s="24">
        <v>4.4000000000000004</v>
      </c>
      <c r="D17" s="2">
        <v>0.50163627863487603</v>
      </c>
      <c r="E17" s="25">
        <v>90</v>
      </c>
      <c r="F17" s="25">
        <f>342*90/2000</f>
        <v>15.39</v>
      </c>
      <c r="G17" s="25">
        <f t="shared" si="0"/>
        <v>2999.7830382106249</v>
      </c>
      <c r="H17" s="25">
        <v>594.79999999999995</v>
      </c>
      <c r="I17" s="15">
        <f t="shared" si="1"/>
        <v>1784270951.1276796</v>
      </c>
    </row>
    <row r="18" spans="1:9">
      <c r="A18" s="21" t="s">
        <v>0</v>
      </c>
      <c r="B18" s="23">
        <v>1996</v>
      </c>
      <c r="C18" s="24">
        <v>3.54</v>
      </c>
      <c r="D18" s="2">
        <v>0.60028050490883589</v>
      </c>
      <c r="E18" s="25">
        <v>90</v>
      </c>
      <c r="F18" s="25">
        <f>362*90/2000</f>
        <v>16.29</v>
      </c>
      <c r="G18" s="25">
        <f t="shared" si="0"/>
        <v>2134.8019626168225</v>
      </c>
      <c r="H18" s="25">
        <v>624.9</v>
      </c>
      <c r="I18" s="15">
        <f t="shared" si="1"/>
        <v>1334037746.4392524</v>
      </c>
    </row>
    <row r="19" spans="1:9">
      <c r="A19" s="21" t="s">
        <v>0</v>
      </c>
      <c r="B19" s="23">
        <v>1997</v>
      </c>
      <c r="C19" s="24">
        <v>3.69</v>
      </c>
      <c r="D19" s="2">
        <v>0.52267414679756896</v>
      </c>
      <c r="E19" s="25">
        <v>90</v>
      </c>
      <c r="F19" s="25">
        <f>401*90/2000</f>
        <v>18.045000000000002</v>
      </c>
      <c r="G19" s="25">
        <f t="shared" si="0"/>
        <v>2830.9990250447227</v>
      </c>
      <c r="H19" s="25">
        <v>609.20000000000005</v>
      </c>
      <c r="I19" s="15">
        <f t="shared" si="1"/>
        <v>1724644606.0572453</v>
      </c>
    </row>
    <row r="20" spans="1:9">
      <c r="A20" s="21" t="s">
        <v>0</v>
      </c>
      <c r="B20" s="23">
        <v>1998</v>
      </c>
      <c r="C20" s="24">
        <v>4.84</v>
      </c>
      <c r="D20" s="2">
        <v>0.51425899953249177</v>
      </c>
      <c r="E20" s="25">
        <v>90</v>
      </c>
      <c r="F20" s="25">
        <f>304*90/2000</f>
        <v>13.68</v>
      </c>
      <c r="G20" s="25">
        <f t="shared" si="0"/>
        <v>2861.1264000000001</v>
      </c>
      <c r="H20" s="25">
        <v>612.6</v>
      </c>
      <c r="I20" s="15">
        <f t="shared" si="1"/>
        <v>1752726032.6400001</v>
      </c>
    </row>
    <row r="21" spans="1:9">
      <c r="A21" s="21" t="s">
        <v>0</v>
      </c>
      <c r="B21" s="23">
        <v>1999</v>
      </c>
      <c r="C21" s="24">
        <v>3.67</v>
      </c>
      <c r="D21" s="2">
        <v>0.74146797568957457</v>
      </c>
      <c r="E21" s="25">
        <v>90</v>
      </c>
      <c r="F21" s="25">
        <f>387*90/2000</f>
        <v>17.414999999999999</v>
      </c>
      <c r="G21" s="25">
        <f t="shared" si="0"/>
        <v>1915.5109142496849</v>
      </c>
      <c r="H21" s="25">
        <v>602.1</v>
      </c>
      <c r="I21" s="15">
        <f t="shared" si="1"/>
        <v>1153329121.4697354</v>
      </c>
    </row>
    <row r="22" spans="1:9">
      <c r="A22" s="21" t="s">
        <v>0</v>
      </c>
      <c r="B22" s="23">
        <v>2000</v>
      </c>
      <c r="C22" s="24">
        <v>3.21</v>
      </c>
      <c r="D22" s="2">
        <v>0.45067788686302013</v>
      </c>
      <c r="E22" s="25">
        <v>90</v>
      </c>
      <c r="F22" s="25">
        <f>369*90/2000</f>
        <v>16.605</v>
      </c>
      <c r="G22" s="25">
        <f t="shared" si="0"/>
        <v>2628.2407780082985</v>
      </c>
      <c r="H22" s="25">
        <v>605</v>
      </c>
      <c r="I22" s="15">
        <f t="shared" si="1"/>
        <v>1590085670.6950207</v>
      </c>
    </row>
    <row r="23" spans="1:9">
      <c r="A23" s="21" t="s">
        <v>0</v>
      </c>
      <c r="B23" s="23">
        <v>2001</v>
      </c>
      <c r="C23" s="24">
        <v>3.47</v>
      </c>
      <c r="D23" s="2">
        <v>0.58765778401122015</v>
      </c>
      <c r="E23" s="25">
        <v>90</v>
      </c>
      <c r="F23" s="25">
        <f>392*90/2000</f>
        <v>17.64</v>
      </c>
      <c r="G23" s="25">
        <f t="shared" si="0"/>
        <v>2314.6804773269691</v>
      </c>
      <c r="H23" s="25">
        <v>586.9</v>
      </c>
      <c r="I23" s="15">
        <f t="shared" si="1"/>
        <v>1358485972.143198</v>
      </c>
    </row>
    <row r="24" spans="1:9">
      <c r="A24" s="21" t="s">
        <v>0</v>
      </c>
      <c r="B24" s="23">
        <v>2002</v>
      </c>
      <c r="C24" s="24">
        <v>3.17</v>
      </c>
      <c r="D24" s="2">
        <v>0.61524076671341743</v>
      </c>
      <c r="E24" s="25">
        <v>90</v>
      </c>
      <c r="F24" s="25">
        <f>345*90/2000</f>
        <v>15.525</v>
      </c>
      <c r="G24" s="25">
        <f t="shared" si="0"/>
        <v>1777.5967705167175</v>
      </c>
      <c r="H24" s="25">
        <v>587.6</v>
      </c>
      <c r="I24" s="15">
        <f t="shared" si="1"/>
        <v>1044515862.3556232</v>
      </c>
    </row>
    <row r="25" spans="1:9">
      <c r="A25" s="21" t="s">
        <v>0</v>
      </c>
      <c r="B25" s="23">
        <v>2003</v>
      </c>
      <c r="C25" s="24">
        <v>2.89</v>
      </c>
      <c r="D25" s="2">
        <v>0.49041608228143996</v>
      </c>
      <c r="E25" s="25">
        <v>90</v>
      </c>
      <c r="F25" s="25">
        <f>428*90/2000</f>
        <v>19.260000000000002</v>
      </c>
      <c r="G25" s="25">
        <f t="shared" si="0"/>
        <v>2522.1848236415635</v>
      </c>
      <c r="H25" s="25">
        <v>564.79999999999995</v>
      </c>
      <c r="I25" s="15">
        <f t="shared" si="1"/>
        <v>1424529988.392755</v>
      </c>
    </row>
    <row r="26" spans="1:9">
      <c r="A26" s="21" t="s">
        <v>0</v>
      </c>
      <c r="B26" s="23">
        <v>2004</v>
      </c>
      <c r="C26" s="24">
        <v>3.49</v>
      </c>
      <c r="D26" s="2">
        <v>0.70453482935951373</v>
      </c>
      <c r="E26" s="25">
        <v>90</v>
      </c>
      <c r="F26" s="25">
        <f>276*90/2000</f>
        <v>12.42</v>
      </c>
      <c r="G26" s="25">
        <f t="shared" si="0"/>
        <v>1367.1999734571998</v>
      </c>
      <c r="H26" s="25">
        <v>541.79999999999995</v>
      </c>
      <c r="I26" s="15">
        <f t="shared" si="1"/>
        <v>740748945.61911082</v>
      </c>
    </row>
    <row r="27" spans="1:9">
      <c r="A27" s="21" t="s">
        <v>0</v>
      </c>
      <c r="B27" s="23">
        <v>2005</v>
      </c>
      <c r="C27" s="24">
        <v>5.51</v>
      </c>
      <c r="D27" s="2">
        <v>0.66245909303412798</v>
      </c>
      <c r="E27" s="25">
        <v>90</v>
      </c>
      <c r="F27" s="25">
        <f>301*90/2000</f>
        <v>13.545</v>
      </c>
      <c r="G27" s="25">
        <f t="shared" si="0"/>
        <v>2503.5659068454484</v>
      </c>
      <c r="H27" s="25">
        <v>491</v>
      </c>
      <c r="I27" s="15">
        <f t="shared" si="1"/>
        <v>1229250860.2611153</v>
      </c>
    </row>
    <row r="28" spans="1:9">
      <c r="A28" s="21" t="s">
        <v>0</v>
      </c>
      <c r="B28" s="23">
        <v>2006</v>
      </c>
      <c r="C28" s="24">
        <v>10.16</v>
      </c>
      <c r="D28" s="2">
        <v>0.82328190743338003</v>
      </c>
      <c r="E28" s="25">
        <v>90</v>
      </c>
      <c r="F28" s="25">
        <f>271*90/2000</f>
        <v>12.195</v>
      </c>
      <c r="G28" s="25">
        <f t="shared" si="0"/>
        <v>3344.3708347529819</v>
      </c>
      <c r="H28" s="25">
        <v>475.9</v>
      </c>
      <c r="I28" s="15">
        <f t="shared" si="1"/>
        <v>1591586080.258944</v>
      </c>
    </row>
    <row r="29" spans="1:9">
      <c r="A29" s="21" t="s">
        <v>0</v>
      </c>
      <c r="B29" s="23">
        <v>2007</v>
      </c>
      <c r="C29" s="24">
        <v>6.61</v>
      </c>
      <c r="D29" s="2">
        <v>0.85273492286115005</v>
      </c>
      <c r="E29" s="25">
        <v>90</v>
      </c>
      <c r="F29" s="25">
        <f>367*90/2000</f>
        <v>16.515000000000001</v>
      </c>
      <c r="G29" s="25">
        <f t="shared" si="0"/>
        <v>2844.8113651315789</v>
      </c>
      <c r="H29" s="25">
        <v>463.9</v>
      </c>
      <c r="I29" s="15">
        <f t="shared" si="1"/>
        <v>1319707992.2845395</v>
      </c>
    </row>
    <row r="30" spans="1:9">
      <c r="A30" s="21" t="s">
        <v>0</v>
      </c>
      <c r="B30" s="23">
        <v>2008</v>
      </c>
      <c r="C30" s="24">
        <v>5.77</v>
      </c>
      <c r="D30" s="2">
        <v>0.73352033660589055</v>
      </c>
      <c r="E30" s="25">
        <v>90</v>
      </c>
      <c r="F30" s="25">
        <f>354*90/2000</f>
        <v>15.93</v>
      </c>
      <c r="G30" s="25">
        <f t="shared" si="0"/>
        <v>2784.6262715105163</v>
      </c>
      <c r="H30" s="25">
        <v>459.1</v>
      </c>
      <c r="I30" s="15">
        <f t="shared" si="1"/>
        <v>1278421921.250478</v>
      </c>
    </row>
    <row r="31" spans="1:9">
      <c r="A31" s="21" t="s">
        <v>0</v>
      </c>
      <c r="B31" s="23">
        <v>2009</v>
      </c>
      <c r="C31" s="24">
        <v>6.87</v>
      </c>
      <c r="D31" s="2">
        <v>0.76811594202898559</v>
      </c>
      <c r="E31" s="25">
        <v>90</v>
      </c>
      <c r="F31" s="25">
        <f>296*90/2000</f>
        <v>13.32</v>
      </c>
      <c r="G31" s="25">
        <f t="shared" si="0"/>
        <v>2647.4128301886785</v>
      </c>
      <c r="H31" s="25">
        <v>451</v>
      </c>
      <c r="I31" s="15">
        <f t="shared" si="1"/>
        <v>1193983186.4150939</v>
      </c>
    </row>
    <row r="32" spans="1:9">
      <c r="A32" s="21" t="s">
        <v>0</v>
      </c>
      <c r="B32" s="23">
        <v>2010</v>
      </c>
      <c r="C32" s="24">
        <v>8.41</v>
      </c>
      <c r="D32" s="2">
        <v>0.76577840112201967</v>
      </c>
      <c r="E32" s="25">
        <v>90</v>
      </c>
      <c r="F32" s="25">
        <f>319*90/2000</f>
        <v>14.355</v>
      </c>
      <c r="G32" s="25">
        <f t="shared" si="0"/>
        <v>3503.3503113553111</v>
      </c>
      <c r="H32" s="25">
        <v>440</v>
      </c>
      <c r="I32" s="15">
        <f t="shared" si="1"/>
        <v>1541474136.9963369</v>
      </c>
    </row>
    <row r="33" spans="1:9">
      <c r="A33" s="21" t="s">
        <v>0</v>
      </c>
      <c r="B33" s="23">
        <v>2011</v>
      </c>
      <c r="C33" s="24">
        <v>9.92</v>
      </c>
      <c r="D33" s="2">
        <v>0.74801309022907903</v>
      </c>
      <c r="E33" s="25">
        <v>90</v>
      </c>
      <c r="F33" s="25">
        <f>338*90/2000</f>
        <v>15.21</v>
      </c>
      <c r="G33" s="25">
        <f t="shared" si="0"/>
        <v>4482.4884000000002</v>
      </c>
      <c r="H33" s="25">
        <v>433.4</v>
      </c>
      <c r="I33" s="15">
        <f t="shared" si="1"/>
        <v>1942710472.5599999</v>
      </c>
    </row>
    <row r="34" spans="1:9">
      <c r="A34" s="21" t="s">
        <v>0</v>
      </c>
      <c r="B34" s="23">
        <v>2012</v>
      </c>
      <c r="C34" s="24">
        <v>7.43</v>
      </c>
      <c r="D34" s="2">
        <v>0.80785413744740531</v>
      </c>
      <c r="E34" s="25">
        <v>90</v>
      </c>
      <c r="F34" s="25">
        <f>311*90/2000</f>
        <v>13.994999999999999</v>
      </c>
      <c r="G34" s="25">
        <f t="shared" si="0"/>
        <v>2860.3307118055554</v>
      </c>
      <c r="H34" s="25">
        <v>429.2</v>
      </c>
      <c r="I34" s="15">
        <f t="shared" si="1"/>
        <v>1227653941.5069444</v>
      </c>
    </row>
    <row r="35" spans="1:9">
      <c r="A35" s="21" t="s">
        <v>0</v>
      </c>
      <c r="B35" s="23">
        <v>2013</v>
      </c>
      <c r="C35" s="24">
        <v>9.6300000000000008</v>
      </c>
      <c r="D35" s="2">
        <v>0.81954184198223468</v>
      </c>
      <c r="E35" s="25">
        <v>90</v>
      </c>
      <c r="F35" s="25">
        <f>250*90/2000</f>
        <v>11.25</v>
      </c>
      <c r="G35" s="25">
        <f t="shared" si="0"/>
        <v>2937.6169423844844</v>
      </c>
      <c r="H35" s="25">
        <v>418.7</v>
      </c>
      <c r="I35" s="15">
        <f t="shared" si="1"/>
        <v>1229980213.7763836</v>
      </c>
    </row>
    <row r="36" spans="1:9">
      <c r="A36" s="21" t="s">
        <v>0</v>
      </c>
      <c r="B36" s="23">
        <v>2014</v>
      </c>
      <c r="C36" s="24">
        <v>9.3800000000000008</v>
      </c>
      <c r="D36" s="2">
        <v>1.0032725572697521</v>
      </c>
      <c r="E36" s="25">
        <v>90</v>
      </c>
      <c r="F36" s="25">
        <f>239*90/2000</f>
        <v>10.755000000000001</v>
      </c>
      <c r="G36" s="25">
        <f t="shared" si="0"/>
        <v>2234.5074464119298</v>
      </c>
      <c r="H36" s="25">
        <v>405.5</v>
      </c>
      <c r="I36" s="15">
        <f t="shared" si="1"/>
        <v>906092769.52003753</v>
      </c>
    </row>
    <row r="37" spans="1:9">
      <c r="A37" s="21" t="s">
        <v>0</v>
      </c>
      <c r="B37" s="23">
        <v>2015</v>
      </c>
      <c r="C37" s="24">
        <v>9.9</v>
      </c>
      <c r="D37" s="2">
        <v>1</v>
      </c>
      <c r="E37" s="25">
        <v>90</v>
      </c>
      <c r="F37" s="25">
        <f>211*90/2000</f>
        <v>9.4949999999999992</v>
      </c>
      <c r="G37" s="25">
        <f t="shared" si="0"/>
        <v>2088.9</v>
      </c>
      <c r="H37" s="25">
        <v>387</v>
      </c>
      <c r="I37" s="15">
        <f t="shared" si="1"/>
        <v>808404300</v>
      </c>
    </row>
    <row r="38" spans="1:9">
      <c r="A38" s="21" t="s">
        <v>0</v>
      </c>
      <c r="B38" s="23">
        <v>2016</v>
      </c>
      <c r="C38" s="24">
        <v>11.82</v>
      </c>
      <c r="D38" s="2">
        <v>1.1813931743805515</v>
      </c>
      <c r="E38" s="25">
        <v>90</v>
      </c>
      <c r="F38" s="25">
        <f>187*90/2000</f>
        <v>8.4149999999999991</v>
      </c>
      <c r="G38" s="25">
        <f t="shared" si="0"/>
        <v>1870.9605302730515</v>
      </c>
      <c r="H38" s="25">
        <v>367.5</v>
      </c>
      <c r="I38" s="15">
        <f t="shared" si="1"/>
        <v>687577994.87534642</v>
      </c>
    </row>
    <row r="39" spans="1:9">
      <c r="A39" s="21" t="s">
        <v>0</v>
      </c>
      <c r="B39" s="23">
        <v>2017</v>
      </c>
      <c r="C39" s="24">
        <v>12.43</v>
      </c>
      <c r="D39" s="2">
        <v>1.4385226741467976</v>
      </c>
      <c r="E39" s="25">
        <v>90</v>
      </c>
      <c r="F39" s="25">
        <f>125*90/2000</f>
        <v>5.625</v>
      </c>
      <c r="G39" s="25">
        <f t="shared" si="0"/>
        <v>1080.1011537211568</v>
      </c>
      <c r="H39" s="25">
        <v>361.8</v>
      </c>
      <c r="I39" s="15">
        <f t="shared" si="1"/>
        <v>390780597.41631454</v>
      </c>
    </row>
    <row r="40" spans="1:9">
      <c r="A40" s="21" t="s">
        <v>0</v>
      </c>
      <c r="B40" s="23">
        <v>2018</v>
      </c>
      <c r="C40" s="24">
        <v>11.42</v>
      </c>
      <c r="D40" s="2">
        <v>1.5455820476858346</v>
      </c>
      <c r="E40" s="25">
        <v>90</v>
      </c>
      <c r="F40" s="25">
        <f>203*90/2000</f>
        <v>9.1349999999999998</v>
      </c>
      <c r="G40" s="25">
        <f t="shared" si="0"/>
        <v>1499.9268421052629</v>
      </c>
      <c r="H40" s="25">
        <v>354.1</v>
      </c>
      <c r="I40" s="15">
        <f t="shared" si="1"/>
        <v>531124094.78947371</v>
      </c>
    </row>
    <row r="41" spans="1:9">
      <c r="A41" s="22" t="s">
        <v>0</v>
      </c>
      <c r="B41" s="14">
        <v>2019</v>
      </c>
      <c r="C41" s="11">
        <v>9.8000000000000007</v>
      </c>
      <c r="D41" s="3">
        <v>1.1491351098644227</v>
      </c>
      <c r="E41" s="3">
        <v>90</v>
      </c>
      <c r="F41" s="3">
        <f>192*90/2000</f>
        <v>8.64</v>
      </c>
      <c r="G41" s="3">
        <f t="shared" si="0"/>
        <v>1637.4053702196909</v>
      </c>
      <c r="H41" s="3">
        <v>350.9</v>
      </c>
      <c r="I41" s="16">
        <f t="shared" si="1"/>
        <v>574565544.41008949</v>
      </c>
    </row>
    <row r="42" spans="1:9">
      <c r="A42" s="21" t="s">
        <v>1</v>
      </c>
      <c r="B42" s="23">
        <v>1980</v>
      </c>
      <c r="C42" s="24">
        <v>3.03</v>
      </c>
      <c r="D42" s="2">
        <v>0.4731182795698925</v>
      </c>
      <c r="E42" s="25">
        <v>75</v>
      </c>
      <c r="F42" s="25">
        <v>13.393541324575809</v>
      </c>
      <c r="G42" s="25">
        <f t="shared" si="0"/>
        <v>2287.3733393043735</v>
      </c>
      <c r="H42" s="25">
        <v>182.7</v>
      </c>
      <c r="I42" s="15">
        <f t="shared" si="1"/>
        <v>417903109.090909</v>
      </c>
    </row>
    <row r="43" spans="1:9">
      <c r="A43" s="21" t="s">
        <v>1</v>
      </c>
      <c r="B43" s="23">
        <v>1981</v>
      </c>
      <c r="C43" s="24">
        <v>7.13</v>
      </c>
      <c r="D43" s="2">
        <v>0.47218326320710613</v>
      </c>
      <c r="E43" s="25">
        <v>75</v>
      </c>
      <c r="F43" s="25">
        <v>8.7236403995560501</v>
      </c>
      <c r="G43" s="25">
        <f t="shared" si="0"/>
        <v>3512.7353237876514</v>
      </c>
      <c r="H43" s="25">
        <v>180.2</v>
      </c>
      <c r="I43" s="15">
        <f t="shared" si="1"/>
        <v>632994905.34653485</v>
      </c>
    </row>
    <row r="44" spans="1:9">
      <c r="A44" s="21" t="s">
        <v>1</v>
      </c>
      <c r="B44" s="23">
        <v>1982</v>
      </c>
      <c r="C44" s="24">
        <v>2.42</v>
      </c>
      <c r="D44" s="2">
        <v>0.46750818139317435</v>
      </c>
      <c r="E44" s="25">
        <v>75</v>
      </c>
      <c r="F44" s="25">
        <v>16.087936865839911</v>
      </c>
      <c r="G44" s="25">
        <f t="shared" si="0"/>
        <v>2220.7273235625703</v>
      </c>
      <c r="H44" s="25">
        <v>177.4</v>
      </c>
      <c r="I44" s="15">
        <f t="shared" si="1"/>
        <v>393957027.19999993</v>
      </c>
    </row>
    <row r="45" spans="1:9">
      <c r="A45" s="21" t="s">
        <v>1</v>
      </c>
      <c r="B45" s="23">
        <v>1983</v>
      </c>
      <c r="C45" s="24">
        <v>6.55</v>
      </c>
      <c r="D45" s="2">
        <v>0.47078073866292658</v>
      </c>
      <c r="E45" s="25">
        <v>75</v>
      </c>
      <c r="F45" s="25">
        <v>10.271033314511575</v>
      </c>
      <c r="G45" s="25">
        <f t="shared" si="0"/>
        <v>3810.7063542217461</v>
      </c>
      <c r="H45" s="25">
        <v>177.1</v>
      </c>
      <c r="I45" s="15">
        <f t="shared" si="1"/>
        <v>674876095.33267117</v>
      </c>
    </row>
    <row r="46" spans="1:9">
      <c r="A46" s="21" t="s">
        <v>1</v>
      </c>
      <c r="B46" s="23">
        <v>1984</v>
      </c>
      <c r="C46" s="24">
        <v>8</v>
      </c>
      <c r="D46" s="2">
        <v>0.48948106591865359</v>
      </c>
      <c r="E46" s="25">
        <v>75</v>
      </c>
      <c r="F46" s="25">
        <v>11.215059897318881</v>
      </c>
      <c r="G46" s="25">
        <f t="shared" si="0"/>
        <v>4887.9237176165734</v>
      </c>
      <c r="H46" s="25">
        <v>175.3</v>
      </c>
      <c r="I46" s="15">
        <f t="shared" si="1"/>
        <v>856853027.69818544</v>
      </c>
    </row>
    <row r="47" spans="1:9">
      <c r="A47" s="21" t="s">
        <v>1</v>
      </c>
      <c r="B47" s="23">
        <v>1985</v>
      </c>
      <c r="C47" s="24">
        <v>5.0599999999999996</v>
      </c>
      <c r="D47" s="2">
        <v>0.55352968676951853</v>
      </c>
      <c r="E47" s="25">
        <v>75</v>
      </c>
      <c r="F47" s="25">
        <v>11.580756013745704</v>
      </c>
      <c r="G47" s="25">
        <f t="shared" si="0"/>
        <v>2823.0283737345585</v>
      </c>
      <c r="H47" s="25">
        <v>174.6</v>
      </c>
      <c r="I47" s="15">
        <f t="shared" si="1"/>
        <v>492900754.0540539</v>
      </c>
    </row>
    <row r="48" spans="1:9">
      <c r="A48" s="21" t="s">
        <v>1</v>
      </c>
      <c r="B48" s="23">
        <v>1986</v>
      </c>
      <c r="C48" s="24">
        <v>5.83</v>
      </c>
      <c r="D48" s="2">
        <v>0.53669939223936414</v>
      </c>
      <c r="E48" s="25">
        <v>75</v>
      </c>
      <c r="F48" s="25">
        <v>12.562174667437825</v>
      </c>
      <c r="G48" s="25">
        <f t="shared" si="0"/>
        <v>3638.9074589448696</v>
      </c>
      <c r="H48" s="25">
        <v>172.9</v>
      </c>
      <c r="I48" s="15">
        <f t="shared" si="1"/>
        <v>629167099.65156794</v>
      </c>
    </row>
    <row r="49" spans="1:9">
      <c r="A49" s="21" t="s">
        <v>1</v>
      </c>
      <c r="B49" s="23">
        <v>1987</v>
      </c>
      <c r="C49" s="24">
        <v>6.03</v>
      </c>
      <c r="D49" s="2">
        <v>0.58859280037400652</v>
      </c>
      <c r="E49" s="25">
        <v>75</v>
      </c>
      <c r="F49" s="25">
        <v>12.815758980301275</v>
      </c>
      <c r="G49" s="25">
        <f t="shared" si="0"/>
        <v>3501.1879906158861</v>
      </c>
      <c r="H49" s="25">
        <v>172.6</v>
      </c>
      <c r="I49" s="15">
        <f t="shared" si="1"/>
        <v>604305047.1803019</v>
      </c>
    </row>
    <row r="50" spans="1:9">
      <c r="A50" s="21" t="s">
        <v>1</v>
      </c>
      <c r="B50" s="23">
        <v>1988</v>
      </c>
      <c r="C50" s="24">
        <v>6.12</v>
      </c>
      <c r="D50" s="2">
        <v>0.66386161757830764</v>
      </c>
      <c r="E50" s="25">
        <v>75</v>
      </c>
      <c r="F50" s="25">
        <v>12.438063063063064</v>
      </c>
      <c r="G50" s="25">
        <f t="shared" si="0"/>
        <v>3057.7033498287019</v>
      </c>
      <c r="H50" s="25">
        <v>177.6</v>
      </c>
      <c r="I50" s="15">
        <f t="shared" si="1"/>
        <v>543048114.92957747</v>
      </c>
    </row>
    <row r="51" spans="1:9">
      <c r="A51" s="21" t="s">
        <v>1</v>
      </c>
      <c r="B51" s="23">
        <v>1989</v>
      </c>
      <c r="C51" s="24">
        <v>5.98</v>
      </c>
      <c r="D51" s="2">
        <v>0.63581112669471718</v>
      </c>
      <c r="E51" s="25">
        <v>75</v>
      </c>
      <c r="F51" s="25">
        <v>15.288406624785837</v>
      </c>
      <c r="G51" s="25">
        <f t="shared" si="0"/>
        <v>3834.4582860214337</v>
      </c>
      <c r="H51" s="25">
        <v>175.1</v>
      </c>
      <c r="I51" s="15">
        <f t="shared" si="1"/>
        <v>671413645.88235295</v>
      </c>
    </row>
    <row r="52" spans="1:9">
      <c r="A52" s="21" t="s">
        <v>1</v>
      </c>
      <c r="B52" s="23">
        <v>1990</v>
      </c>
      <c r="C52" s="24">
        <v>12.48</v>
      </c>
      <c r="D52" s="2">
        <v>0.70500233754090702</v>
      </c>
      <c r="E52" s="25">
        <v>75</v>
      </c>
      <c r="F52" s="25">
        <v>5.3867713004484301</v>
      </c>
      <c r="G52" s="25">
        <f t="shared" si="0"/>
        <v>2542.8532549868564</v>
      </c>
      <c r="H52" s="25">
        <v>178.4</v>
      </c>
      <c r="I52" s="15">
        <f t="shared" si="1"/>
        <v>453645020.68965518</v>
      </c>
    </row>
    <row r="53" spans="1:9">
      <c r="A53" s="21" t="s">
        <v>1</v>
      </c>
      <c r="B53" s="23">
        <v>1991</v>
      </c>
      <c r="C53" s="24">
        <v>4.53</v>
      </c>
      <c r="D53" s="2">
        <v>0.95745675549322118</v>
      </c>
      <c r="E53" s="25">
        <v>75</v>
      </c>
      <c r="F53" s="25">
        <f>371*75/2000</f>
        <v>13.9125</v>
      </c>
      <c r="G53" s="25">
        <f t="shared" si="0"/>
        <v>1755.3064306640626</v>
      </c>
      <c r="H53" s="25">
        <v>181.8</v>
      </c>
      <c r="I53" s="15">
        <f t="shared" si="1"/>
        <v>319114709.09472662</v>
      </c>
    </row>
    <row r="54" spans="1:9">
      <c r="A54" s="21" t="s">
        <v>1</v>
      </c>
      <c r="B54" s="23">
        <v>1992</v>
      </c>
      <c r="C54" s="24">
        <v>5.19</v>
      </c>
      <c r="D54" s="2">
        <v>0.48574100046750818</v>
      </c>
      <c r="E54" s="25">
        <v>75</v>
      </c>
      <c r="F54" s="25">
        <f>363*75/2000</f>
        <v>13.612500000000001</v>
      </c>
      <c r="G54" s="25">
        <f t="shared" si="0"/>
        <v>3878.5484408084703</v>
      </c>
      <c r="H54" s="25">
        <v>184</v>
      </c>
      <c r="I54" s="15">
        <f t="shared" si="1"/>
        <v>713652913.10875857</v>
      </c>
    </row>
    <row r="55" spans="1:9">
      <c r="A55" s="21" t="s">
        <v>1</v>
      </c>
      <c r="B55" s="23">
        <v>1993</v>
      </c>
      <c r="C55" s="24">
        <v>5.36</v>
      </c>
      <c r="D55" s="2">
        <v>0.51753155680224405</v>
      </c>
      <c r="E55" s="25">
        <v>75</v>
      </c>
      <c r="F55" s="25">
        <f>344*75/2000</f>
        <v>12.9</v>
      </c>
      <c r="G55" s="25">
        <f t="shared" si="0"/>
        <v>3562.7585907859084</v>
      </c>
      <c r="H55" s="25">
        <v>185</v>
      </c>
      <c r="I55" s="15">
        <f t="shared" si="1"/>
        <v>659110339.29539311</v>
      </c>
    </row>
    <row r="56" spans="1:9">
      <c r="A56" s="21" t="s">
        <v>1</v>
      </c>
      <c r="B56" s="23">
        <v>1994</v>
      </c>
      <c r="C56" s="24">
        <v>6.38</v>
      </c>
      <c r="D56" s="2">
        <v>0.5053763440860215</v>
      </c>
      <c r="E56" s="25">
        <v>75</v>
      </c>
      <c r="F56" s="25">
        <f>293*75/2000</f>
        <v>10.987500000000001</v>
      </c>
      <c r="G56" s="25">
        <f t="shared" si="0"/>
        <v>3698.9068085106387</v>
      </c>
      <c r="H56" s="25">
        <v>191</v>
      </c>
      <c r="I56" s="15">
        <f t="shared" si="1"/>
        <v>706491200.42553198</v>
      </c>
    </row>
    <row r="57" spans="1:9">
      <c r="A57" s="21" t="s">
        <v>1</v>
      </c>
      <c r="B57" s="23">
        <v>1995</v>
      </c>
      <c r="C57" s="24">
        <v>6.43</v>
      </c>
      <c r="D57" s="2">
        <v>0.50163627863487603</v>
      </c>
      <c r="E57" s="25">
        <v>75</v>
      </c>
      <c r="F57" s="25">
        <f>296*75/2000</f>
        <v>11.1</v>
      </c>
      <c r="G57" s="25">
        <f t="shared" si="0"/>
        <v>3794.1434482758623</v>
      </c>
      <c r="H57" s="25">
        <v>196</v>
      </c>
      <c r="I57" s="15">
        <f t="shared" si="1"/>
        <v>743652115.86206901</v>
      </c>
    </row>
    <row r="58" spans="1:9">
      <c r="A58" s="21" t="s">
        <v>1</v>
      </c>
      <c r="B58" s="23">
        <v>1996</v>
      </c>
      <c r="C58" s="24">
        <v>7.11</v>
      </c>
      <c r="D58" s="2">
        <v>0.60028050490883589</v>
      </c>
      <c r="E58" s="25">
        <v>75</v>
      </c>
      <c r="F58" s="25">
        <f>320*75/2000</f>
        <v>12</v>
      </c>
      <c r="G58" s="25">
        <f t="shared" si="0"/>
        <v>3790.2280373831782</v>
      </c>
      <c r="H58" s="25">
        <v>200</v>
      </c>
      <c r="I58" s="15">
        <f t="shared" si="1"/>
        <v>758045607.47663558</v>
      </c>
    </row>
    <row r="59" spans="1:9">
      <c r="A59" s="21" t="s">
        <v>1</v>
      </c>
      <c r="B59" s="23">
        <v>1997</v>
      </c>
      <c r="C59" s="24">
        <v>6.89</v>
      </c>
      <c r="D59" s="2">
        <v>0.52267414679756896</v>
      </c>
      <c r="E59" s="25">
        <v>75</v>
      </c>
      <c r="F59" s="25">
        <f>341*75/2000</f>
        <v>12.7875</v>
      </c>
      <c r="G59" s="25">
        <f t="shared" si="0"/>
        <v>4495.1333720930224</v>
      </c>
      <c r="H59" s="25">
        <v>202.2</v>
      </c>
      <c r="I59" s="15">
        <f t="shared" si="1"/>
        <v>908915967.83720911</v>
      </c>
    </row>
    <row r="60" spans="1:9">
      <c r="A60" s="21" t="s">
        <v>1</v>
      </c>
      <c r="B60" s="23">
        <v>1998</v>
      </c>
      <c r="C60" s="24">
        <v>8.99</v>
      </c>
      <c r="D60" s="2">
        <v>0.51425899953249177</v>
      </c>
      <c r="E60" s="25">
        <v>75</v>
      </c>
      <c r="F60" s="25">
        <f>177*75/2000</f>
        <v>6.6375000000000002</v>
      </c>
      <c r="G60" s="25">
        <f t="shared" si="0"/>
        <v>3094.2190636363644</v>
      </c>
      <c r="H60" s="25">
        <v>203.5</v>
      </c>
      <c r="I60" s="15">
        <f t="shared" si="1"/>
        <v>629673579.45000017</v>
      </c>
    </row>
    <row r="61" spans="1:9">
      <c r="A61" s="21" t="s">
        <v>1</v>
      </c>
      <c r="B61" s="23">
        <v>1999</v>
      </c>
      <c r="C61" s="24">
        <v>3.13</v>
      </c>
      <c r="D61" s="2">
        <v>0.74146797568957457</v>
      </c>
      <c r="E61" s="25">
        <v>75</v>
      </c>
      <c r="F61" s="25">
        <f>322*75/2000</f>
        <v>12.074999999999999</v>
      </c>
      <c r="G61" s="25">
        <f t="shared" si="0"/>
        <v>1359.2765069356874</v>
      </c>
      <c r="H61" s="25">
        <v>199</v>
      </c>
      <c r="I61" s="15">
        <f t="shared" si="1"/>
        <v>270496024.88020182</v>
      </c>
    </row>
    <row r="62" spans="1:9">
      <c r="A62" s="21" t="s">
        <v>1</v>
      </c>
      <c r="B62" s="23">
        <v>2000</v>
      </c>
      <c r="C62" s="24">
        <v>7.12</v>
      </c>
      <c r="D62" s="2">
        <v>0.45067788686302013</v>
      </c>
      <c r="E62" s="25">
        <v>75</v>
      </c>
      <c r="F62" s="25">
        <f>275*75/2000</f>
        <v>10.3125</v>
      </c>
      <c r="G62" s="25">
        <f t="shared" si="0"/>
        <v>4344.5663900414938</v>
      </c>
      <c r="H62" s="25">
        <v>198</v>
      </c>
      <c r="I62" s="15">
        <f t="shared" si="1"/>
        <v>860224145.22821569</v>
      </c>
    </row>
    <row r="63" spans="1:9">
      <c r="A63" s="21" t="s">
        <v>1</v>
      </c>
      <c r="B63" s="23">
        <v>2001</v>
      </c>
      <c r="C63" s="24">
        <v>8.49</v>
      </c>
      <c r="D63" s="2">
        <v>0.58765778401122015</v>
      </c>
      <c r="E63" s="25">
        <v>75</v>
      </c>
      <c r="F63" s="25">
        <f>264*75/2000</f>
        <v>9.9</v>
      </c>
      <c r="G63" s="25">
        <f t="shared" si="0"/>
        <v>3814.0565155131271</v>
      </c>
      <c r="H63" s="25">
        <v>195</v>
      </c>
      <c r="I63" s="15">
        <f t="shared" si="1"/>
        <v>743741020.52505982</v>
      </c>
    </row>
    <row r="64" spans="1:9">
      <c r="A64" s="21" t="s">
        <v>1</v>
      </c>
      <c r="B64" s="23">
        <v>2002</v>
      </c>
      <c r="C64" s="24">
        <v>5.09</v>
      </c>
      <c r="D64" s="2">
        <v>0.61524076671341743</v>
      </c>
      <c r="E64" s="25">
        <v>75</v>
      </c>
      <c r="F64" s="25">
        <f>313*75/2000</f>
        <v>11.737500000000001</v>
      </c>
      <c r="G64" s="25">
        <f t="shared" si="0"/>
        <v>2589.5065577507598</v>
      </c>
      <c r="H64" s="25">
        <v>198</v>
      </c>
      <c r="I64" s="15">
        <f t="shared" si="1"/>
        <v>512722298.43465048</v>
      </c>
    </row>
    <row r="65" spans="1:9">
      <c r="A65" s="21" t="s">
        <v>1</v>
      </c>
      <c r="B65" s="23">
        <v>2003</v>
      </c>
      <c r="C65" s="24">
        <v>8.65</v>
      </c>
      <c r="D65" s="2">
        <v>0.49041608228143996</v>
      </c>
      <c r="E65" s="25">
        <v>75</v>
      </c>
      <c r="F65" s="25">
        <f>262*75/2000</f>
        <v>9.8249999999999993</v>
      </c>
      <c r="G65" s="25">
        <f t="shared" si="0"/>
        <v>4621.1779790276451</v>
      </c>
      <c r="H65" s="25">
        <v>193</v>
      </c>
      <c r="I65" s="15">
        <f t="shared" si="1"/>
        <v>891887349.95233548</v>
      </c>
    </row>
    <row r="66" spans="1:9">
      <c r="A66" s="21" t="s">
        <v>1</v>
      </c>
      <c r="B66" s="23">
        <v>2004</v>
      </c>
      <c r="C66" s="24">
        <v>6.95</v>
      </c>
      <c r="D66" s="2">
        <v>0.70453482935951373</v>
      </c>
      <c r="E66" s="25">
        <v>75</v>
      </c>
      <c r="F66" s="25">
        <f>338*75/2000</f>
        <v>12.675000000000001</v>
      </c>
      <c r="G66" s="25">
        <f t="shared" si="0"/>
        <v>3334.2567352355672</v>
      </c>
      <c r="H66" s="25">
        <v>191</v>
      </c>
      <c r="I66" s="15">
        <f t="shared" si="1"/>
        <v>636843036.42999339</v>
      </c>
    </row>
    <row r="67" spans="1:9">
      <c r="A67" s="21" t="s">
        <v>1</v>
      </c>
      <c r="B67" s="23">
        <v>2005</v>
      </c>
      <c r="C67" s="24">
        <v>7.92</v>
      </c>
      <c r="D67" s="2">
        <v>0.66245909303412798</v>
      </c>
      <c r="E67" s="25">
        <v>75</v>
      </c>
      <c r="F67" s="25">
        <f>321*75/2000</f>
        <v>12.0375</v>
      </c>
      <c r="G67" s="25">
        <f t="shared" ref="G67:G130" si="2">((C67/D67)/E67)*(F67*2000)</f>
        <v>3837.7011150317576</v>
      </c>
      <c r="H67" s="25">
        <v>190</v>
      </c>
      <c r="I67" s="15">
        <f t="shared" ref="I67:I130" si="3">G67*H67*1000</f>
        <v>729163211.85603392</v>
      </c>
    </row>
    <row r="68" spans="1:9">
      <c r="A68" s="21" t="s">
        <v>1</v>
      </c>
      <c r="B68" s="23">
        <v>2006</v>
      </c>
      <c r="C68" s="24">
        <v>8.76</v>
      </c>
      <c r="D68" s="2">
        <v>0.82328190743338003</v>
      </c>
      <c r="E68" s="25">
        <v>75</v>
      </c>
      <c r="F68" s="25">
        <f>242*75/2000</f>
        <v>9.0749999999999993</v>
      </c>
      <c r="G68" s="25">
        <f t="shared" si="2"/>
        <v>2574.9624531516183</v>
      </c>
      <c r="H68" s="25">
        <v>190</v>
      </c>
      <c r="I68" s="15">
        <f t="shared" si="3"/>
        <v>489242866.09880751</v>
      </c>
    </row>
    <row r="69" spans="1:9">
      <c r="A69" s="21" t="s">
        <v>1</v>
      </c>
      <c r="B69" s="23">
        <v>2007</v>
      </c>
      <c r="C69" s="24">
        <v>7.26</v>
      </c>
      <c r="D69" s="2">
        <v>0.85273492286115005</v>
      </c>
      <c r="E69" s="25">
        <v>75</v>
      </c>
      <c r="F69" s="25">
        <f>330*75/2000</f>
        <v>12.375</v>
      </c>
      <c r="G69" s="25">
        <f t="shared" si="2"/>
        <v>2809.5483552631576</v>
      </c>
      <c r="H69" s="25">
        <v>188</v>
      </c>
      <c r="I69" s="15">
        <f t="shared" si="3"/>
        <v>528195090.78947359</v>
      </c>
    </row>
    <row r="70" spans="1:9">
      <c r="A70" s="21" t="s">
        <v>1</v>
      </c>
      <c r="B70" s="23">
        <v>2008</v>
      </c>
      <c r="C70" s="24">
        <v>10.199999999999999</v>
      </c>
      <c r="D70" s="2">
        <v>0.73352033660589055</v>
      </c>
      <c r="E70" s="25">
        <v>75</v>
      </c>
      <c r="F70" s="25">
        <f>250*75/2000</f>
        <v>9.375</v>
      </c>
      <c r="G70" s="25">
        <f t="shared" si="2"/>
        <v>3476.3862332695985</v>
      </c>
      <c r="H70" s="25">
        <v>186</v>
      </c>
      <c r="I70" s="15">
        <f t="shared" si="3"/>
        <v>646607839.38814533</v>
      </c>
    </row>
    <row r="71" spans="1:9">
      <c r="A71" s="21" t="s">
        <v>1</v>
      </c>
      <c r="B71" s="23">
        <v>2009</v>
      </c>
      <c r="C71" s="24">
        <v>9.8800000000000008</v>
      </c>
      <c r="D71" s="2">
        <v>0.76811594202898559</v>
      </c>
      <c r="E71" s="25">
        <v>75</v>
      </c>
      <c r="F71" s="25">
        <f>314*75/2000</f>
        <v>11.775</v>
      </c>
      <c r="G71" s="25">
        <f t="shared" si="2"/>
        <v>4038.8694339622639</v>
      </c>
      <c r="H71" s="25">
        <v>183</v>
      </c>
      <c r="I71" s="15">
        <f t="shared" si="3"/>
        <v>739113106.41509438</v>
      </c>
    </row>
    <row r="72" spans="1:9">
      <c r="A72" s="21" t="s">
        <v>1</v>
      </c>
      <c r="B72" s="23">
        <v>2010</v>
      </c>
      <c r="C72" s="24">
        <v>8.0500000000000007</v>
      </c>
      <c r="D72" s="2">
        <v>0.76577840112201967</v>
      </c>
      <c r="E72" s="25">
        <v>80</v>
      </c>
      <c r="F72" s="25">
        <f>347*80/2000</f>
        <v>13.88</v>
      </c>
      <c r="G72" s="25">
        <f t="shared" si="2"/>
        <v>3647.7262820512819</v>
      </c>
      <c r="H72" s="25">
        <v>180</v>
      </c>
      <c r="I72" s="15">
        <f t="shared" si="3"/>
        <v>656590730.76923072</v>
      </c>
    </row>
    <row r="73" spans="1:9">
      <c r="A73" s="21" t="s">
        <v>1</v>
      </c>
      <c r="B73" s="23">
        <v>2011</v>
      </c>
      <c r="C73" s="24">
        <v>10.7</v>
      </c>
      <c r="D73" s="2">
        <v>0.74801309022907903</v>
      </c>
      <c r="E73" s="25">
        <v>80</v>
      </c>
      <c r="F73" s="25">
        <f>328*80/2000</f>
        <v>13.12</v>
      </c>
      <c r="G73" s="25">
        <f t="shared" si="2"/>
        <v>4691.8964999999998</v>
      </c>
      <c r="H73" s="25">
        <v>177</v>
      </c>
      <c r="I73" s="15">
        <f t="shared" si="3"/>
        <v>830465680.5</v>
      </c>
    </row>
    <row r="74" spans="1:9">
      <c r="A74" s="21" t="s">
        <v>1</v>
      </c>
      <c r="B74" s="23">
        <v>2012</v>
      </c>
      <c r="C74" s="24">
        <v>10.52</v>
      </c>
      <c r="D74" s="2">
        <v>0.80785413744740531</v>
      </c>
      <c r="E74" s="25">
        <v>80</v>
      </c>
      <c r="F74" s="25">
        <f>319*80/2000</f>
        <v>12.76</v>
      </c>
      <c r="G74" s="25">
        <f t="shared" si="2"/>
        <v>4154.0667361111109</v>
      </c>
      <c r="H74" s="25">
        <v>171</v>
      </c>
      <c r="I74" s="15">
        <f t="shared" si="3"/>
        <v>710345411.875</v>
      </c>
    </row>
    <row r="75" spans="1:9">
      <c r="A75" s="21" t="s">
        <v>1</v>
      </c>
      <c r="B75" s="23">
        <v>2013</v>
      </c>
      <c r="C75" s="24">
        <v>16.440000000000001</v>
      </c>
      <c r="D75" s="2">
        <v>0.81954184198223468</v>
      </c>
      <c r="E75" s="25">
        <v>80</v>
      </c>
      <c r="F75" s="25">
        <f>298*80/2000</f>
        <v>11.92</v>
      </c>
      <c r="G75" s="25">
        <f t="shared" si="2"/>
        <v>5977.8766001140903</v>
      </c>
      <c r="H75" s="25">
        <v>166</v>
      </c>
      <c r="I75" s="15">
        <f t="shared" si="3"/>
        <v>992327515.61893892</v>
      </c>
    </row>
    <row r="76" spans="1:9">
      <c r="A76" s="21" t="s">
        <v>1</v>
      </c>
      <c r="B76" s="23">
        <v>2014</v>
      </c>
      <c r="C76" s="24">
        <v>13.4</v>
      </c>
      <c r="D76" s="2">
        <v>1.0032725572697521</v>
      </c>
      <c r="E76" s="25">
        <v>80</v>
      </c>
      <c r="F76" s="25">
        <f>296*80/2000</f>
        <v>11.84</v>
      </c>
      <c r="G76" s="25">
        <f t="shared" si="2"/>
        <v>3953.462068965518</v>
      </c>
      <c r="H76" s="25">
        <v>163</v>
      </c>
      <c r="I76" s="15">
        <f t="shared" si="3"/>
        <v>644414317.24137938</v>
      </c>
    </row>
    <row r="77" spans="1:9">
      <c r="A77" s="21" t="s">
        <v>1</v>
      </c>
      <c r="B77" s="23">
        <v>2015</v>
      </c>
      <c r="C77" s="24">
        <v>11.42</v>
      </c>
      <c r="D77" s="2">
        <v>1</v>
      </c>
      <c r="E77" s="25">
        <v>80</v>
      </c>
      <c r="F77" s="25">
        <f>373*80/2000</f>
        <v>14.92</v>
      </c>
      <c r="G77" s="25">
        <f t="shared" si="2"/>
        <v>4259.66</v>
      </c>
      <c r="H77" s="25">
        <v>157</v>
      </c>
      <c r="I77" s="15">
        <f t="shared" si="3"/>
        <v>668766620</v>
      </c>
    </row>
    <row r="78" spans="1:9">
      <c r="A78" s="21" t="s">
        <v>1</v>
      </c>
      <c r="B78" s="23">
        <v>2016</v>
      </c>
      <c r="C78" s="24">
        <v>15.65</v>
      </c>
      <c r="D78" s="2">
        <v>1.1813931743805515</v>
      </c>
      <c r="E78" s="25">
        <v>80</v>
      </c>
      <c r="F78" s="25">
        <f>318*80/2000</f>
        <v>12.72</v>
      </c>
      <c r="G78" s="25">
        <f t="shared" si="2"/>
        <v>4212.5687772061738</v>
      </c>
      <c r="H78" s="25">
        <v>152</v>
      </c>
      <c r="I78" s="15">
        <f t="shared" si="3"/>
        <v>640310454.13533843</v>
      </c>
    </row>
    <row r="79" spans="1:9">
      <c r="A79" s="21" t="s">
        <v>1</v>
      </c>
      <c r="B79" s="23">
        <v>2017</v>
      </c>
      <c r="C79" s="24">
        <v>21.94</v>
      </c>
      <c r="D79" s="2">
        <v>1.4385226741467976</v>
      </c>
      <c r="E79" s="25">
        <v>80</v>
      </c>
      <c r="F79" s="25">
        <f>301*80/2000</f>
        <v>12.04</v>
      </c>
      <c r="G79" s="25">
        <f t="shared" si="2"/>
        <v>4590.7792200194999</v>
      </c>
      <c r="H79" s="25">
        <v>147</v>
      </c>
      <c r="I79" s="15">
        <f t="shared" si="3"/>
        <v>674844545.34286642</v>
      </c>
    </row>
    <row r="80" spans="1:9">
      <c r="A80" s="21" t="s">
        <v>1</v>
      </c>
      <c r="B80" s="23">
        <v>2018</v>
      </c>
      <c r="C80" s="24">
        <v>10.53</v>
      </c>
      <c r="D80" s="2">
        <v>1.5455820476858346</v>
      </c>
      <c r="E80" s="25">
        <v>80</v>
      </c>
      <c r="F80" s="25">
        <f>355*80/2000</f>
        <v>14.2</v>
      </c>
      <c r="G80" s="25">
        <f t="shared" si="2"/>
        <v>2418.603402903811</v>
      </c>
      <c r="H80" s="25">
        <v>147</v>
      </c>
      <c r="I80" s="15">
        <f t="shared" si="3"/>
        <v>355534700.22686023</v>
      </c>
    </row>
    <row r="81" spans="1:9">
      <c r="A81" s="22" t="s">
        <v>1</v>
      </c>
      <c r="B81" s="14">
        <v>2019</v>
      </c>
      <c r="C81" s="11">
        <v>12.67</v>
      </c>
      <c r="D81" s="3">
        <v>1.1491351098644227</v>
      </c>
      <c r="E81" s="3">
        <v>80</v>
      </c>
      <c r="F81" s="3">
        <f>368*80/2000</f>
        <v>14.72</v>
      </c>
      <c r="G81" s="3">
        <f t="shared" si="2"/>
        <v>4057.451521562245</v>
      </c>
      <c r="H81" s="3">
        <v>145</v>
      </c>
      <c r="I81" s="16">
        <f t="shared" si="3"/>
        <v>588330470.62652564</v>
      </c>
    </row>
    <row r="82" spans="1:9">
      <c r="A82" s="21" t="s">
        <v>2</v>
      </c>
      <c r="B82" s="23">
        <v>1980</v>
      </c>
      <c r="C82" s="24">
        <v>3.76</v>
      </c>
      <c r="D82" s="2">
        <v>0.4731182795698925</v>
      </c>
      <c r="E82" s="25">
        <v>85</v>
      </c>
      <c r="F82" s="25">
        <v>7.2727272727272725</v>
      </c>
      <c r="G82" s="25">
        <f t="shared" si="2"/>
        <v>1359.961108410306</v>
      </c>
      <c r="H82" s="25">
        <v>25.3</v>
      </c>
      <c r="I82" s="15">
        <f t="shared" si="3"/>
        <v>34407016.042780742</v>
      </c>
    </row>
    <row r="83" spans="1:9">
      <c r="A83" s="21" t="s">
        <v>2</v>
      </c>
      <c r="B83" s="23">
        <v>1981</v>
      </c>
      <c r="C83" s="24">
        <v>3.69</v>
      </c>
      <c r="D83" s="2">
        <v>0.47218326320710613</v>
      </c>
      <c r="E83" s="25">
        <v>85</v>
      </c>
      <c r="F83" s="25">
        <v>10.632911392405063</v>
      </c>
      <c r="G83" s="25">
        <f t="shared" si="2"/>
        <v>1955.1453152761292</v>
      </c>
      <c r="H83" s="25">
        <v>23.7</v>
      </c>
      <c r="I83" s="15">
        <f t="shared" si="3"/>
        <v>46336943.972044259</v>
      </c>
    </row>
    <row r="84" spans="1:9">
      <c r="A84" s="21" t="s">
        <v>2</v>
      </c>
      <c r="B84" s="23">
        <v>1982</v>
      </c>
      <c r="C84" s="24">
        <v>3.65</v>
      </c>
      <c r="D84" s="2">
        <v>0.46750818139317435</v>
      </c>
      <c r="E84" s="25">
        <v>85</v>
      </c>
      <c r="F84" s="25">
        <v>10.041666666666666</v>
      </c>
      <c r="G84" s="25">
        <f t="shared" si="2"/>
        <v>1844.6777941176472</v>
      </c>
      <c r="H84" s="25">
        <v>24</v>
      </c>
      <c r="I84" s="15">
        <f t="shared" si="3"/>
        <v>44272267.058823533</v>
      </c>
    </row>
    <row r="85" spans="1:9">
      <c r="A85" s="21" t="s">
        <v>2</v>
      </c>
      <c r="B85" s="23">
        <v>1983</v>
      </c>
      <c r="C85" s="24">
        <v>3.41</v>
      </c>
      <c r="D85" s="2">
        <v>0.47078073866292658</v>
      </c>
      <c r="E85" s="25">
        <v>85</v>
      </c>
      <c r="F85" s="25">
        <v>4.4032921810699586</v>
      </c>
      <c r="G85" s="25">
        <f t="shared" si="2"/>
        <v>750.45432877627127</v>
      </c>
      <c r="H85" s="25">
        <v>24.3</v>
      </c>
      <c r="I85" s="15">
        <f t="shared" si="3"/>
        <v>18236040.189263392</v>
      </c>
    </row>
    <row r="86" spans="1:9">
      <c r="A86" s="21" t="s">
        <v>2</v>
      </c>
      <c r="B86" s="23">
        <v>1984</v>
      </c>
      <c r="C86" s="26" t="e">
        <v>#N/A</v>
      </c>
      <c r="D86" s="2">
        <v>0.48948106591865359</v>
      </c>
      <c r="E86" s="25">
        <v>85</v>
      </c>
      <c r="F86" s="26" t="e">
        <v>#N/A</v>
      </c>
      <c r="G86" s="25" t="e">
        <f t="shared" si="2"/>
        <v>#N/A</v>
      </c>
      <c r="H86" s="25">
        <v>11.4</v>
      </c>
      <c r="I86" s="15" t="e">
        <f t="shared" si="3"/>
        <v>#N/A</v>
      </c>
    </row>
    <row r="87" spans="1:9">
      <c r="A87" s="21" t="s">
        <v>2</v>
      </c>
      <c r="B87" s="23">
        <v>1985</v>
      </c>
      <c r="C87" s="24">
        <v>8.89</v>
      </c>
      <c r="D87" s="2">
        <v>0.55352968676951853</v>
      </c>
      <c r="E87" s="25">
        <v>85</v>
      </c>
      <c r="F87" s="25">
        <v>1.6867469879518071</v>
      </c>
      <c r="G87" s="25">
        <f t="shared" si="2"/>
        <v>637.41437929779522</v>
      </c>
      <c r="H87" s="25">
        <v>8.3000000000000007</v>
      </c>
      <c r="I87" s="15">
        <f t="shared" si="3"/>
        <v>5290539.3481717007</v>
      </c>
    </row>
    <row r="88" spans="1:9">
      <c r="A88" s="21" t="s">
        <v>2</v>
      </c>
      <c r="B88" s="23">
        <v>1986</v>
      </c>
      <c r="C88" s="24">
        <v>7.15</v>
      </c>
      <c r="D88" s="2">
        <v>0.53669939223936414</v>
      </c>
      <c r="E88" s="25">
        <v>85</v>
      </c>
      <c r="F88" s="25">
        <v>3.5922330097087376</v>
      </c>
      <c r="G88" s="25">
        <f t="shared" si="2"/>
        <v>1126.0314165922111</v>
      </c>
      <c r="H88" s="25">
        <v>10.3</v>
      </c>
      <c r="I88" s="15">
        <f t="shared" si="3"/>
        <v>11598123.590899775</v>
      </c>
    </row>
    <row r="89" spans="1:9">
      <c r="A89" s="21" t="s">
        <v>2</v>
      </c>
      <c r="B89" s="23">
        <v>1987</v>
      </c>
      <c r="C89" s="24">
        <v>7.53</v>
      </c>
      <c r="D89" s="2">
        <v>0.58859280037400652</v>
      </c>
      <c r="E89" s="25">
        <v>85</v>
      </c>
      <c r="F89" s="25">
        <v>5.4954954954954953</v>
      </c>
      <c r="G89" s="25">
        <f t="shared" si="2"/>
        <v>1654.237862588094</v>
      </c>
      <c r="H89" s="25">
        <v>11.1</v>
      </c>
      <c r="I89" s="15">
        <f t="shared" si="3"/>
        <v>18362040.274727844</v>
      </c>
    </row>
    <row r="90" spans="1:9">
      <c r="A90" s="21" t="s">
        <v>2</v>
      </c>
      <c r="B90" s="23">
        <v>1988</v>
      </c>
      <c r="C90" s="24">
        <v>6.4</v>
      </c>
      <c r="D90" s="2">
        <v>0.66386161757830764</v>
      </c>
      <c r="E90" s="25">
        <v>85</v>
      </c>
      <c r="F90" s="25">
        <v>6.583333333333333</v>
      </c>
      <c r="G90" s="25">
        <f t="shared" si="2"/>
        <v>1493.3421706710853</v>
      </c>
      <c r="H90" s="25">
        <v>12</v>
      </c>
      <c r="I90" s="15">
        <f t="shared" si="3"/>
        <v>17920106.048053026</v>
      </c>
    </row>
    <row r="91" spans="1:9">
      <c r="A91" s="21" t="s">
        <v>2</v>
      </c>
      <c r="B91" s="23">
        <v>1989</v>
      </c>
      <c r="C91" s="24">
        <v>5.71</v>
      </c>
      <c r="D91" s="2">
        <v>0.63581112669471718</v>
      </c>
      <c r="E91" s="25">
        <v>85</v>
      </c>
      <c r="F91" s="25">
        <v>3.9230769230769229</v>
      </c>
      <c r="G91" s="25">
        <f t="shared" si="2"/>
        <v>828.98348416289582</v>
      </c>
      <c r="H91" s="25">
        <v>13</v>
      </c>
      <c r="I91" s="15">
        <f t="shared" si="3"/>
        <v>10776785.294117646</v>
      </c>
    </row>
    <row r="92" spans="1:9">
      <c r="A92" s="21" t="s">
        <v>2</v>
      </c>
      <c r="B92" s="23">
        <v>1990</v>
      </c>
      <c r="C92" s="26" t="e">
        <v>#N/A</v>
      </c>
      <c r="D92" s="2">
        <v>0.70500233754090702</v>
      </c>
      <c r="E92" s="25">
        <v>85</v>
      </c>
      <c r="F92" s="26" t="e">
        <v>#N/A</v>
      </c>
      <c r="G92" s="25" t="e">
        <f t="shared" si="2"/>
        <v>#N/A</v>
      </c>
      <c r="H92" s="25">
        <v>3.5</v>
      </c>
      <c r="I92" s="15" t="e">
        <f t="shared" si="3"/>
        <v>#N/A</v>
      </c>
    </row>
    <row r="93" spans="1:9">
      <c r="A93" s="21" t="s">
        <v>2</v>
      </c>
      <c r="B93" s="23">
        <v>1991</v>
      </c>
      <c r="C93" s="24">
        <v>12.77</v>
      </c>
      <c r="D93" s="2">
        <v>0.95745675549322118</v>
      </c>
      <c r="E93" s="25">
        <v>85</v>
      </c>
      <c r="F93" s="25">
        <f>9*85/2000</f>
        <v>0.38250000000000001</v>
      </c>
      <c r="G93" s="25">
        <f t="shared" si="2"/>
        <v>120.03675292968751</v>
      </c>
      <c r="H93" s="25">
        <v>3.5</v>
      </c>
      <c r="I93" s="15">
        <f t="shared" si="3"/>
        <v>420128.63525390631</v>
      </c>
    </row>
    <row r="94" spans="1:9">
      <c r="A94" s="21" t="s">
        <v>2</v>
      </c>
      <c r="B94" s="23">
        <v>1992</v>
      </c>
      <c r="C94" s="24">
        <v>6.23</v>
      </c>
      <c r="D94" s="2">
        <v>0.48574100046750818</v>
      </c>
      <c r="E94" s="25">
        <v>85</v>
      </c>
      <c r="F94" s="25">
        <f>115*85/2000</f>
        <v>4.8875000000000002</v>
      </c>
      <c r="G94" s="25">
        <f t="shared" si="2"/>
        <v>1474.9629932627527</v>
      </c>
      <c r="H94" s="25">
        <v>4.42</v>
      </c>
      <c r="I94" s="15">
        <f t="shared" si="3"/>
        <v>6519336.4302213667</v>
      </c>
    </row>
    <row r="95" spans="1:9">
      <c r="A95" s="21" t="s">
        <v>2</v>
      </c>
      <c r="B95" s="23">
        <v>1993</v>
      </c>
      <c r="C95" s="24">
        <v>7.85</v>
      </c>
      <c r="D95" s="2">
        <v>0.51753155680224405</v>
      </c>
      <c r="E95" s="25">
        <v>85</v>
      </c>
      <c r="F95" s="25">
        <f>101*85/2000</f>
        <v>4.2925000000000004</v>
      </c>
      <c r="G95" s="25">
        <f t="shared" si="2"/>
        <v>1531.9838753387535</v>
      </c>
      <c r="H95" s="25">
        <v>5.45</v>
      </c>
      <c r="I95" s="15">
        <f t="shared" si="3"/>
        <v>8349312.1205962067</v>
      </c>
    </row>
    <row r="96" spans="1:9">
      <c r="A96" s="21" t="s">
        <v>2</v>
      </c>
      <c r="B96" s="23">
        <v>1994</v>
      </c>
      <c r="C96" s="24">
        <v>3.43</v>
      </c>
      <c r="D96" s="2">
        <v>0.5053763440860215</v>
      </c>
      <c r="E96" s="25">
        <v>85</v>
      </c>
      <c r="F96" s="25">
        <f>151*85/2000</f>
        <v>6.4175000000000004</v>
      </c>
      <c r="G96" s="25">
        <f t="shared" si="2"/>
        <v>1024.8402127659576</v>
      </c>
      <c r="H96" s="25">
        <v>6.97</v>
      </c>
      <c r="I96" s="15">
        <f t="shared" si="3"/>
        <v>7143136.2829787238</v>
      </c>
    </row>
    <row r="97" spans="1:9">
      <c r="A97" s="21" t="s">
        <v>2</v>
      </c>
      <c r="B97" s="23">
        <v>1995</v>
      </c>
      <c r="C97" s="24">
        <v>6.64</v>
      </c>
      <c r="D97" s="2">
        <v>0.50163627863487603</v>
      </c>
      <c r="E97" s="25">
        <v>85</v>
      </c>
      <c r="F97" s="25">
        <f>120*85/2000</f>
        <v>5.0999999999999996</v>
      </c>
      <c r="G97" s="25">
        <f t="shared" si="2"/>
        <v>1588.4018639328988</v>
      </c>
      <c r="H97" s="25">
        <v>7.9</v>
      </c>
      <c r="I97" s="15">
        <f t="shared" si="3"/>
        <v>12548374.725069901</v>
      </c>
    </row>
    <row r="98" spans="1:9">
      <c r="A98" s="21" t="s">
        <v>2</v>
      </c>
      <c r="B98" s="23">
        <v>1996</v>
      </c>
      <c r="C98" s="24">
        <v>4.04</v>
      </c>
      <c r="D98" s="2">
        <v>0.60028050490883589</v>
      </c>
      <c r="E98" s="25">
        <v>85</v>
      </c>
      <c r="F98" s="25">
        <f>163*85/2000</f>
        <v>6.9275000000000002</v>
      </c>
      <c r="G98" s="25">
        <f t="shared" si="2"/>
        <v>1097.0204672897196</v>
      </c>
      <c r="H98" s="25">
        <v>8.6999999999999993</v>
      </c>
      <c r="I98" s="15">
        <f t="shared" si="3"/>
        <v>9544078.0654205587</v>
      </c>
    </row>
    <row r="99" spans="1:9">
      <c r="A99" s="21" t="s">
        <v>2</v>
      </c>
      <c r="B99" s="23">
        <v>1997</v>
      </c>
      <c r="C99" s="24">
        <v>2.56</v>
      </c>
      <c r="D99" s="2">
        <v>0.52267414679756896</v>
      </c>
      <c r="E99" s="25">
        <v>85</v>
      </c>
      <c r="F99" s="25">
        <f>161*85/2000</f>
        <v>6.8425000000000002</v>
      </c>
      <c r="G99" s="25">
        <f t="shared" si="2"/>
        <v>788.56014311270121</v>
      </c>
      <c r="H99" s="25">
        <v>9.5</v>
      </c>
      <c r="I99" s="15">
        <f t="shared" si="3"/>
        <v>7491321.3595706616</v>
      </c>
    </row>
    <row r="100" spans="1:9">
      <c r="A100" s="21" t="s">
        <v>2</v>
      </c>
      <c r="B100" s="23">
        <v>1998</v>
      </c>
      <c r="C100" s="24">
        <v>6.51</v>
      </c>
      <c r="D100" s="2">
        <v>0.51425899953249177</v>
      </c>
      <c r="E100" s="25">
        <v>85</v>
      </c>
      <c r="F100" s="25">
        <f>154*85/2000</f>
        <v>6.5449999999999999</v>
      </c>
      <c r="G100" s="25">
        <f t="shared" si="2"/>
        <v>1949.4846</v>
      </c>
      <c r="H100" s="25">
        <v>9.3000000000000007</v>
      </c>
      <c r="I100" s="15">
        <f t="shared" si="3"/>
        <v>18130206.780000001</v>
      </c>
    </row>
    <row r="101" spans="1:9">
      <c r="A101" s="21" t="s">
        <v>2</v>
      </c>
      <c r="B101" s="23">
        <v>1999</v>
      </c>
      <c r="C101" s="24">
        <v>4.84</v>
      </c>
      <c r="D101" s="2">
        <v>0.74146797568957457</v>
      </c>
      <c r="E101" s="25">
        <v>85</v>
      </c>
      <c r="F101" s="25">
        <f>178*85/2000</f>
        <v>7.5650000000000004</v>
      </c>
      <c r="G101" s="25">
        <f t="shared" si="2"/>
        <v>1161.9112736443883</v>
      </c>
      <c r="H101" s="25">
        <v>9.3000000000000007</v>
      </c>
      <c r="I101" s="15">
        <f t="shared" si="3"/>
        <v>10805774.844892813</v>
      </c>
    </row>
    <row r="102" spans="1:9">
      <c r="A102" s="21" t="s">
        <v>2</v>
      </c>
      <c r="B102" s="23">
        <v>2000</v>
      </c>
      <c r="C102" s="24">
        <v>1.2</v>
      </c>
      <c r="D102" s="2">
        <v>0.45067788686302013</v>
      </c>
      <c r="E102" s="25">
        <v>85</v>
      </c>
      <c r="F102" s="25">
        <f>240*85/2000</f>
        <v>10.199999999999999</v>
      </c>
      <c r="G102" s="25">
        <f t="shared" si="2"/>
        <v>639.03734439834022</v>
      </c>
      <c r="H102" s="25">
        <v>9.3000000000000007</v>
      </c>
      <c r="I102" s="15">
        <f t="shared" si="3"/>
        <v>5943047.302904564</v>
      </c>
    </row>
    <row r="103" spans="1:9">
      <c r="A103" s="21" t="s">
        <v>2</v>
      </c>
      <c r="B103" s="23">
        <v>2001</v>
      </c>
      <c r="C103" s="24">
        <v>3.35</v>
      </c>
      <c r="D103" s="2">
        <v>0.58765778401122015</v>
      </c>
      <c r="E103" s="25">
        <v>85</v>
      </c>
      <c r="F103" s="25">
        <f>187*85/2000</f>
        <v>7.9474999999999998</v>
      </c>
      <c r="G103" s="25">
        <f t="shared" si="2"/>
        <v>1066.0115751789979</v>
      </c>
      <c r="H103" s="25">
        <v>9.3000000000000007</v>
      </c>
      <c r="I103" s="15">
        <f t="shared" si="3"/>
        <v>9913907.6491646804</v>
      </c>
    </row>
    <row r="104" spans="1:9">
      <c r="A104" s="21" t="s">
        <v>2</v>
      </c>
      <c r="B104" s="23">
        <v>2002</v>
      </c>
      <c r="C104" s="24">
        <v>2.95</v>
      </c>
      <c r="D104" s="2">
        <v>0.61524076671341743</v>
      </c>
      <c r="E104" s="25">
        <v>85</v>
      </c>
      <c r="F104" s="25">
        <f>178*85/2000</f>
        <v>7.5650000000000004</v>
      </c>
      <c r="G104" s="25">
        <f t="shared" si="2"/>
        <v>853.48700607902742</v>
      </c>
      <c r="H104" s="25">
        <v>8.8000000000000007</v>
      </c>
      <c r="I104" s="15">
        <f t="shared" si="3"/>
        <v>7510685.6534954421</v>
      </c>
    </row>
    <row r="105" spans="1:9">
      <c r="A105" s="21" t="s">
        <v>2</v>
      </c>
      <c r="B105" s="23">
        <v>2003</v>
      </c>
      <c r="C105" s="24">
        <v>2.96</v>
      </c>
      <c r="D105" s="2">
        <v>0.49041608228143996</v>
      </c>
      <c r="E105" s="25">
        <v>85</v>
      </c>
      <c r="F105" s="25">
        <f>188*85/2000</f>
        <v>7.99</v>
      </c>
      <c r="G105" s="25">
        <f t="shared" si="2"/>
        <v>1134.7099332697808</v>
      </c>
      <c r="H105" s="25">
        <v>8.8000000000000007</v>
      </c>
      <c r="I105" s="15">
        <f t="shared" si="3"/>
        <v>9985447.412774073</v>
      </c>
    </row>
    <row r="106" spans="1:9">
      <c r="A106" s="21" t="s">
        <v>2</v>
      </c>
      <c r="B106" s="23">
        <v>2004</v>
      </c>
      <c r="C106" s="24">
        <v>5.41</v>
      </c>
      <c r="D106" s="2">
        <v>0.70453482935951373</v>
      </c>
      <c r="E106" s="25">
        <v>85</v>
      </c>
      <c r="F106" s="25">
        <f>201*85/2000</f>
        <v>8.5425000000000004</v>
      </c>
      <c r="G106" s="25">
        <f t="shared" si="2"/>
        <v>1543.4439216987396</v>
      </c>
      <c r="H106" s="25">
        <v>8.8000000000000007</v>
      </c>
      <c r="I106" s="15">
        <f t="shared" si="3"/>
        <v>13582306.510948909</v>
      </c>
    </row>
    <row r="107" spans="1:9">
      <c r="A107" s="21" t="s">
        <v>2</v>
      </c>
      <c r="B107" s="23">
        <v>2005</v>
      </c>
      <c r="C107" s="24">
        <v>5.23</v>
      </c>
      <c r="D107" s="2">
        <v>0.66245909303412798</v>
      </c>
      <c r="E107" s="25">
        <v>85</v>
      </c>
      <c r="F107" s="25">
        <f>182*85/2000</f>
        <v>7.7350000000000003</v>
      </c>
      <c r="G107" s="25">
        <f t="shared" si="2"/>
        <v>1436.8585321100923</v>
      </c>
      <c r="H107" s="25">
        <v>8.8000000000000007</v>
      </c>
      <c r="I107" s="15">
        <f t="shared" si="3"/>
        <v>12644355.082568813</v>
      </c>
    </row>
    <row r="108" spans="1:9">
      <c r="A108" s="21" t="s">
        <v>2</v>
      </c>
      <c r="B108" s="23">
        <v>2006</v>
      </c>
      <c r="C108" s="24">
        <v>10.79</v>
      </c>
      <c r="D108" s="2">
        <v>0.82328190743338003</v>
      </c>
      <c r="E108" s="25">
        <v>85</v>
      </c>
      <c r="F108" s="25">
        <f>225*85/2000</f>
        <v>9.5625</v>
      </c>
      <c r="G108" s="25">
        <f t="shared" si="2"/>
        <v>2948.8683986371379</v>
      </c>
      <c r="H108" s="25">
        <v>8.8000000000000007</v>
      </c>
      <c r="I108" s="15">
        <f t="shared" si="3"/>
        <v>25950041.908006817</v>
      </c>
    </row>
    <row r="109" spans="1:9">
      <c r="A109" s="21" t="s">
        <v>2</v>
      </c>
      <c r="B109" s="23">
        <v>2007</v>
      </c>
      <c r="C109" s="24">
        <v>3.9</v>
      </c>
      <c r="D109" s="2">
        <v>0.85273492286115005</v>
      </c>
      <c r="E109" s="25">
        <v>85</v>
      </c>
      <c r="F109" s="25">
        <f>211*85/2000</f>
        <v>8.9674999999999994</v>
      </c>
      <c r="G109" s="25">
        <f t="shared" si="2"/>
        <v>965.01266447368437</v>
      </c>
      <c r="H109" s="25">
        <v>8.5</v>
      </c>
      <c r="I109" s="15">
        <f t="shared" si="3"/>
        <v>8202607.6480263164</v>
      </c>
    </row>
    <row r="110" spans="1:9">
      <c r="A110" s="21" t="s">
        <v>2</v>
      </c>
      <c r="B110" s="23">
        <v>2008</v>
      </c>
      <c r="C110" s="24">
        <v>5.77</v>
      </c>
      <c r="D110" s="2">
        <v>0.73352033660589055</v>
      </c>
      <c r="E110" s="25">
        <v>85</v>
      </c>
      <c r="F110" s="25">
        <f>172*85/2000</f>
        <v>7.31</v>
      </c>
      <c r="G110" s="25">
        <f t="shared" si="2"/>
        <v>1352.9822562141492</v>
      </c>
      <c r="H110" s="25">
        <v>8.5</v>
      </c>
      <c r="I110" s="15">
        <f t="shared" si="3"/>
        <v>11500349.177820267</v>
      </c>
    </row>
    <row r="111" spans="1:9">
      <c r="A111" s="21" t="s">
        <v>2</v>
      </c>
      <c r="B111" s="23">
        <v>2009</v>
      </c>
      <c r="C111" s="24">
        <v>8.8000000000000007</v>
      </c>
      <c r="D111" s="2">
        <v>0.76811594202898559</v>
      </c>
      <c r="E111" s="25">
        <v>85</v>
      </c>
      <c r="F111" s="25">
        <f>204*85/2000</f>
        <v>8.67</v>
      </c>
      <c r="G111" s="25">
        <f t="shared" si="2"/>
        <v>2337.147169811321</v>
      </c>
      <c r="H111" s="25">
        <v>8</v>
      </c>
      <c r="I111" s="15">
        <f t="shared" si="3"/>
        <v>18697177.358490568</v>
      </c>
    </row>
    <row r="112" spans="1:9">
      <c r="A112" s="21" t="s">
        <v>2</v>
      </c>
      <c r="B112" s="23">
        <v>2010</v>
      </c>
      <c r="C112" s="24">
        <v>7.9</v>
      </c>
      <c r="D112" s="2">
        <v>0.76577840112201967</v>
      </c>
      <c r="E112" s="25">
        <v>85</v>
      </c>
      <c r="F112" s="25">
        <f>244*85/2000</f>
        <v>10.37</v>
      </c>
      <c r="G112" s="25">
        <f t="shared" si="2"/>
        <v>2517.1772893772891</v>
      </c>
      <c r="H112" s="25">
        <v>8</v>
      </c>
      <c r="I112" s="15">
        <f t="shared" si="3"/>
        <v>20137418.315018311</v>
      </c>
    </row>
    <row r="113" spans="1:9">
      <c r="A113" s="21" t="s">
        <v>2</v>
      </c>
      <c r="B113" s="23">
        <v>2011</v>
      </c>
      <c r="C113" s="24">
        <v>11.84</v>
      </c>
      <c r="D113" s="2">
        <v>0.74801309022907903</v>
      </c>
      <c r="E113" s="25">
        <v>85</v>
      </c>
      <c r="F113" s="25">
        <f>177*85/2000</f>
        <v>7.5225</v>
      </c>
      <c r="G113" s="25">
        <f t="shared" si="2"/>
        <v>2801.6622000000002</v>
      </c>
      <c r="H113" s="25">
        <v>8</v>
      </c>
      <c r="I113" s="15">
        <f t="shared" si="3"/>
        <v>22413297.600000001</v>
      </c>
    </row>
    <row r="114" spans="1:9">
      <c r="A114" s="21" t="s">
        <v>2</v>
      </c>
      <c r="B114" s="23">
        <v>2012</v>
      </c>
      <c r="C114" s="24">
        <v>10.44</v>
      </c>
      <c r="D114" s="2">
        <v>0.80785413744740531</v>
      </c>
      <c r="E114" s="25">
        <v>85</v>
      </c>
      <c r="F114" s="25">
        <f>256*85/2000</f>
        <v>10.88</v>
      </c>
      <c r="G114" s="25">
        <f t="shared" si="2"/>
        <v>3308.3199999999997</v>
      </c>
      <c r="H114" s="25">
        <v>7</v>
      </c>
      <c r="I114" s="15">
        <f t="shared" si="3"/>
        <v>23158239.999999996</v>
      </c>
    </row>
    <row r="115" spans="1:9">
      <c r="A115" s="21" t="s">
        <v>2</v>
      </c>
      <c r="B115" s="23">
        <v>2013</v>
      </c>
      <c r="C115" s="24">
        <v>11.4</v>
      </c>
      <c r="D115" s="2">
        <v>0.81954184198223468</v>
      </c>
      <c r="E115" s="25">
        <v>85</v>
      </c>
      <c r="F115" s="25">
        <f>250*85/2000</f>
        <v>10.625</v>
      </c>
      <c r="G115" s="25">
        <f t="shared" si="2"/>
        <v>3477.5527666856815</v>
      </c>
      <c r="H115" s="25">
        <v>7.1</v>
      </c>
      <c r="I115" s="15">
        <f t="shared" si="3"/>
        <v>24690624.643468339</v>
      </c>
    </row>
    <row r="116" spans="1:9">
      <c r="A116" s="21" t="s">
        <v>2</v>
      </c>
      <c r="B116" s="23">
        <v>2014</v>
      </c>
      <c r="C116" s="24">
        <v>9.56</v>
      </c>
      <c r="D116" s="2">
        <v>1.0032725572697521</v>
      </c>
      <c r="E116" s="25">
        <v>85</v>
      </c>
      <c r="F116" s="25">
        <f>196*85/2000</f>
        <v>8.33</v>
      </c>
      <c r="G116" s="25">
        <f t="shared" si="2"/>
        <v>1867.6480149114634</v>
      </c>
      <c r="H116" s="25">
        <v>7.4</v>
      </c>
      <c r="I116" s="15">
        <f t="shared" si="3"/>
        <v>13820595.31034483</v>
      </c>
    </row>
    <row r="117" spans="1:9">
      <c r="A117" s="21" t="s">
        <v>2</v>
      </c>
      <c r="B117" s="23">
        <v>2015</v>
      </c>
      <c r="C117" s="24">
        <v>16.13</v>
      </c>
      <c r="D117" s="2">
        <v>1</v>
      </c>
      <c r="E117" s="25">
        <v>85</v>
      </c>
      <c r="F117" s="25">
        <f>229*85/2000</f>
        <v>9.7324999999999999</v>
      </c>
      <c r="G117" s="25">
        <f t="shared" si="2"/>
        <v>3693.7699999999995</v>
      </c>
      <c r="H117" s="25">
        <v>7.4</v>
      </c>
      <c r="I117" s="15">
        <f t="shared" si="3"/>
        <v>27333897.999999996</v>
      </c>
    </row>
    <row r="118" spans="1:9">
      <c r="A118" s="21" t="s">
        <v>2</v>
      </c>
      <c r="B118" s="23">
        <v>2016</v>
      </c>
      <c r="C118" s="24">
        <v>15.93</v>
      </c>
      <c r="D118" s="2">
        <v>1.1813931743805515</v>
      </c>
      <c r="E118" s="25">
        <v>85</v>
      </c>
      <c r="F118" s="25">
        <f>171*85/2000</f>
        <v>7.2675000000000001</v>
      </c>
      <c r="G118" s="25">
        <f t="shared" si="2"/>
        <v>2305.7776691729327</v>
      </c>
      <c r="H118" s="25">
        <v>8</v>
      </c>
      <c r="I118" s="15">
        <f t="shared" si="3"/>
        <v>18446221.353383463</v>
      </c>
    </row>
    <row r="119" spans="1:9">
      <c r="A119" s="21" t="s">
        <v>2</v>
      </c>
      <c r="B119" s="23">
        <v>2017</v>
      </c>
      <c r="C119" s="24">
        <v>17.11</v>
      </c>
      <c r="D119" s="2">
        <v>1.4385226741467976</v>
      </c>
      <c r="E119" s="25">
        <v>85</v>
      </c>
      <c r="F119" s="25">
        <f>216*85/2000</f>
        <v>9.18</v>
      </c>
      <c r="G119" s="25">
        <f t="shared" si="2"/>
        <v>2569.1357296067595</v>
      </c>
      <c r="H119" s="25">
        <v>8.6999999999999993</v>
      </c>
      <c r="I119" s="15">
        <f t="shared" si="3"/>
        <v>22351480.847578805</v>
      </c>
    </row>
    <row r="120" spans="1:9">
      <c r="A120" s="21" t="s">
        <v>2</v>
      </c>
      <c r="B120" s="23">
        <v>2018</v>
      </c>
      <c r="C120" s="24">
        <v>8.1199999999999992</v>
      </c>
      <c r="D120" s="2">
        <v>1.5455820476858346</v>
      </c>
      <c r="E120" s="25">
        <v>85</v>
      </c>
      <c r="F120" s="25">
        <f>294*85/2000</f>
        <v>12.494999999999999</v>
      </c>
      <c r="G120" s="25">
        <f t="shared" si="2"/>
        <v>1544.5831578947368</v>
      </c>
      <c r="H120" s="25">
        <v>8.5</v>
      </c>
      <c r="I120" s="15">
        <f t="shared" si="3"/>
        <v>13128956.842105262</v>
      </c>
    </row>
    <row r="121" spans="1:9">
      <c r="A121" s="22" t="s">
        <v>2</v>
      </c>
      <c r="B121" s="14">
        <v>2019</v>
      </c>
      <c r="C121" s="11">
        <v>10.46</v>
      </c>
      <c r="D121" s="3">
        <v>1.1491351098644227</v>
      </c>
      <c r="E121" s="3">
        <v>85</v>
      </c>
      <c r="F121" s="3">
        <f>172*85/2000</f>
        <v>7.31</v>
      </c>
      <c r="G121" s="3">
        <f t="shared" si="2"/>
        <v>1565.6296501220506</v>
      </c>
      <c r="H121" s="3">
        <v>7.8</v>
      </c>
      <c r="I121" s="16">
        <f t="shared" si="3"/>
        <v>12211911.270951994</v>
      </c>
    </row>
    <row r="122" spans="1:9">
      <c r="A122" s="21" t="s">
        <v>3</v>
      </c>
      <c r="B122" s="23">
        <v>1980</v>
      </c>
      <c r="C122" s="24">
        <v>2.41</v>
      </c>
      <c r="D122" s="2">
        <v>0.4731182795698925</v>
      </c>
      <c r="E122" s="25">
        <v>75</v>
      </c>
      <c r="F122" s="25">
        <v>7.4242424242424248</v>
      </c>
      <c r="G122" s="25">
        <f t="shared" si="2"/>
        <v>1008.482093663912</v>
      </c>
      <c r="H122" s="25">
        <v>13.2</v>
      </c>
      <c r="I122" s="15">
        <f t="shared" si="3"/>
        <v>13311963.636363639</v>
      </c>
    </row>
    <row r="123" spans="1:9">
      <c r="A123" s="21" t="s">
        <v>3</v>
      </c>
      <c r="B123" s="23">
        <v>1981</v>
      </c>
      <c r="C123" s="24">
        <v>4.3099999999999996</v>
      </c>
      <c r="D123" s="2">
        <v>0.47218326320710613</v>
      </c>
      <c r="E123" s="25">
        <v>75</v>
      </c>
      <c r="F123" s="25">
        <v>8.4558823529411775</v>
      </c>
      <c r="G123" s="25">
        <f t="shared" si="2"/>
        <v>2058.2320908561446</v>
      </c>
      <c r="H123" s="25">
        <v>13.6</v>
      </c>
      <c r="I123" s="15">
        <f t="shared" si="3"/>
        <v>27991956.435643565</v>
      </c>
    </row>
    <row r="124" spans="1:9">
      <c r="A124" s="21" t="s">
        <v>3</v>
      </c>
      <c r="B124" s="23">
        <v>1982</v>
      </c>
      <c r="C124" s="24">
        <v>3.02</v>
      </c>
      <c r="D124" s="2">
        <v>0.46750818139317435</v>
      </c>
      <c r="E124" s="25">
        <v>75</v>
      </c>
      <c r="F124" s="25">
        <v>11.269841269841271</v>
      </c>
      <c r="G124" s="25">
        <f t="shared" si="2"/>
        <v>1941.3518730158733</v>
      </c>
      <c r="H124" s="25">
        <v>12.6</v>
      </c>
      <c r="I124" s="15">
        <f t="shared" si="3"/>
        <v>24461033.600000001</v>
      </c>
    </row>
    <row r="125" spans="1:9">
      <c r="A125" s="21" t="s">
        <v>3</v>
      </c>
      <c r="B125" s="23">
        <v>1983</v>
      </c>
      <c r="C125" s="24">
        <v>6.22</v>
      </c>
      <c r="D125" s="2">
        <v>0.47078073866292658</v>
      </c>
      <c r="E125" s="25">
        <v>75</v>
      </c>
      <c r="F125" s="25">
        <v>5.1587301587301591</v>
      </c>
      <c r="G125" s="25">
        <f t="shared" si="2"/>
        <v>1817.5369240711846</v>
      </c>
      <c r="H125" s="25">
        <v>12.6</v>
      </c>
      <c r="I125" s="15">
        <f t="shared" si="3"/>
        <v>22900965.243296925</v>
      </c>
    </row>
    <row r="126" spans="1:9">
      <c r="A126" s="21" t="s">
        <v>3</v>
      </c>
      <c r="B126" s="23">
        <v>1984</v>
      </c>
      <c r="C126" s="24">
        <v>7.72</v>
      </c>
      <c r="D126" s="2">
        <v>0.48948106591865359</v>
      </c>
      <c r="E126" s="25">
        <v>75</v>
      </c>
      <c r="F126" s="25">
        <v>7.0642201834862384</v>
      </c>
      <c r="G126" s="25">
        <f t="shared" si="2"/>
        <v>2971.0801153141783</v>
      </c>
      <c r="H126" s="25">
        <v>10.9</v>
      </c>
      <c r="I126" s="15">
        <f t="shared" si="3"/>
        <v>32384773.256924547</v>
      </c>
    </row>
    <row r="127" spans="1:9">
      <c r="A127" s="21" t="s">
        <v>3</v>
      </c>
      <c r="B127" s="23">
        <v>1985</v>
      </c>
      <c r="C127" s="24">
        <v>5.12</v>
      </c>
      <c r="D127" s="2">
        <v>0.55352968676951853</v>
      </c>
      <c r="E127" s="25">
        <v>75</v>
      </c>
      <c r="F127" s="25">
        <v>6.9090909090909092</v>
      </c>
      <c r="G127" s="25">
        <f t="shared" si="2"/>
        <v>1704.1926289926289</v>
      </c>
      <c r="H127" s="25">
        <v>11</v>
      </c>
      <c r="I127" s="15">
        <f t="shared" si="3"/>
        <v>18746118.918918919</v>
      </c>
    </row>
    <row r="128" spans="1:9">
      <c r="A128" s="21" t="s">
        <v>3</v>
      </c>
      <c r="B128" s="23">
        <v>1986</v>
      </c>
      <c r="C128" s="24">
        <v>4.5199999999999996</v>
      </c>
      <c r="D128" s="2">
        <v>0.53669939223936414</v>
      </c>
      <c r="E128" s="25">
        <v>75</v>
      </c>
      <c r="F128" s="25">
        <v>9.2660550458715587</v>
      </c>
      <c r="G128" s="25">
        <f t="shared" si="2"/>
        <v>2080.9945337723361</v>
      </c>
      <c r="H128" s="25">
        <v>10.9</v>
      </c>
      <c r="I128" s="15">
        <f t="shared" si="3"/>
        <v>22682840.418118462</v>
      </c>
    </row>
    <row r="129" spans="1:9">
      <c r="A129" s="21" t="s">
        <v>3</v>
      </c>
      <c r="B129" s="23">
        <v>1987</v>
      </c>
      <c r="C129" s="24">
        <v>6.45</v>
      </c>
      <c r="D129" s="2">
        <v>0.58859280037400652</v>
      </c>
      <c r="E129" s="25">
        <v>75</v>
      </c>
      <c r="F129" s="25">
        <v>6.4150943396226419</v>
      </c>
      <c r="G129" s="25">
        <f t="shared" si="2"/>
        <v>1874.634255998322</v>
      </c>
      <c r="H129" s="25">
        <v>10.6</v>
      </c>
      <c r="I129" s="15">
        <f t="shared" si="3"/>
        <v>19871123.113582212</v>
      </c>
    </row>
    <row r="130" spans="1:9">
      <c r="A130" s="21" t="s">
        <v>3</v>
      </c>
      <c r="B130" s="23">
        <v>1988</v>
      </c>
      <c r="C130" s="24">
        <v>6.97</v>
      </c>
      <c r="D130" s="2">
        <v>0.66386161757830764</v>
      </c>
      <c r="E130" s="25">
        <v>75</v>
      </c>
      <c r="F130" s="25">
        <v>6.1538461538461533</v>
      </c>
      <c r="G130" s="25">
        <f t="shared" si="2"/>
        <v>1722.9417118093172</v>
      </c>
      <c r="H130" s="25">
        <v>10.4</v>
      </c>
      <c r="I130" s="15">
        <f t="shared" si="3"/>
        <v>17918593.802816901</v>
      </c>
    </row>
    <row r="131" spans="1:9">
      <c r="A131" s="21" t="s">
        <v>3</v>
      </c>
      <c r="B131" s="23">
        <v>1989</v>
      </c>
      <c r="C131" s="24">
        <v>6.6</v>
      </c>
      <c r="D131" s="2">
        <v>0.63581112669471718</v>
      </c>
      <c r="E131" s="25">
        <v>75</v>
      </c>
      <c r="F131" s="25">
        <v>5.7843137254901968</v>
      </c>
      <c r="G131" s="25">
        <f t="shared" ref="G131:G161" si="4">((C131/D131)/E131)*(F131*2000)</f>
        <v>1601.1660899653978</v>
      </c>
      <c r="H131" s="25">
        <v>10.199999999999999</v>
      </c>
      <c r="I131" s="15">
        <f t="shared" ref="I131:I161" si="5">G131*H131*1000</f>
        <v>16331894.117647056</v>
      </c>
    </row>
    <row r="132" spans="1:9">
      <c r="A132" s="21" t="s">
        <v>3</v>
      </c>
      <c r="B132" s="23">
        <v>1990</v>
      </c>
      <c r="C132" s="24">
        <v>15.85</v>
      </c>
      <c r="D132" s="2">
        <v>0.70500233754090702</v>
      </c>
      <c r="E132" s="25">
        <v>75</v>
      </c>
      <c r="F132" s="25">
        <v>6.5656565656565657</v>
      </c>
      <c r="G132" s="25">
        <f t="shared" si="4"/>
        <v>3936.2765586903515</v>
      </c>
      <c r="H132" s="25">
        <v>9.9</v>
      </c>
      <c r="I132" s="15">
        <f t="shared" si="5"/>
        <v>38969137.931034476</v>
      </c>
    </row>
    <row r="133" spans="1:9">
      <c r="A133" s="21" t="s">
        <v>3</v>
      </c>
      <c r="B133" s="23">
        <v>1991</v>
      </c>
      <c r="C133" s="24">
        <v>4.95</v>
      </c>
      <c r="D133" s="2">
        <v>0.95745675549322118</v>
      </c>
      <c r="E133" s="25">
        <v>75</v>
      </c>
      <c r="F133" s="25">
        <f>229*75/2000</f>
        <v>8.5875000000000004</v>
      </c>
      <c r="G133" s="25">
        <f t="shared" si="4"/>
        <v>1183.9177001953124</v>
      </c>
      <c r="H133" s="25">
        <v>10.4</v>
      </c>
      <c r="I133" s="15">
        <f t="shared" si="5"/>
        <v>12312744.08203125</v>
      </c>
    </row>
    <row r="134" spans="1:9">
      <c r="A134" s="21" t="s">
        <v>3</v>
      </c>
      <c r="B134" s="23">
        <v>1992</v>
      </c>
      <c r="C134" s="24">
        <v>3.2</v>
      </c>
      <c r="D134" s="2">
        <v>0.48574100046750818</v>
      </c>
      <c r="E134" s="25">
        <v>75</v>
      </c>
      <c r="F134" s="25">
        <f>175*75/2000</f>
        <v>6.5625</v>
      </c>
      <c r="G134" s="25">
        <f t="shared" si="4"/>
        <v>1152.8777670837344</v>
      </c>
      <c r="H134" s="25">
        <v>10.6</v>
      </c>
      <c r="I134" s="15">
        <f t="shared" si="5"/>
        <v>12220504.331087584</v>
      </c>
    </row>
    <row r="135" spans="1:9">
      <c r="A135" s="21" t="s">
        <v>3</v>
      </c>
      <c r="B135" s="23">
        <v>1993</v>
      </c>
      <c r="C135" s="24">
        <v>4.66</v>
      </c>
      <c r="D135" s="2">
        <v>0.51753155680224405</v>
      </c>
      <c r="E135" s="25">
        <v>75</v>
      </c>
      <c r="F135" s="25">
        <f>179*75/2000</f>
        <v>6.7125000000000004</v>
      </c>
      <c r="G135" s="25">
        <f t="shared" si="4"/>
        <v>1611.7664498644988</v>
      </c>
      <c r="H135" s="25">
        <v>10.6</v>
      </c>
      <c r="I135" s="15">
        <f t="shared" si="5"/>
        <v>17084724.368563686</v>
      </c>
    </row>
    <row r="136" spans="1:9">
      <c r="A136" s="21" t="s">
        <v>3</v>
      </c>
      <c r="B136" s="23">
        <v>1994</v>
      </c>
      <c r="C136" s="24">
        <v>5.19</v>
      </c>
      <c r="D136" s="2">
        <v>0.5053763440860215</v>
      </c>
      <c r="E136" s="25">
        <v>75</v>
      </c>
      <c r="F136" s="25">
        <f>101*75/2000</f>
        <v>3.7875000000000001</v>
      </c>
      <c r="G136" s="25">
        <f t="shared" si="4"/>
        <v>1037.2270212765957</v>
      </c>
      <c r="H136" s="25">
        <v>10.4</v>
      </c>
      <c r="I136" s="15">
        <f t="shared" si="5"/>
        <v>10787161.021276595</v>
      </c>
    </row>
    <row r="137" spans="1:9">
      <c r="A137" s="21" t="s">
        <v>3</v>
      </c>
      <c r="B137" s="23">
        <v>1995</v>
      </c>
      <c r="C137" s="24">
        <v>3.18</v>
      </c>
      <c r="D137" s="2">
        <v>0.50163627863487603</v>
      </c>
      <c r="E137" s="25">
        <v>75</v>
      </c>
      <c r="F137" s="25">
        <f>163*75/2000</f>
        <v>6.1124999999999998</v>
      </c>
      <c r="G137" s="25">
        <f t="shared" si="4"/>
        <v>1033.2984715750235</v>
      </c>
      <c r="H137" s="25">
        <v>10.1</v>
      </c>
      <c r="I137" s="15">
        <f t="shared" si="5"/>
        <v>10436314.562907737</v>
      </c>
    </row>
    <row r="138" spans="1:9">
      <c r="A138" s="21" t="s">
        <v>3</v>
      </c>
      <c r="B138" s="23">
        <v>1996</v>
      </c>
      <c r="C138" s="24">
        <v>4.5999999999999996</v>
      </c>
      <c r="D138" s="2">
        <v>0.60028050490883589</v>
      </c>
      <c r="E138" s="25">
        <v>75</v>
      </c>
      <c r="F138" s="25">
        <f>140*75/2000</f>
        <v>5.25</v>
      </c>
      <c r="G138" s="25">
        <f t="shared" si="4"/>
        <v>1072.8317757009345</v>
      </c>
      <c r="H138" s="25">
        <v>10</v>
      </c>
      <c r="I138" s="15">
        <f t="shared" si="5"/>
        <v>10728317.757009344</v>
      </c>
    </row>
    <row r="139" spans="1:9">
      <c r="A139" s="21" t="s">
        <v>3</v>
      </c>
      <c r="B139" s="23">
        <v>1997</v>
      </c>
      <c r="C139" s="24">
        <v>3.3</v>
      </c>
      <c r="D139" s="2">
        <v>0.52267414679756896</v>
      </c>
      <c r="E139" s="25">
        <v>75</v>
      </c>
      <c r="F139" s="25">
        <f>110*75/2000</f>
        <v>4.125</v>
      </c>
      <c r="G139" s="25">
        <f t="shared" si="4"/>
        <v>694.50536672629687</v>
      </c>
      <c r="H139" s="25">
        <v>9.1</v>
      </c>
      <c r="I139" s="15">
        <f t="shared" si="5"/>
        <v>6319998.8372093011</v>
      </c>
    </row>
    <row r="140" spans="1:9">
      <c r="A140" s="21" t="s">
        <v>3</v>
      </c>
      <c r="B140" s="23">
        <v>1998</v>
      </c>
      <c r="C140" s="24">
        <v>15.35</v>
      </c>
      <c r="D140" s="2">
        <v>0.51425899953249177</v>
      </c>
      <c r="E140" s="25">
        <v>75</v>
      </c>
      <c r="F140" s="25">
        <f>167*75/2000</f>
        <v>6.2625000000000002</v>
      </c>
      <c r="G140" s="25">
        <f t="shared" si="4"/>
        <v>4984.745045454546</v>
      </c>
      <c r="H140" s="25">
        <v>6.9</v>
      </c>
      <c r="I140" s="15">
        <f t="shared" si="5"/>
        <v>34394740.81363637</v>
      </c>
    </row>
    <row r="141" spans="1:9">
      <c r="A141" s="21" t="s">
        <v>3</v>
      </c>
      <c r="B141" s="23">
        <v>1999</v>
      </c>
      <c r="C141" s="24">
        <v>2.5499999999999998</v>
      </c>
      <c r="D141" s="2">
        <v>0.74146797568957457</v>
      </c>
      <c r="E141" s="25">
        <v>75</v>
      </c>
      <c r="F141" s="25">
        <f>177*75/2000</f>
        <v>6.6375000000000002</v>
      </c>
      <c r="G141" s="25">
        <f t="shared" si="4"/>
        <v>608.72487389659523</v>
      </c>
      <c r="H141" s="25">
        <v>6.2</v>
      </c>
      <c r="I141" s="15">
        <f t="shared" si="5"/>
        <v>3774094.2181588905</v>
      </c>
    </row>
    <row r="142" spans="1:9">
      <c r="A142" s="21" t="s">
        <v>3</v>
      </c>
      <c r="B142" s="23">
        <v>2000</v>
      </c>
      <c r="C142" s="24">
        <v>3.51</v>
      </c>
      <c r="D142" s="2">
        <v>0.45067788686302013</v>
      </c>
      <c r="E142" s="25">
        <v>75</v>
      </c>
      <c r="F142" s="25">
        <f>141*75/2000</f>
        <v>5.2874999999999996</v>
      </c>
      <c r="G142" s="25">
        <f t="shared" si="4"/>
        <v>1098.1457365145227</v>
      </c>
      <c r="H142" s="25">
        <v>6.4</v>
      </c>
      <c r="I142" s="15">
        <f t="shared" si="5"/>
        <v>7028132.7136929454</v>
      </c>
    </row>
    <row r="143" spans="1:9">
      <c r="A143" s="21" t="s">
        <v>3</v>
      </c>
      <c r="B143" s="23">
        <v>2001</v>
      </c>
      <c r="C143" s="24">
        <v>5.89</v>
      </c>
      <c r="D143" s="2">
        <v>0.58765778401122015</v>
      </c>
      <c r="E143" s="25">
        <v>75</v>
      </c>
      <c r="F143" s="25">
        <f>81*75/2000</f>
        <v>3.0375000000000001</v>
      </c>
      <c r="G143" s="25">
        <f t="shared" si="4"/>
        <v>811.85004773269691</v>
      </c>
      <c r="H143" s="25">
        <v>6.4</v>
      </c>
      <c r="I143" s="15">
        <f t="shared" si="5"/>
        <v>5195840.3054892607</v>
      </c>
    </row>
    <row r="144" spans="1:9">
      <c r="A144" s="21" t="s">
        <v>3</v>
      </c>
      <c r="B144" s="23">
        <v>2002</v>
      </c>
      <c r="C144" s="24">
        <v>2.23</v>
      </c>
      <c r="D144" s="2">
        <v>0.61524076671341743</v>
      </c>
      <c r="E144" s="25">
        <v>75</v>
      </c>
      <c r="F144" s="25">
        <f>84*75/2000</f>
        <v>3.15</v>
      </c>
      <c r="G144" s="25">
        <f t="shared" si="4"/>
        <v>304.46617021276603</v>
      </c>
      <c r="H144" s="25">
        <v>5.6</v>
      </c>
      <c r="I144" s="15">
        <f t="shared" si="5"/>
        <v>1705010.5531914895</v>
      </c>
    </row>
    <row r="145" spans="1:9">
      <c r="A145" s="21" t="s">
        <v>3</v>
      </c>
      <c r="B145" s="23">
        <v>2003</v>
      </c>
      <c r="C145" s="24">
        <v>3.31</v>
      </c>
      <c r="D145" s="2">
        <v>0.49041608228143996</v>
      </c>
      <c r="E145" s="25">
        <v>75</v>
      </c>
      <c r="F145" s="25">
        <f>96*75/2000</f>
        <v>3.6</v>
      </c>
      <c r="G145" s="25">
        <f t="shared" si="4"/>
        <v>647.93959961868438</v>
      </c>
      <c r="H145" s="25">
        <v>4.9000000000000004</v>
      </c>
      <c r="I145" s="15">
        <f t="shared" si="5"/>
        <v>3174904.0381315537</v>
      </c>
    </row>
    <row r="146" spans="1:9">
      <c r="A146" s="21" t="s">
        <v>3</v>
      </c>
      <c r="B146" s="23">
        <v>2004</v>
      </c>
      <c r="C146" s="24">
        <v>3.37</v>
      </c>
      <c r="D146" s="2">
        <v>0.70453482935951373</v>
      </c>
      <c r="E146" s="25">
        <v>75</v>
      </c>
      <c r="F146" s="25">
        <f>102*75/2000</f>
        <v>3.8250000000000002</v>
      </c>
      <c r="G146" s="25">
        <f t="shared" si="4"/>
        <v>487.89639017916392</v>
      </c>
      <c r="H146" s="25">
        <v>4.2</v>
      </c>
      <c r="I146" s="15">
        <f t="shared" si="5"/>
        <v>2049164.8387524884</v>
      </c>
    </row>
    <row r="147" spans="1:9">
      <c r="A147" s="21" t="s">
        <v>3</v>
      </c>
      <c r="B147" s="23">
        <v>2005</v>
      </c>
      <c r="C147" s="24">
        <v>3.26</v>
      </c>
      <c r="D147" s="2">
        <v>0.66245909303412798</v>
      </c>
      <c r="E147" s="25">
        <v>75</v>
      </c>
      <c r="F147" s="25">
        <f>136*75/2000</f>
        <v>5.0999999999999996</v>
      </c>
      <c r="G147" s="25">
        <f t="shared" si="4"/>
        <v>669.26396612561746</v>
      </c>
      <c r="H147" s="25">
        <v>3.3</v>
      </c>
      <c r="I147" s="15">
        <f t="shared" si="5"/>
        <v>2208571.0882145376</v>
      </c>
    </row>
    <row r="148" spans="1:9">
      <c r="A148" s="21" t="s">
        <v>3</v>
      </c>
      <c r="B148" s="23">
        <v>2006</v>
      </c>
      <c r="C148" s="24">
        <v>6.29</v>
      </c>
      <c r="D148" s="2">
        <v>0.82328190743338003</v>
      </c>
      <c r="E148" s="25">
        <v>75</v>
      </c>
      <c r="F148" s="25">
        <f>115*75/2000</f>
        <v>4.3125</v>
      </c>
      <c r="G148" s="25">
        <f t="shared" si="4"/>
        <v>878.61763202725729</v>
      </c>
      <c r="H148" s="25">
        <v>2.6</v>
      </c>
      <c r="I148" s="15">
        <f t="shared" si="5"/>
        <v>2284405.843270869</v>
      </c>
    </row>
    <row r="149" spans="1:9">
      <c r="A149" s="21" t="s">
        <v>3</v>
      </c>
      <c r="B149" s="23">
        <v>2007</v>
      </c>
      <c r="C149" s="24">
        <v>3.61</v>
      </c>
      <c r="D149" s="2">
        <v>0.85273492286115005</v>
      </c>
      <c r="E149" s="25">
        <v>75</v>
      </c>
      <c r="F149" s="25">
        <f>158*75/2000</f>
        <v>5.9249999999999998</v>
      </c>
      <c r="G149" s="25">
        <f t="shared" si="4"/>
        <v>668.88312500000006</v>
      </c>
      <c r="H149" s="25">
        <v>2.4</v>
      </c>
      <c r="I149" s="15">
        <f t="shared" si="5"/>
        <v>1605319.5</v>
      </c>
    </row>
    <row r="150" spans="1:9">
      <c r="A150" s="21" t="s">
        <v>3</v>
      </c>
      <c r="B150" s="23">
        <v>2008</v>
      </c>
      <c r="C150" s="24">
        <v>6.83</v>
      </c>
      <c r="D150" s="2">
        <v>0.73352033660589055</v>
      </c>
      <c r="E150" s="25">
        <v>75</v>
      </c>
      <c r="F150" s="25">
        <f>104*75/2000</f>
        <v>3.9</v>
      </c>
      <c r="G150" s="25">
        <f t="shared" si="4"/>
        <v>968.37124282982802</v>
      </c>
      <c r="H150" s="25">
        <v>2.4</v>
      </c>
      <c r="I150" s="15">
        <f t="shared" si="5"/>
        <v>2324090.9827915872</v>
      </c>
    </row>
    <row r="151" spans="1:9">
      <c r="A151" s="21" t="s">
        <v>3</v>
      </c>
      <c r="B151" s="23">
        <v>2009</v>
      </c>
      <c r="C151" s="26" t="e">
        <v>#N/A</v>
      </c>
      <c r="D151" s="2">
        <v>0.76811594202898559</v>
      </c>
      <c r="E151" s="25">
        <v>75</v>
      </c>
      <c r="F151" s="26" t="e">
        <v>#N/A</v>
      </c>
      <c r="G151" s="25" t="e">
        <f t="shared" si="4"/>
        <v>#N/A</v>
      </c>
      <c r="H151" s="26" t="e">
        <v>#N/A</v>
      </c>
      <c r="I151" s="15" t="e">
        <f t="shared" si="5"/>
        <v>#N/A</v>
      </c>
    </row>
    <row r="152" spans="1:9">
      <c r="A152" s="21" t="s">
        <v>3</v>
      </c>
      <c r="B152" s="23">
        <v>2010</v>
      </c>
      <c r="C152" s="26" t="e">
        <v>#N/A</v>
      </c>
      <c r="D152" s="2">
        <v>0.76577840112201967</v>
      </c>
      <c r="E152" s="25">
        <v>80</v>
      </c>
      <c r="F152" s="26" t="e">
        <v>#N/A</v>
      </c>
      <c r="G152" s="25" t="e">
        <f t="shared" si="4"/>
        <v>#N/A</v>
      </c>
      <c r="H152" s="26" t="e">
        <v>#N/A</v>
      </c>
      <c r="I152" s="15" t="e">
        <f t="shared" si="5"/>
        <v>#N/A</v>
      </c>
    </row>
    <row r="153" spans="1:9">
      <c r="A153" s="21" t="s">
        <v>3</v>
      </c>
      <c r="B153" s="23">
        <v>2011</v>
      </c>
      <c r="C153" s="26" t="e">
        <v>#N/A</v>
      </c>
      <c r="D153" s="2">
        <v>0.74801309022907903</v>
      </c>
      <c r="E153" s="25">
        <v>80</v>
      </c>
      <c r="F153" s="26" t="e">
        <v>#N/A</v>
      </c>
      <c r="G153" s="25" t="e">
        <f t="shared" si="4"/>
        <v>#N/A</v>
      </c>
      <c r="H153" s="26" t="e">
        <v>#N/A</v>
      </c>
      <c r="I153" s="15" t="e">
        <f t="shared" si="5"/>
        <v>#N/A</v>
      </c>
    </row>
    <row r="154" spans="1:9">
      <c r="A154" s="21" t="s">
        <v>3</v>
      </c>
      <c r="B154" s="23">
        <v>2012</v>
      </c>
      <c r="C154" s="26" t="e">
        <v>#N/A</v>
      </c>
      <c r="D154" s="2">
        <v>0.80785413744740531</v>
      </c>
      <c r="E154" s="25">
        <v>80</v>
      </c>
      <c r="F154" s="26" t="e">
        <v>#N/A</v>
      </c>
      <c r="G154" s="25" t="e">
        <f t="shared" si="4"/>
        <v>#N/A</v>
      </c>
      <c r="H154" s="26" t="e">
        <v>#N/A</v>
      </c>
      <c r="I154" s="15" t="e">
        <f t="shared" si="5"/>
        <v>#N/A</v>
      </c>
    </row>
    <row r="155" spans="1:9">
      <c r="A155" s="21" t="s">
        <v>3</v>
      </c>
      <c r="B155" s="23">
        <v>2013</v>
      </c>
      <c r="C155" s="26" t="e">
        <v>#N/A</v>
      </c>
      <c r="D155" s="2">
        <v>0.81954184198223468</v>
      </c>
      <c r="E155" s="25">
        <v>80</v>
      </c>
      <c r="F155" s="26" t="e">
        <v>#N/A</v>
      </c>
      <c r="G155" s="25" t="e">
        <f t="shared" si="4"/>
        <v>#N/A</v>
      </c>
      <c r="H155" s="26" t="e">
        <v>#N/A</v>
      </c>
      <c r="I155" s="15" t="e">
        <f t="shared" si="5"/>
        <v>#N/A</v>
      </c>
    </row>
    <row r="156" spans="1:9">
      <c r="A156" s="21" t="s">
        <v>3</v>
      </c>
      <c r="B156" s="23">
        <v>2014</v>
      </c>
      <c r="C156" s="26" t="e">
        <v>#N/A</v>
      </c>
      <c r="D156" s="2">
        <v>1.0032725572697521</v>
      </c>
      <c r="E156" s="25">
        <v>80</v>
      </c>
      <c r="F156" s="26" t="e">
        <v>#N/A</v>
      </c>
      <c r="G156" s="25" t="e">
        <f t="shared" si="4"/>
        <v>#N/A</v>
      </c>
      <c r="H156" s="26" t="e">
        <v>#N/A</v>
      </c>
      <c r="I156" s="15" t="e">
        <f t="shared" si="5"/>
        <v>#N/A</v>
      </c>
    </row>
    <row r="157" spans="1:9">
      <c r="A157" s="21" t="s">
        <v>3</v>
      </c>
      <c r="B157" s="23">
        <v>2015</v>
      </c>
      <c r="C157" s="26" t="e">
        <v>#N/A</v>
      </c>
      <c r="D157" s="2">
        <v>1</v>
      </c>
      <c r="E157" s="25">
        <v>80</v>
      </c>
      <c r="F157" s="26" t="e">
        <v>#N/A</v>
      </c>
      <c r="G157" s="25" t="e">
        <f t="shared" si="4"/>
        <v>#N/A</v>
      </c>
      <c r="H157" s="26" t="e">
        <v>#N/A</v>
      </c>
      <c r="I157" s="15" t="e">
        <f t="shared" si="5"/>
        <v>#N/A</v>
      </c>
    </row>
    <row r="158" spans="1:9">
      <c r="A158" s="21" t="s">
        <v>3</v>
      </c>
      <c r="B158" s="23">
        <v>2016</v>
      </c>
      <c r="C158" s="26" t="e">
        <v>#N/A</v>
      </c>
      <c r="D158" s="2">
        <v>1.1813931743805515</v>
      </c>
      <c r="E158" s="25">
        <v>80</v>
      </c>
      <c r="F158" s="26" t="e">
        <v>#N/A</v>
      </c>
      <c r="G158" s="25" t="e">
        <f t="shared" si="4"/>
        <v>#N/A</v>
      </c>
      <c r="H158" s="26" t="e">
        <v>#N/A</v>
      </c>
      <c r="I158" s="15" t="e">
        <f t="shared" si="5"/>
        <v>#N/A</v>
      </c>
    </row>
    <row r="159" spans="1:9">
      <c r="A159" s="21" t="s">
        <v>3</v>
      </c>
      <c r="B159" s="23">
        <v>2017</v>
      </c>
      <c r="C159" s="26" t="e">
        <v>#N/A</v>
      </c>
      <c r="D159" s="2">
        <v>1.4385226741467976</v>
      </c>
      <c r="E159" s="25">
        <v>80</v>
      </c>
      <c r="F159" s="26" t="e">
        <v>#N/A</v>
      </c>
      <c r="G159" s="25" t="e">
        <f t="shared" si="4"/>
        <v>#N/A</v>
      </c>
      <c r="H159" s="26" t="e">
        <v>#N/A</v>
      </c>
      <c r="I159" s="15" t="e">
        <f t="shared" si="5"/>
        <v>#N/A</v>
      </c>
    </row>
    <row r="160" spans="1:9">
      <c r="A160" s="21" t="s">
        <v>3</v>
      </c>
      <c r="B160" s="23">
        <v>2018</v>
      </c>
      <c r="C160" s="26" t="e">
        <v>#N/A</v>
      </c>
      <c r="D160" s="2">
        <v>1.5455820476858346</v>
      </c>
      <c r="E160" s="25">
        <v>80</v>
      </c>
      <c r="F160" s="26" t="e">
        <v>#N/A</v>
      </c>
      <c r="G160" s="25" t="e">
        <f t="shared" si="4"/>
        <v>#N/A</v>
      </c>
      <c r="H160" s="26" t="e">
        <v>#N/A</v>
      </c>
      <c r="I160" s="15" t="e">
        <f t="shared" si="5"/>
        <v>#N/A</v>
      </c>
    </row>
    <row r="161" spans="1:9">
      <c r="A161" s="22" t="s">
        <v>3</v>
      </c>
      <c r="B161" s="14">
        <v>2019</v>
      </c>
      <c r="C161" s="9" t="e">
        <v>#N/A</v>
      </c>
      <c r="D161" s="3">
        <v>1.1491351098644227</v>
      </c>
      <c r="E161" s="3">
        <v>80</v>
      </c>
      <c r="F161" s="9" t="e">
        <v>#N/A</v>
      </c>
      <c r="G161" s="3" t="e">
        <f t="shared" si="4"/>
        <v>#N/A</v>
      </c>
      <c r="H161" s="9" t="e">
        <v>#N/A</v>
      </c>
      <c r="I161" s="16" t="e">
        <f t="shared" si="5"/>
        <v>#N/A</v>
      </c>
    </row>
    <row r="162" spans="1:9">
      <c r="A162" s="21" t="s">
        <v>4</v>
      </c>
      <c r="B162" s="23">
        <v>1980</v>
      </c>
      <c r="C162" s="24">
        <v>3.75</v>
      </c>
      <c r="D162" s="2">
        <v>0.4731182795698925</v>
      </c>
      <c r="E162" s="25">
        <f>(C162/D162)/(G162/(F162*2000))</f>
        <v>85.79115436714649</v>
      </c>
      <c r="F162" s="25">
        <v>13.197835388874907</v>
      </c>
      <c r="G162" s="25">
        <f>(I2+I42+I82+I122)/((H2+H42+H82+H122)*1000)</f>
        <v>2438.6626749274183</v>
      </c>
      <c r="H162" s="25"/>
      <c r="I162" s="39"/>
    </row>
    <row r="163" spans="1:9">
      <c r="A163" s="21" t="s">
        <v>4</v>
      </c>
      <c r="B163" s="23">
        <v>1981</v>
      </c>
      <c r="C163" s="24">
        <v>4.9400000000000004</v>
      </c>
      <c r="D163" s="2">
        <v>0.47218326320710613</v>
      </c>
      <c r="E163" s="25">
        <f t="shared" ref="E163:E201" si="6">(C163/D163)/(G163/(F163*2000))</f>
        <v>86.069577574448815</v>
      </c>
      <c r="F163" s="25">
        <v>9.7724058120097705</v>
      </c>
      <c r="G163" s="25">
        <f>(I3+I43+I83+I123)/((H3+H43+H83+H123)*1000)</f>
        <v>2375.7359920300205</v>
      </c>
      <c r="H163" s="25"/>
      <c r="I163" s="39"/>
    </row>
    <row r="164" spans="1:9">
      <c r="A164" s="21" t="s">
        <v>4</v>
      </c>
      <c r="B164" s="23">
        <v>1982</v>
      </c>
      <c r="C164" s="24">
        <v>4.1500000000000004</v>
      </c>
      <c r="D164" s="2">
        <v>0.46750818139317435</v>
      </c>
      <c r="E164" s="25">
        <f t="shared" si="6"/>
        <v>84.477489574200135</v>
      </c>
      <c r="F164" s="25">
        <v>12.678476291955249</v>
      </c>
      <c r="G164" s="25">
        <f t="shared" ref="G164:G190" si="7">(I4+I44+I84+I124)/((H4+H44+H84+H124)*1000)</f>
        <v>2664.4951889435588</v>
      </c>
      <c r="H164" s="25"/>
      <c r="I164" s="39"/>
    </row>
    <row r="165" spans="1:9">
      <c r="A165" s="21" t="s">
        <v>4</v>
      </c>
      <c r="B165" s="23">
        <v>1983</v>
      </c>
      <c r="C165" s="24">
        <v>5.95</v>
      </c>
      <c r="D165" s="2">
        <v>0.47078073866292658</v>
      </c>
      <c r="E165" s="25">
        <f t="shared" si="6"/>
        <v>85.492875646694287</v>
      </c>
      <c r="F165" s="25">
        <v>10.524556814879396</v>
      </c>
      <c r="G165" s="25">
        <f t="shared" si="7"/>
        <v>3111.7318638809384</v>
      </c>
      <c r="H165" s="25"/>
      <c r="I165" s="39"/>
    </row>
    <row r="166" spans="1:9">
      <c r="A166" s="21" t="s">
        <v>4</v>
      </c>
      <c r="B166" s="23">
        <v>1984</v>
      </c>
      <c r="C166" s="24">
        <v>7.37</v>
      </c>
      <c r="D166" s="2">
        <v>0.48948106591865359</v>
      </c>
      <c r="E166" s="25">
        <f t="shared" si="6"/>
        <v>82.870795501457522</v>
      </c>
      <c r="F166" s="25">
        <v>10.87744859964384</v>
      </c>
      <c r="G166" s="25">
        <f>(I6+I46+I126)/((H6+H46+H126)*1000)</f>
        <v>3952.6386991560485</v>
      </c>
      <c r="H166" s="25"/>
      <c r="I166" s="39"/>
    </row>
    <row r="167" spans="1:9">
      <c r="A167" s="21" t="s">
        <v>4</v>
      </c>
      <c r="B167" s="23">
        <v>1985</v>
      </c>
      <c r="C167" s="24">
        <v>4.2699999999999996</v>
      </c>
      <c r="D167" s="2">
        <v>0.55352968676951853</v>
      </c>
      <c r="E167" s="25">
        <f t="shared" si="6"/>
        <v>84.474777019178617</v>
      </c>
      <c r="F167" s="25">
        <v>13.314336598397151</v>
      </c>
      <c r="G167" s="25">
        <f t="shared" si="7"/>
        <v>2431.6968427177367</v>
      </c>
      <c r="H167" s="25"/>
      <c r="I167" s="39"/>
    </row>
    <row r="168" spans="1:9">
      <c r="A168" s="21" t="s">
        <v>4</v>
      </c>
      <c r="B168" s="23">
        <v>1986</v>
      </c>
      <c r="C168" s="24">
        <v>5.39</v>
      </c>
      <c r="D168" s="2">
        <v>0.53669939223936414</v>
      </c>
      <c r="E168" s="25">
        <f t="shared" si="6"/>
        <v>84.583782284723284</v>
      </c>
      <c r="F168" s="25">
        <v>13.515364354697105</v>
      </c>
      <c r="G168" s="25">
        <f t="shared" si="7"/>
        <v>3209.43300266808</v>
      </c>
      <c r="H168" s="25"/>
      <c r="I168" s="39"/>
    </row>
    <row r="169" spans="1:9">
      <c r="A169" s="21" t="s">
        <v>4</v>
      </c>
      <c r="B169" s="23">
        <v>1987</v>
      </c>
      <c r="C169" s="24">
        <v>7.18</v>
      </c>
      <c r="D169" s="2">
        <v>0.58859280037400652</v>
      </c>
      <c r="E169" s="25">
        <f t="shared" si="6"/>
        <v>86.216460759124089</v>
      </c>
      <c r="F169" s="25">
        <v>14.884247171453438</v>
      </c>
      <c r="G169" s="25">
        <f t="shared" si="7"/>
        <v>4211.881820232371</v>
      </c>
      <c r="H169" s="25"/>
      <c r="I169" s="39"/>
    </row>
    <row r="170" spans="1:9">
      <c r="A170" s="21" t="s">
        <v>4</v>
      </c>
      <c r="B170" s="23">
        <v>1988</v>
      </c>
      <c r="C170" s="24">
        <v>7.08</v>
      </c>
      <c r="D170" s="2">
        <v>0.66386161757830764</v>
      </c>
      <c r="E170" s="25">
        <f t="shared" si="6"/>
        <v>86.167047103658035</v>
      </c>
      <c r="F170" s="25">
        <v>15.201290980125702</v>
      </c>
      <c r="G170" s="25">
        <f t="shared" si="7"/>
        <v>3762.9197431775378</v>
      </c>
      <c r="H170" s="25"/>
      <c r="I170" s="39"/>
    </row>
    <row r="171" spans="1:9">
      <c r="A171" s="21" t="s">
        <v>4</v>
      </c>
      <c r="B171" s="23">
        <v>1989</v>
      </c>
      <c r="C171" s="24">
        <v>6.13</v>
      </c>
      <c r="D171" s="2">
        <v>0.63581112669471718</v>
      </c>
      <c r="E171" s="25">
        <f t="shared" si="6"/>
        <v>84.154023424778444</v>
      </c>
      <c r="F171" s="25">
        <v>12.955838072934091</v>
      </c>
      <c r="G171" s="25">
        <f t="shared" si="7"/>
        <v>2968.6088186094103</v>
      </c>
      <c r="H171" s="25"/>
      <c r="I171" s="39"/>
    </row>
    <row r="172" spans="1:9">
      <c r="A172" s="21" t="s">
        <v>4</v>
      </c>
      <c r="B172" s="23">
        <v>1990</v>
      </c>
      <c r="C172" s="24">
        <v>6.78</v>
      </c>
      <c r="D172" s="2">
        <v>0.70500233754090702</v>
      </c>
      <c r="E172" s="25">
        <f t="shared" si="6"/>
        <v>85.316419564775416</v>
      </c>
      <c r="F172" s="25">
        <v>12.808878733474783</v>
      </c>
      <c r="G172" s="25">
        <f>(I12+I52+I132)/((H12+H52+H132)*1000)</f>
        <v>2887.6704274510562</v>
      </c>
      <c r="H172" s="25"/>
      <c r="I172" s="39"/>
    </row>
    <row r="173" spans="1:9">
      <c r="A173" s="21" t="s">
        <v>4</v>
      </c>
      <c r="B173" s="23">
        <v>1991</v>
      </c>
      <c r="C173" s="24">
        <v>5.52</v>
      </c>
      <c r="D173" s="2">
        <v>0.95745675549322118</v>
      </c>
      <c r="E173" s="25">
        <f t="shared" si="6"/>
        <v>85.686843846443324</v>
      </c>
      <c r="F173" s="25">
        <v>13.91813779097016</v>
      </c>
      <c r="G173" s="25">
        <f t="shared" si="7"/>
        <v>1872.9099241779543</v>
      </c>
      <c r="H173" s="25"/>
      <c r="I173" s="39"/>
    </row>
    <row r="174" spans="1:9">
      <c r="A174" s="21" t="s">
        <v>4</v>
      </c>
      <c r="B174" s="23">
        <v>1992</v>
      </c>
      <c r="C174" s="24">
        <v>3.88</v>
      </c>
      <c r="D174" s="2">
        <v>0.48574100046750818</v>
      </c>
      <c r="E174" s="25">
        <f t="shared" si="6"/>
        <v>84.928946411111809</v>
      </c>
      <c r="F174" s="25">
        <v>15.972101133391455</v>
      </c>
      <c r="G174" s="25">
        <f t="shared" si="7"/>
        <v>3004.4381865030232</v>
      </c>
      <c r="H174" s="25"/>
      <c r="I174" s="39"/>
    </row>
    <row r="175" spans="1:9">
      <c r="A175" s="21" t="s">
        <v>4</v>
      </c>
      <c r="B175" s="23">
        <v>1993</v>
      </c>
      <c r="C175" s="24">
        <v>4.4000000000000004</v>
      </c>
      <c r="D175" s="2">
        <v>0.51753155680224405</v>
      </c>
      <c r="E175" s="25">
        <f t="shared" si="6"/>
        <v>85.213107465318018</v>
      </c>
      <c r="F175" s="25">
        <v>14.51007937065393</v>
      </c>
      <c r="G175" s="25">
        <f t="shared" si="7"/>
        <v>2895.4043389766694</v>
      </c>
      <c r="H175" s="25"/>
      <c r="I175" s="39"/>
    </row>
    <row r="176" spans="1:9">
      <c r="A176" s="21" t="s">
        <v>4</v>
      </c>
      <c r="B176" s="23">
        <v>1994</v>
      </c>
      <c r="C176" s="24">
        <v>4.2300000000000004</v>
      </c>
      <c r="D176" s="2">
        <v>0.5053763440860215</v>
      </c>
      <c r="E176" s="25">
        <f t="shared" si="6"/>
        <v>85.257496377957935</v>
      </c>
      <c r="F176" s="25">
        <v>14.824228120907193</v>
      </c>
      <c r="G176" s="25">
        <f t="shared" si="7"/>
        <v>2910.6833919198211</v>
      </c>
      <c r="H176" s="25"/>
      <c r="I176" s="39"/>
    </row>
    <row r="177" spans="1:9">
      <c r="A177" s="21" t="s">
        <v>4</v>
      </c>
      <c r="B177" s="23">
        <v>1995</v>
      </c>
      <c r="C177" s="24">
        <v>4.79</v>
      </c>
      <c r="D177" s="2">
        <v>0.50163627863487603</v>
      </c>
      <c r="E177" s="25">
        <f t="shared" si="6"/>
        <v>85.541337621721752</v>
      </c>
      <c r="F177" s="25">
        <v>14.1271018793274</v>
      </c>
      <c r="G177" s="25">
        <f t="shared" si="7"/>
        <v>3153.9413406005515</v>
      </c>
      <c r="H177" s="25"/>
      <c r="I177" s="39"/>
    </row>
    <row r="178" spans="1:9">
      <c r="A178" s="21" t="s">
        <v>4</v>
      </c>
      <c r="B178" s="23">
        <v>1996</v>
      </c>
      <c r="C178" s="24">
        <v>4.22</v>
      </c>
      <c r="D178" s="2">
        <v>0.60028050490883589</v>
      </c>
      <c r="E178" s="25">
        <f t="shared" si="6"/>
        <v>84.479475670862286</v>
      </c>
      <c r="F178" s="25">
        <v>15.045045045045045</v>
      </c>
      <c r="G178" s="25">
        <f t="shared" si="7"/>
        <v>2503.9778920558533</v>
      </c>
      <c r="H178" s="25"/>
      <c r="I178" s="39"/>
    </row>
    <row r="179" spans="1:9">
      <c r="A179" s="21" t="s">
        <v>4</v>
      </c>
      <c r="B179" s="23">
        <v>1997</v>
      </c>
      <c r="C179" s="24">
        <v>4.29</v>
      </c>
      <c r="D179" s="2">
        <v>0.52267414679756896</v>
      </c>
      <c r="E179" s="25">
        <f t="shared" si="6"/>
        <v>84.763685138180776</v>
      </c>
      <c r="F179" s="25">
        <v>16.46987951807229</v>
      </c>
      <c r="G179" s="25">
        <f t="shared" si="7"/>
        <v>3189.6046916761852</v>
      </c>
      <c r="H179" s="25"/>
      <c r="I179" s="39"/>
    </row>
    <row r="180" spans="1:9">
      <c r="A180" s="21" t="s">
        <v>4</v>
      </c>
      <c r="B180" s="23">
        <v>1998</v>
      </c>
      <c r="C180" s="24">
        <v>5.47</v>
      </c>
      <c r="D180" s="2">
        <v>0.51425899953249177</v>
      </c>
      <c r="E180" s="25">
        <f t="shared" si="6"/>
        <v>85.829832508004358</v>
      </c>
      <c r="F180" s="25">
        <v>11.803436260963595</v>
      </c>
      <c r="G180" s="25">
        <f t="shared" si="7"/>
        <v>2925.5371376710759</v>
      </c>
      <c r="H180" s="25"/>
      <c r="I180" s="39"/>
    </row>
    <row r="181" spans="1:9">
      <c r="A181" s="21" t="s">
        <v>4</v>
      </c>
      <c r="B181" s="23">
        <v>1999</v>
      </c>
      <c r="C181" s="24">
        <v>3.58</v>
      </c>
      <c r="D181" s="2">
        <v>0.74146797568957457</v>
      </c>
      <c r="E181" s="25">
        <f t="shared" si="6"/>
        <v>87.253439187771377</v>
      </c>
      <c r="F181" s="25">
        <v>15.91599314229733</v>
      </c>
      <c r="G181" s="25">
        <f t="shared" si="7"/>
        <v>1761.4560561021171</v>
      </c>
      <c r="H181" s="25"/>
      <c r="I181" s="39"/>
    </row>
    <row r="182" spans="1:9">
      <c r="A182" s="21" t="s">
        <v>4</v>
      </c>
      <c r="B182" s="23">
        <v>2000</v>
      </c>
      <c r="C182" s="24">
        <v>3.85</v>
      </c>
      <c r="D182" s="2">
        <v>0.45067788686302013</v>
      </c>
      <c r="E182" s="25">
        <f t="shared" si="6"/>
        <v>84.765136094128778</v>
      </c>
      <c r="F182" s="25">
        <v>14.927323806033955</v>
      </c>
      <c r="G182" s="25">
        <f t="shared" si="7"/>
        <v>3008.7712177108033</v>
      </c>
      <c r="H182" s="25"/>
      <c r="I182" s="39"/>
    </row>
    <row r="183" spans="1:9">
      <c r="A183" s="21" t="s">
        <v>4</v>
      </c>
      <c r="B183" s="23">
        <v>2001</v>
      </c>
      <c r="C183" s="24">
        <v>4.25</v>
      </c>
      <c r="D183" s="2">
        <v>0.58765778401122015</v>
      </c>
      <c r="E183" s="25">
        <f t="shared" si="6"/>
        <v>84.530728283583613</v>
      </c>
      <c r="F183" s="25">
        <v>15.514042126379136</v>
      </c>
      <c r="G183" s="25">
        <f t="shared" si="7"/>
        <v>2654.6348302694482</v>
      </c>
      <c r="H183" s="25"/>
      <c r="I183" s="39"/>
    </row>
    <row r="184" spans="1:9">
      <c r="A184" s="21" t="s">
        <v>4</v>
      </c>
      <c r="B184" s="23">
        <v>2002</v>
      </c>
      <c r="C184" s="24">
        <v>3.56</v>
      </c>
      <c r="D184" s="2">
        <v>0.61524076671341743</v>
      </c>
      <c r="E184" s="25">
        <f t="shared" si="6"/>
        <v>85.292573769872902</v>
      </c>
      <c r="F184" s="25">
        <v>14.43125</v>
      </c>
      <c r="G184" s="25">
        <f t="shared" si="7"/>
        <v>1958.0673212462009</v>
      </c>
      <c r="H184" s="25"/>
      <c r="I184" s="39"/>
    </row>
    <row r="185" spans="1:9">
      <c r="A185" s="21" t="s">
        <v>4</v>
      </c>
      <c r="B185" s="23">
        <v>2003</v>
      </c>
      <c r="C185" s="24">
        <v>3.74</v>
      </c>
      <c r="D185" s="2">
        <v>0.49041608228143996</v>
      </c>
      <c r="E185" s="25">
        <f t="shared" si="6"/>
        <v>84.276351706584521</v>
      </c>
      <c r="F185" s="25">
        <v>16.684381075826312</v>
      </c>
      <c r="G185" s="25">
        <f t="shared" si="7"/>
        <v>3019.5433438703781</v>
      </c>
      <c r="H185" s="25"/>
      <c r="I185" s="39"/>
    </row>
    <row r="186" spans="1:9">
      <c r="A186" s="21" t="s">
        <v>4</v>
      </c>
      <c r="B186" s="23">
        <v>2004</v>
      </c>
      <c r="C186" s="24">
        <v>4.41</v>
      </c>
      <c r="D186" s="2">
        <v>0.70453482935951373</v>
      </c>
      <c r="E186" s="25">
        <f t="shared" si="6"/>
        <v>83.125452344700818</v>
      </c>
      <c r="F186" s="25">
        <v>12.404129793510325</v>
      </c>
      <c r="G186" s="25">
        <f t="shared" si="7"/>
        <v>1868.0925897007317</v>
      </c>
      <c r="H186" s="25"/>
      <c r="I186" s="39"/>
    </row>
    <row r="187" spans="1:9">
      <c r="A187" s="21" t="s">
        <v>4</v>
      </c>
      <c r="B187" s="23">
        <v>2005</v>
      </c>
      <c r="C187" s="24">
        <v>6.11</v>
      </c>
      <c r="D187" s="2">
        <v>0.66245909303412798</v>
      </c>
      <c r="E187" s="25">
        <f t="shared" si="6"/>
        <v>84.320432435076881</v>
      </c>
      <c r="F187" s="25">
        <v>13.013995094502958</v>
      </c>
      <c r="G187" s="25">
        <f t="shared" si="7"/>
        <v>2847.0163010935407</v>
      </c>
      <c r="H187" s="25"/>
      <c r="I187" s="39"/>
    </row>
    <row r="188" spans="1:9">
      <c r="A188" s="21" t="s">
        <v>4</v>
      </c>
      <c r="B188" s="23">
        <v>2006</v>
      </c>
      <c r="C188" s="24">
        <v>9.84</v>
      </c>
      <c r="D188" s="2">
        <v>0.82328190743338003</v>
      </c>
      <c r="E188" s="25">
        <f t="shared" si="6"/>
        <v>86.422482390330728</v>
      </c>
      <c r="F188" s="25">
        <v>11.257935922043409</v>
      </c>
      <c r="G188" s="25">
        <f t="shared" si="7"/>
        <v>3113.9279405123716</v>
      </c>
      <c r="H188" s="25"/>
      <c r="I188" s="39"/>
    </row>
    <row r="189" spans="1:9">
      <c r="A189" s="21" t="s">
        <v>4</v>
      </c>
      <c r="B189" s="23">
        <v>2007</v>
      </c>
      <c r="C189" s="24">
        <v>6.74</v>
      </c>
      <c r="D189" s="2">
        <v>0.85273492286115005</v>
      </c>
      <c r="E189" s="25">
        <f t="shared" si="6"/>
        <v>85.740467374481554</v>
      </c>
      <c r="F189" s="25">
        <v>15.202172601086302</v>
      </c>
      <c r="G189" s="25">
        <f t="shared" si="7"/>
        <v>2802.8228880839456</v>
      </c>
      <c r="H189" s="25"/>
      <c r="I189" s="39"/>
    </row>
    <row r="190" spans="1:9">
      <c r="A190" s="21" t="s">
        <v>4</v>
      </c>
      <c r="B190" s="23">
        <v>2008</v>
      </c>
      <c r="C190" s="24">
        <v>6.62</v>
      </c>
      <c r="D190" s="2">
        <v>0.73352033660589055</v>
      </c>
      <c r="E190" s="25">
        <f t="shared" si="6"/>
        <v>84.97796086855648</v>
      </c>
      <c r="F190" s="25">
        <v>13.914634146341463</v>
      </c>
      <c r="G190" s="25">
        <f t="shared" si="7"/>
        <v>2955.5704280476143</v>
      </c>
      <c r="H190" s="25"/>
      <c r="I190" s="39"/>
    </row>
    <row r="191" spans="1:9">
      <c r="A191" s="21" t="s">
        <v>4</v>
      </c>
      <c r="B191" s="23">
        <v>2009</v>
      </c>
      <c r="C191" s="24">
        <v>7.67</v>
      </c>
      <c r="D191" s="2">
        <v>0.76811594202898559</v>
      </c>
      <c r="E191" s="25">
        <f t="shared" si="6"/>
        <v>84.343189445746305</v>
      </c>
      <c r="F191" s="25">
        <v>12.839563862928349</v>
      </c>
      <c r="G191" s="25">
        <f t="shared" ref="G191:G201" si="8">(I31+I71+I111)/((H31+H71+H111)*1000)</f>
        <v>3040.1767448421788</v>
      </c>
      <c r="H191" s="25"/>
      <c r="I191" s="39"/>
    </row>
    <row r="192" spans="1:9">
      <c r="A192" s="21" t="s">
        <v>4</v>
      </c>
      <c r="B192" s="23">
        <v>2010</v>
      </c>
      <c r="C192" s="24">
        <v>8.31</v>
      </c>
      <c r="D192" s="2">
        <v>0.76577840112201967</v>
      </c>
      <c r="E192" s="25">
        <f t="shared" si="6"/>
        <v>87.128589185515068</v>
      </c>
      <c r="F192" s="25">
        <v>14.179936305732484</v>
      </c>
      <c r="G192" s="25">
        <f t="shared" si="8"/>
        <v>3532.1692453512514</v>
      </c>
      <c r="H192" s="25"/>
      <c r="I192" s="39"/>
    </row>
    <row r="193" spans="1:9">
      <c r="A193" s="21" t="s">
        <v>4</v>
      </c>
      <c r="B193" s="23">
        <v>2011</v>
      </c>
      <c r="C193" s="24">
        <v>10.14</v>
      </c>
      <c r="D193" s="2">
        <v>0.74801309022907903</v>
      </c>
      <c r="E193" s="25">
        <f t="shared" si="6"/>
        <v>87.108073788341386</v>
      </c>
      <c r="F193" s="25">
        <v>14.524579560155241</v>
      </c>
      <c r="G193" s="25">
        <f t="shared" si="8"/>
        <v>4520.6815178848638</v>
      </c>
      <c r="H193" s="25"/>
      <c r="I193" s="39"/>
    </row>
    <row r="194" spans="1:9">
      <c r="A194" s="21" t="s">
        <v>4</v>
      </c>
      <c r="B194" s="23">
        <v>2012</v>
      </c>
      <c r="C194" s="24">
        <v>8.27</v>
      </c>
      <c r="D194" s="2">
        <v>0.80785413744740531</v>
      </c>
      <c r="E194" s="25">
        <f t="shared" si="6"/>
        <v>86.326284612568131</v>
      </c>
      <c r="F194" s="25">
        <v>13.61824769433465</v>
      </c>
      <c r="G194" s="25">
        <f t="shared" si="8"/>
        <v>3229.8379337647307</v>
      </c>
      <c r="H194" s="25"/>
      <c r="I194" s="39"/>
    </row>
    <row r="195" spans="1:9">
      <c r="A195" s="21" t="s">
        <v>4</v>
      </c>
      <c r="B195" s="23">
        <v>2013</v>
      </c>
      <c r="C195" s="24">
        <v>11.64</v>
      </c>
      <c r="D195" s="2">
        <v>0.81954184198223468</v>
      </c>
      <c r="E195" s="25">
        <f t="shared" si="6"/>
        <v>85.559736854310657</v>
      </c>
      <c r="F195" s="25">
        <v>11.436296045961475</v>
      </c>
      <c r="G195" s="25">
        <f t="shared" si="8"/>
        <v>3796.8880602210052</v>
      </c>
      <c r="H195" s="25"/>
      <c r="I195" s="39"/>
    </row>
    <row r="196" spans="1:9">
      <c r="A196" s="21" t="s">
        <v>4</v>
      </c>
      <c r="B196" s="23">
        <v>2014</v>
      </c>
      <c r="C196" s="24">
        <v>10.6</v>
      </c>
      <c r="D196" s="2">
        <v>1.0032725572697521</v>
      </c>
      <c r="E196" s="25">
        <f t="shared" si="6"/>
        <v>85.815957520233184</v>
      </c>
      <c r="F196" s="25">
        <v>11.031429067546449</v>
      </c>
      <c r="G196" s="25">
        <f t="shared" si="8"/>
        <v>2716.3182532935612</v>
      </c>
      <c r="H196" s="25"/>
      <c r="I196" s="39"/>
    </row>
    <row r="197" spans="1:9">
      <c r="A197" s="21" t="s">
        <v>4</v>
      </c>
      <c r="B197" s="23">
        <v>2015</v>
      </c>
      <c r="C197" s="24">
        <v>10.56</v>
      </c>
      <c r="D197" s="2">
        <v>1</v>
      </c>
      <c r="E197" s="25">
        <f t="shared" si="6"/>
        <v>85.462378359761431</v>
      </c>
      <c r="F197" s="25">
        <v>11.040986579615524</v>
      </c>
      <c r="G197" s="25">
        <f t="shared" si="8"/>
        <v>2728.5179869423287</v>
      </c>
      <c r="H197" s="25"/>
      <c r="I197" s="39"/>
    </row>
    <row r="198" spans="1:9">
      <c r="A198" s="21" t="s">
        <v>4</v>
      </c>
      <c r="B198" s="23">
        <v>2016</v>
      </c>
      <c r="C198" s="24">
        <v>13.32</v>
      </c>
      <c r="D198" s="2">
        <v>1.1813931743805515</v>
      </c>
      <c r="E198" s="25">
        <f>(C198/D198)/(G198/(F198*2000))</f>
        <v>85.218490283921099</v>
      </c>
      <c r="F198" s="25">
        <v>9.6454976303317537</v>
      </c>
      <c r="G198" s="25">
        <f t="shared" si="8"/>
        <v>2552.2932139603195</v>
      </c>
      <c r="H198" s="25"/>
      <c r="I198" s="39"/>
    </row>
    <row r="199" spans="1:9">
      <c r="A199" s="21" t="s">
        <v>4</v>
      </c>
      <c r="B199" s="23">
        <v>2017</v>
      </c>
      <c r="C199" s="24">
        <v>16.86</v>
      </c>
      <c r="D199" s="2">
        <v>1.4385226741467976</v>
      </c>
      <c r="E199" s="25">
        <f t="shared" si="6"/>
        <v>83.487796139052776</v>
      </c>
      <c r="F199" s="25">
        <v>7.4879227053140101</v>
      </c>
      <c r="G199" s="25">
        <f t="shared" si="8"/>
        <v>2102.3702871628207</v>
      </c>
      <c r="H199" s="25"/>
      <c r="I199" s="39"/>
    </row>
    <row r="200" spans="1:9">
      <c r="A200" s="21" t="s">
        <v>4</v>
      </c>
      <c r="B200" s="23">
        <v>2018</v>
      </c>
      <c r="C200" s="24">
        <v>10.76</v>
      </c>
      <c r="D200" s="2">
        <v>1.5455820476858346</v>
      </c>
      <c r="E200" s="25">
        <f t="shared" si="6"/>
        <v>83.994328835951961</v>
      </c>
      <c r="F200" s="25">
        <v>10.65149136577708</v>
      </c>
      <c r="G200" s="25">
        <f t="shared" si="8"/>
        <v>1765.6745523124789</v>
      </c>
      <c r="H200" s="25"/>
      <c r="I200" s="39"/>
    </row>
    <row r="201" spans="1:9">
      <c r="A201" s="22" t="s">
        <v>4</v>
      </c>
      <c r="B201" s="14">
        <v>2019</v>
      </c>
      <c r="C201" s="11">
        <v>11.06</v>
      </c>
      <c r="D201" s="3">
        <v>1.1491351098644227</v>
      </c>
      <c r="E201" s="3">
        <f t="shared" si="6"/>
        <v>85.45886286657705</v>
      </c>
      <c r="F201" s="3">
        <v>10.357355568790947</v>
      </c>
      <c r="G201" s="3">
        <f t="shared" si="8"/>
        <v>2332.9520077577272</v>
      </c>
      <c r="H201" s="3"/>
      <c r="I201" s="40"/>
    </row>
    <row r="202" spans="1:9">
      <c r="I202"/>
    </row>
    <row r="203" spans="1:9">
      <c r="I203"/>
    </row>
    <row r="204" spans="1:9">
      <c r="I204"/>
    </row>
    <row r="205" spans="1:9">
      <c r="I205"/>
    </row>
    <row r="206" spans="1:9">
      <c r="I206"/>
    </row>
    <row r="207" spans="1:9">
      <c r="I207"/>
    </row>
    <row r="208" spans="1:9">
      <c r="I208"/>
    </row>
    <row r="209" spans="9:9">
      <c r="I209"/>
    </row>
    <row r="210" spans="9:9">
      <c r="I210"/>
    </row>
    <row r="211" spans="9:9">
      <c r="I211"/>
    </row>
  </sheetData>
  <phoneticPr fontId="2" type="noConversion"/>
  <pageMargins left="0.7" right="0.7" top="0.75" bottom="0.75" header="0.3" footer="0.3"/>
  <pageSetup scale="2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Grapefruit</vt:lpstr>
      <vt:lpstr>Lemon</vt:lpstr>
      <vt:lpstr>Orange</vt:lpstr>
      <vt:lpstr>Grapefruit!Print_Area</vt:lpstr>
      <vt:lpstr>Grapefruit!Print_Area_MI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2021-05-17T01:54:28Z</dcterms:created>
  <dcterms:modified xsi:type="dcterms:W3CDTF">2021-05-22T13:46:33Z</dcterms:modified>
</cp:coreProperties>
</file>