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charts/chart13.xml" ContentType="application/vnd.openxmlformats-officedocument.drawingml.chart+xml"/>
  <Override PartName="/xl/theme/themeOverride7.xml" ContentType="application/vnd.openxmlformats-officedocument.themeOverrid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theme/themeOverride8.xml" ContentType="application/vnd.openxmlformats-officedocument.themeOverrid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theme/themeOverride9.xml" ContentType="application/vnd.openxmlformats-officedocument.themeOverride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4260" tabRatio="500" activeTab="6"/>
  </bookViews>
  <sheets>
    <sheet name="Flux_fit_fixedT1" sheetId="10" r:id="rId1"/>
    <sheet name="Flux_fit" sheetId="9" r:id="rId2"/>
    <sheet name="UOK262" sheetId="3" r:id="rId3"/>
    <sheet name="UMRC6" sheetId="1" r:id="rId4"/>
    <sheet name="HK2" sheetId="2" r:id="rId5"/>
    <sheet name="Summary" sheetId="4" r:id="rId6"/>
    <sheet name="%Ex_Lac" sheetId="5" r:id="rId7"/>
    <sheet name="pHi" sheetId="6" r:id="rId8"/>
    <sheet name="Sheet1" sheetId="7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5" l="1"/>
  <c r="J9" i="5"/>
  <c r="J3" i="5"/>
  <c r="Y4" i="3"/>
  <c r="Y5" i="3"/>
  <c r="Y6" i="3"/>
  <c r="Y7" i="3"/>
  <c r="Y8" i="3"/>
  <c r="Y9" i="3"/>
  <c r="Y10" i="3"/>
  <c r="Y11" i="3"/>
  <c r="Y3" i="3"/>
  <c r="Y19" i="3"/>
  <c r="Y18" i="3"/>
  <c r="Y15" i="3"/>
  <c r="Y14" i="3"/>
  <c r="H9" i="4"/>
  <c r="H6" i="4"/>
  <c r="H10" i="4"/>
  <c r="H7" i="4"/>
  <c r="K9" i="5"/>
  <c r="K12" i="5"/>
  <c r="I12" i="5"/>
  <c r="I9" i="5"/>
  <c r="I3" i="5"/>
  <c r="L15" i="6"/>
  <c r="V15" i="10"/>
  <c r="V16" i="10"/>
  <c r="V6" i="10"/>
  <c r="V7" i="10"/>
  <c r="U15" i="10"/>
  <c r="U16" i="10"/>
  <c r="U17" i="10"/>
  <c r="U7" i="10"/>
  <c r="U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V14" i="10"/>
  <c r="U14" i="10"/>
  <c r="V13" i="10"/>
  <c r="U13" i="10"/>
  <c r="V12" i="10"/>
  <c r="U12" i="10"/>
  <c r="S7" i="10"/>
  <c r="R7" i="10"/>
  <c r="Q7" i="10"/>
  <c r="P7" i="10"/>
  <c r="O7" i="10"/>
  <c r="N7" i="10"/>
  <c r="M7" i="10"/>
  <c r="L7" i="10"/>
  <c r="K7" i="10"/>
  <c r="J7" i="10"/>
  <c r="I7" i="10"/>
  <c r="H7" i="10"/>
  <c r="S6" i="10"/>
  <c r="R6" i="10"/>
  <c r="Q6" i="10"/>
  <c r="P6" i="10"/>
  <c r="O6" i="10"/>
  <c r="N6" i="10"/>
  <c r="M6" i="10"/>
  <c r="L6" i="10"/>
  <c r="K6" i="10"/>
  <c r="J6" i="10"/>
  <c r="I6" i="10"/>
  <c r="H6" i="10"/>
  <c r="I7" i="9"/>
  <c r="J7" i="9"/>
  <c r="K7" i="9"/>
  <c r="L7" i="9"/>
  <c r="M7" i="9"/>
  <c r="N7" i="9"/>
  <c r="O7" i="9"/>
  <c r="P7" i="9"/>
  <c r="Q7" i="9"/>
  <c r="R7" i="9"/>
  <c r="S7" i="9"/>
  <c r="H7" i="9"/>
  <c r="U4" i="10"/>
  <c r="U5" i="10"/>
  <c r="U3" i="10"/>
  <c r="V4" i="10"/>
  <c r="V5" i="10"/>
  <c r="V3" i="10"/>
  <c r="I6" i="9"/>
  <c r="J6" i="9"/>
  <c r="K6" i="9"/>
  <c r="L6" i="9"/>
  <c r="M6" i="9"/>
  <c r="N6" i="9"/>
  <c r="O6" i="9"/>
  <c r="P6" i="9"/>
  <c r="Q6" i="9"/>
  <c r="R6" i="9"/>
  <c r="S6" i="9"/>
  <c r="H6" i="9"/>
  <c r="G22" i="10"/>
  <c r="E22" i="10"/>
  <c r="K21" i="10"/>
  <c r="G21" i="10"/>
  <c r="E21" i="10"/>
  <c r="G20" i="10"/>
  <c r="E20" i="10"/>
  <c r="G17" i="10"/>
  <c r="E17" i="10"/>
  <c r="G16" i="10"/>
  <c r="E16" i="10"/>
  <c r="G15" i="10"/>
  <c r="E15" i="10"/>
  <c r="G14" i="10"/>
  <c r="E14" i="10"/>
  <c r="G13" i="10"/>
  <c r="E13" i="10"/>
  <c r="G12" i="10"/>
  <c r="E12" i="10"/>
  <c r="G9" i="10"/>
  <c r="E9" i="10"/>
  <c r="G8" i="10"/>
  <c r="E8" i="10"/>
  <c r="G7" i="10"/>
  <c r="E7" i="10"/>
  <c r="G6" i="10"/>
  <c r="E6" i="10"/>
  <c r="G5" i="10"/>
  <c r="E5" i="10"/>
  <c r="G4" i="10"/>
  <c r="E4" i="10"/>
  <c r="G3" i="10"/>
  <c r="E3" i="10"/>
  <c r="K21" i="9"/>
  <c r="G13" i="9"/>
  <c r="G14" i="9"/>
  <c r="G15" i="9"/>
  <c r="G16" i="9"/>
  <c r="G17" i="9"/>
  <c r="G12" i="9"/>
  <c r="E13" i="9"/>
  <c r="E14" i="9"/>
  <c r="E15" i="9"/>
  <c r="E16" i="9"/>
  <c r="E17" i="9"/>
  <c r="E12" i="9"/>
  <c r="G21" i="9"/>
  <c r="G22" i="9"/>
  <c r="G20" i="9"/>
  <c r="E21" i="9"/>
  <c r="E22" i="9"/>
  <c r="E20" i="9"/>
  <c r="G9" i="9"/>
  <c r="E9" i="9"/>
  <c r="G8" i="9"/>
  <c r="E8" i="9"/>
  <c r="G7" i="9"/>
  <c r="E7" i="9"/>
  <c r="G6" i="9"/>
  <c r="E6" i="9"/>
  <c r="G5" i="9"/>
  <c r="E5" i="9"/>
  <c r="G4" i="9"/>
  <c r="E4" i="9"/>
  <c r="E3" i="9"/>
  <c r="G3" i="9"/>
  <c r="C3" i="5"/>
  <c r="C4" i="5"/>
  <c r="C9" i="5"/>
  <c r="O3" i="6"/>
  <c r="O2" i="6"/>
  <c r="L30" i="6"/>
  <c r="L29" i="6"/>
  <c r="J21" i="6"/>
  <c r="J20" i="6"/>
  <c r="F18" i="6"/>
  <c r="F19" i="6"/>
  <c r="F20" i="6"/>
  <c r="F21" i="6"/>
  <c r="L23" i="6"/>
  <c r="L22" i="6"/>
  <c r="I22" i="6"/>
  <c r="I23" i="6"/>
  <c r="F5" i="6"/>
  <c r="F6" i="6"/>
  <c r="F7" i="6"/>
  <c r="F8" i="6"/>
  <c r="F9" i="6"/>
  <c r="F10" i="6"/>
  <c r="F11" i="6"/>
  <c r="F12" i="6"/>
  <c r="F13" i="6"/>
  <c r="F14" i="6"/>
  <c r="L16" i="6"/>
  <c r="J18" i="6"/>
  <c r="J19" i="6"/>
  <c r="J22" i="6"/>
  <c r="J23" i="6"/>
  <c r="H22" i="6"/>
  <c r="H23" i="6"/>
  <c r="D22" i="6"/>
  <c r="D23" i="6"/>
  <c r="H15" i="6"/>
  <c r="H16" i="6"/>
  <c r="D15" i="6"/>
  <c r="D16" i="6"/>
  <c r="F22" i="6"/>
  <c r="F23" i="6"/>
  <c r="J6" i="6"/>
  <c r="J7" i="6"/>
  <c r="J8" i="6"/>
  <c r="J9" i="6"/>
  <c r="J10" i="6"/>
  <c r="J11" i="6"/>
  <c r="J12" i="6"/>
  <c r="J13" i="6"/>
  <c r="J14" i="6"/>
  <c r="J5" i="6"/>
  <c r="J15" i="6"/>
  <c r="J16" i="6"/>
  <c r="F15" i="6"/>
  <c r="F16" i="6"/>
  <c r="H29" i="6"/>
  <c r="H30" i="6"/>
  <c r="I15" i="6"/>
  <c r="I16" i="6"/>
  <c r="J28" i="6"/>
  <c r="J27" i="6"/>
  <c r="J26" i="6"/>
  <c r="J25" i="6"/>
  <c r="D29" i="6"/>
  <c r="D30" i="6"/>
  <c r="E22" i="6"/>
  <c r="E23" i="6"/>
  <c r="E15" i="6"/>
  <c r="E16" i="6"/>
  <c r="M8" i="5"/>
  <c r="R3" i="1"/>
  <c r="T3" i="1"/>
  <c r="R4" i="1"/>
  <c r="T4" i="1"/>
  <c r="R5" i="1"/>
  <c r="T5" i="1"/>
  <c r="T11" i="1"/>
  <c r="Q3" i="1"/>
  <c r="S3" i="1"/>
  <c r="Q4" i="1"/>
  <c r="S4" i="1"/>
  <c r="Q5" i="1"/>
  <c r="S5" i="1"/>
  <c r="S11" i="1"/>
  <c r="Z11" i="1"/>
  <c r="F29" i="5"/>
  <c r="E29" i="5"/>
  <c r="F26" i="5"/>
  <c r="E26" i="5"/>
  <c r="F23" i="5"/>
  <c r="E23" i="5"/>
  <c r="F12" i="5"/>
  <c r="E12" i="5"/>
  <c r="F9" i="5"/>
  <c r="E9" i="5"/>
  <c r="F3" i="5"/>
  <c r="E3" i="5"/>
  <c r="Q23" i="4"/>
  <c r="Q22" i="4"/>
  <c r="Q20" i="4"/>
  <c r="Q19" i="4"/>
  <c r="Q17" i="4"/>
  <c r="Q16" i="4"/>
  <c r="Q10" i="4"/>
  <c r="Q7" i="4"/>
  <c r="Q4" i="4"/>
  <c r="Q9" i="4"/>
  <c r="Q6" i="4"/>
  <c r="Q3" i="4"/>
  <c r="I10" i="4"/>
  <c r="K10" i="4"/>
  <c r="I7" i="4"/>
  <c r="K7" i="4"/>
  <c r="I4" i="4"/>
  <c r="K4" i="4"/>
  <c r="L10" i="4"/>
  <c r="J10" i="4"/>
  <c r="L7" i="4"/>
  <c r="J7" i="4"/>
  <c r="J4" i="4"/>
  <c r="L4" i="4"/>
  <c r="L23" i="4"/>
  <c r="J23" i="4"/>
  <c r="I23" i="4"/>
  <c r="L22" i="4"/>
  <c r="J22" i="4"/>
  <c r="I22" i="4"/>
  <c r="L20" i="4"/>
  <c r="J20" i="4"/>
  <c r="I20" i="4"/>
  <c r="L19" i="4"/>
  <c r="J19" i="4"/>
  <c r="I19" i="4"/>
  <c r="J17" i="4"/>
  <c r="L17" i="4"/>
  <c r="I17" i="4"/>
  <c r="J16" i="4"/>
  <c r="L16" i="4"/>
  <c r="I16" i="4"/>
  <c r="C29" i="5"/>
  <c r="C24" i="5"/>
  <c r="C23" i="5"/>
  <c r="R6" i="2"/>
  <c r="T6" i="2"/>
  <c r="Q6" i="2"/>
  <c r="S6" i="2"/>
  <c r="Y6" i="2"/>
  <c r="R7" i="2"/>
  <c r="T7" i="2"/>
  <c r="Q7" i="2"/>
  <c r="S7" i="2"/>
  <c r="Y7" i="2"/>
  <c r="R8" i="2"/>
  <c r="T8" i="2"/>
  <c r="Q8" i="2"/>
  <c r="S8" i="2"/>
  <c r="Y8" i="2"/>
  <c r="Y15" i="2"/>
  <c r="Y14" i="2"/>
  <c r="R3" i="2"/>
  <c r="T3" i="2"/>
  <c r="Q3" i="2"/>
  <c r="S3" i="2"/>
  <c r="Y3" i="2"/>
  <c r="R4" i="2"/>
  <c r="T4" i="2"/>
  <c r="Q4" i="2"/>
  <c r="S4" i="2"/>
  <c r="Y4" i="2"/>
  <c r="R5" i="2"/>
  <c r="T5" i="2"/>
  <c r="Q5" i="2"/>
  <c r="S5" i="2"/>
  <c r="Y5" i="2"/>
  <c r="Y12" i="2"/>
  <c r="Y11" i="2"/>
  <c r="R6" i="1"/>
  <c r="T6" i="1"/>
  <c r="Q6" i="1"/>
  <c r="S6" i="1"/>
  <c r="Y6" i="1"/>
  <c r="R7" i="1"/>
  <c r="T7" i="1"/>
  <c r="Q7" i="1"/>
  <c r="S7" i="1"/>
  <c r="Y7" i="1"/>
  <c r="R8" i="1"/>
  <c r="T8" i="1"/>
  <c r="Q8" i="1"/>
  <c r="S8" i="1"/>
  <c r="Y8" i="1"/>
  <c r="Y15" i="1"/>
  <c r="Y14" i="1"/>
  <c r="Y3" i="1"/>
  <c r="Y4" i="1"/>
  <c r="Y5" i="1"/>
  <c r="Y12" i="1"/>
  <c r="Y11" i="1"/>
  <c r="R9" i="3"/>
  <c r="T9" i="3"/>
  <c r="Q9" i="3"/>
  <c r="S9" i="3"/>
  <c r="Z9" i="3"/>
  <c r="R10" i="3"/>
  <c r="T10" i="3"/>
  <c r="Q10" i="3"/>
  <c r="S10" i="3"/>
  <c r="Z10" i="3"/>
  <c r="R11" i="3"/>
  <c r="T11" i="3"/>
  <c r="Q11" i="3"/>
  <c r="S11" i="3"/>
  <c r="Z11" i="3"/>
  <c r="Z19" i="3"/>
  <c r="Z18" i="3"/>
  <c r="R3" i="3"/>
  <c r="T3" i="3"/>
  <c r="Q3" i="3"/>
  <c r="S3" i="3"/>
  <c r="Z3" i="3"/>
  <c r="R4" i="3"/>
  <c r="T4" i="3"/>
  <c r="Q4" i="3"/>
  <c r="S4" i="3"/>
  <c r="Z4" i="3"/>
  <c r="R5" i="3"/>
  <c r="T5" i="3"/>
  <c r="Q5" i="3"/>
  <c r="S5" i="3"/>
  <c r="Z5" i="3"/>
  <c r="R6" i="3"/>
  <c r="T6" i="3"/>
  <c r="Q6" i="3"/>
  <c r="S6" i="3"/>
  <c r="Z6" i="3"/>
  <c r="R7" i="3"/>
  <c r="T7" i="3"/>
  <c r="Q7" i="3"/>
  <c r="S7" i="3"/>
  <c r="Z7" i="3"/>
  <c r="R8" i="3"/>
  <c r="T8" i="3"/>
  <c r="Q8" i="3"/>
  <c r="S8" i="3"/>
  <c r="Z8" i="3"/>
  <c r="Z15" i="3"/>
  <c r="Z14" i="3"/>
  <c r="O9" i="4"/>
  <c r="O6" i="4"/>
  <c r="O3" i="4"/>
  <c r="G10" i="4"/>
  <c r="G7" i="4"/>
  <c r="G4" i="4"/>
  <c r="U8" i="1"/>
  <c r="U5" i="1"/>
  <c r="X8" i="1"/>
  <c r="U7" i="1"/>
  <c r="U4" i="1"/>
  <c r="X7" i="1"/>
  <c r="U6" i="1"/>
  <c r="U3" i="1"/>
  <c r="X6" i="1"/>
  <c r="U14" i="1"/>
  <c r="U11" i="1"/>
  <c r="X15" i="1"/>
  <c r="X14" i="1"/>
  <c r="U6" i="2"/>
  <c r="U7" i="2"/>
  <c r="U3" i="2"/>
  <c r="U4" i="2"/>
  <c r="X6" i="2"/>
  <c r="U8" i="2"/>
  <c r="U5" i="2"/>
  <c r="X8" i="2"/>
  <c r="X15" i="2"/>
  <c r="X14" i="2"/>
  <c r="V6" i="1"/>
  <c r="V3" i="1"/>
  <c r="V4" i="1"/>
  <c r="V7" i="1"/>
  <c r="V5" i="1"/>
  <c r="V8" i="1"/>
  <c r="V17" i="1"/>
  <c r="U17" i="1"/>
  <c r="T17" i="1"/>
  <c r="S17" i="1"/>
  <c r="R17" i="1"/>
  <c r="Q17" i="1"/>
  <c r="V15" i="1"/>
  <c r="U15" i="1"/>
  <c r="T15" i="1"/>
  <c r="S15" i="1"/>
  <c r="R15" i="1"/>
  <c r="Q15" i="1"/>
  <c r="V14" i="1"/>
  <c r="T14" i="1"/>
  <c r="S14" i="1"/>
  <c r="R14" i="1"/>
  <c r="Q14" i="1"/>
  <c r="V12" i="1"/>
  <c r="U12" i="1"/>
  <c r="T12" i="1"/>
  <c r="S12" i="1"/>
  <c r="R12" i="1"/>
  <c r="Q12" i="1"/>
  <c r="V11" i="1"/>
  <c r="R11" i="1"/>
  <c r="Q11" i="1"/>
  <c r="W6" i="1"/>
  <c r="W3" i="1"/>
  <c r="W4" i="1"/>
  <c r="W7" i="1"/>
  <c r="W5" i="1"/>
  <c r="W8" i="1"/>
  <c r="W17" i="1"/>
  <c r="W14" i="1"/>
  <c r="W15" i="1"/>
  <c r="W11" i="1"/>
  <c r="W12" i="1"/>
  <c r="X17" i="1"/>
  <c r="R17" i="2"/>
  <c r="S17" i="2"/>
  <c r="T17" i="2"/>
  <c r="U17" i="2"/>
  <c r="Q17" i="2"/>
  <c r="Q14" i="3"/>
  <c r="Q15" i="3"/>
  <c r="R14" i="3"/>
  <c r="S14" i="3"/>
  <c r="T14" i="3"/>
  <c r="U3" i="3"/>
  <c r="U4" i="3"/>
  <c r="U5" i="3"/>
  <c r="U6" i="3"/>
  <c r="U7" i="3"/>
  <c r="U8" i="3"/>
  <c r="U14" i="3"/>
  <c r="V3" i="3"/>
  <c r="V4" i="3"/>
  <c r="V5" i="3"/>
  <c r="V6" i="3"/>
  <c r="V7" i="3"/>
  <c r="V8" i="3"/>
  <c r="V14" i="3"/>
  <c r="W3" i="3"/>
  <c r="W4" i="3"/>
  <c r="W5" i="3"/>
  <c r="W6" i="3"/>
  <c r="W7" i="3"/>
  <c r="W8" i="3"/>
  <c r="W14" i="3"/>
  <c r="R15" i="3"/>
  <c r="S15" i="3"/>
  <c r="T15" i="3"/>
  <c r="U15" i="3"/>
  <c r="V15" i="3"/>
  <c r="W15" i="3"/>
  <c r="U9" i="3"/>
  <c r="X9" i="3"/>
  <c r="U10" i="3"/>
  <c r="X10" i="3"/>
  <c r="U11" i="3"/>
  <c r="X11" i="3"/>
  <c r="X19" i="3"/>
  <c r="W9" i="3"/>
  <c r="W10" i="3"/>
  <c r="W11" i="3"/>
  <c r="W19" i="3"/>
  <c r="V9" i="3"/>
  <c r="V10" i="3"/>
  <c r="V11" i="3"/>
  <c r="V19" i="3"/>
  <c r="U19" i="3"/>
  <c r="T19" i="3"/>
  <c r="S19" i="3"/>
  <c r="R19" i="3"/>
  <c r="Q19" i="3"/>
  <c r="P9" i="3"/>
  <c r="P10" i="3"/>
  <c r="P11" i="3"/>
  <c r="P19" i="3"/>
  <c r="X18" i="3"/>
  <c r="W18" i="3"/>
  <c r="V18" i="3"/>
  <c r="U18" i="3"/>
  <c r="T18" i="3"/>
  <c r="S18" i="3"/>
  <c r="R18" i="3"/>
  <c r="Q18" i="3"/>
  <c r="P18" i="3"/>
  <c r="P3" i="3"/>
  <c r="P4" i="3"/>
  <c r="P5" i="3"/>
  <c r="P6" i="3"/>
  <c r="P7" i="3"/>
  <c r="P8" i="3"/>
  <c r="P15" i="3"/>
  <c r="P14" i="3"/>
  <c r="R14" i="2"/>
  <c r="S14" i="2"/>
  <c r="T14" i="2"/>
  <c r="U14" i="2"/>
  <c r="V6" i="2"/>
  <c r="V7" i="2"/>
  <c r="V8" i="2"/>
  <c r="V14" i="2"/>
  <c r="W6" i="2"/>
  <c r="W7" i="2"/>
  <c r="W8" i="2"/>
  <c r="W14" i="2"/>
  <c r="R15" i="2"/>
  <c r="S15" i="2"/>
  <c r="T15" i="2"/>
  <c r="U15" i="2"/>
  <c r="V15" i="2"/>
  <c r="W15" i="2"/>
  <c r="Q15" i="2"/>
  <c r="Q14" i="2"/>
  <c r="R11" i="2"/>
  <c r="S11" i="2"/>
  <c r="T11" i="2"/>
  <c r="U11" i="2"/>
  <c r="V3" i="2"/>
  <c r="V4" i="2"/>
  <c r="V5" i="2"/>
  <c r="V11" i="2"/>
  <c r="W3" i="2"/>
  <c r="W4" i="2"/>
  <c r="W5" i="2"/>
  <c r="W11" i="2"/>
  <c r="R12" i="2"/>
  <c r="S12" i="2"/>
  <c r="T12" i="2"/>
  <c r="U12" i="2"/>
  <c r="V12" i="2"/>
  <c r="W12" i="2"/>
  <c r="Q12" i="2"/>
  <c r="Q11" i="2"/>
  <c r="Q21" i="3"/>
  <c r="R21" i="3"/>
  <c r="S21" i="3"/>
  <c r="T21" i="3"/>
  <c r="U21" i="3"/>
  <c r="V21" i="3"/>
  <c r="W21" i="3"/>
  <c r="W17" i="2"/>
  <c r="V17" i="2"/>
  <c r="G22" i="6"/>
</calcChain>
</file>

<file path=xl/sharedStrings.xml><?xml version="1.0" encoding="utf-8"?>
<sst xmlns="http://schemas.openxmlformats.org/spreadsheetml/2006/main" count="400" uniqueCount="118">
  <si>
    <t>Date</t>
  </si>
  <si>
    <t>shot#</t>
  </si>
  <si>
    <t>Weight</t>
  </si>
  <si>
    <t>Lactate/Pyr (/ eretic/bNTP/mg of Pyr)</t>
  </si>
  <si>
    <t>Lactate Intra/Extra</t>
  </si>
  <si>
    <t>Total Lac/Pyr (/ eretic/bNTP/mg of Pyr)</t>
  </si>
  <si>
    <t>C1Pyr (mg)</t>
  </si>
  <si>
    <t>bNTP (nmols)</t>
  </si>
  <si>
    <t>C1Pyr</t>
  </si>
  <si>
    <t>C1Pyr-Hyd</t>
  </si>
  <si>
    <t>Lac-Intra</t>
  </si>
  <si>
    <t>Lac-Extracellular</t>
  </si>
  <si>
    <t>Intra</t>
  </si>
  <si>
    <t>Extra</t>
  </si>
  <si>
    <t>31P scan #</t>
  </si>
  <si>
    <t>Area (LB=0.5)</t>
  </si>
  <si>
    <t>Lactate/Pyr (bNTP/mg of Pyr)</t>
  </si>
  <si>
    <t>Total Lac/Pyr (bNTP/mg of Pyr)</t>
  </si>
  <si>
    <t>Expt condition</t>
  </si>
  <si>
    <t>0.5ml/min</t>
  </si>
  <si>
    <t>from summed spectra</t>
  </si>
  <si>
    <t>yes</t>
  </si>
  <si>
    <t>CO2</t>
  </si>
  <si>
    <t>Bicarb</t>
  </si>
  <si>
    <t>Alanine</t>
  </si>
  <si>
    <t xml:space="preserve"> Eretic (avg)</t>
  </si>
  <si>
    <t>no</t>
  </si>
  <si>
    <t>Tx 1mM DiDS</t>
  </si>
  <si>
    <t>6/27/14 UMRC6B</t>
  </si>
  <si>
    <t>Normal Flow</t>
  </si>
  <si>
    <t>Avg</t>
  </si>
  <si>
    <t>s.E</t>
  </si>
  <si>
    <t>S.E</t>
  </si>
  <si>
    <t>From summed spectra</t>
  </si>
  <si>
    <t>Pyr/Eretic</t>
  </si>
  <si>
    <t>% to control Lacin/Lacout</t>
  </si>
  <si>
    <t>Flow (ml/min)</t>
  </si>
  <si>
    <t>CO2/Pyr</t>
  </si>
  <si>
    <t>Bicarb/Pyr</t>
  </si>
  <si>
    <t xml:space="preserve"> Eretic (scan1)</t>
  </si>
  <si>
    <t>Ala/pyr</t>
  </si>
  <si>
    <t>0.5 ml/min</t>
  </si>
  <si>
    <t>10/8/13 B</t>
  </si>
  <si>
    <t>noisy data</t>
  </si>
  <si>
    <t>6,7avg</t>
  </si>
  <si>
    <t>Tx 1mM</t>
  </si>
  <si>
    <t>DiDS 1mM</t>
  </si>
  <si>
    <t>t.test</t>
  </si>
  <si>
    <t>Intracellular</t>
  </si>
  <si>
    <t>Extracellular</t>
  </si>
  <si>
    <t xml:space="preserve">(Intracellular/Extracellular) </t>
  </si>
  <si>
    <t>Cell line</t>
  </si>
  <si>
    <t>UOK262</t>
  </si>
  <si>
    <t>0.5 ml/min flow</t>
  </si>
  <si>
    <t>Control</t>
  </si>
  <si>
    <t>UMRC6</t>
  </si>
  <si>
    <t>HK2</t>
  </si>
  <si>
    <t>1mM DIDS</t>
  </si>
  <si>
    <t>Ex/Intra ratio</t>
  </si>
  <si>
    <t>Ex to total lac ratio %</t>
  </si>
  <si>
    <t>% Ex Lac/ (tot Lac)</t>
  </si>
  <si>
    <t>DiDs</t>
  </si>
  <si>
    <t>uok262</t>
  </si>
  <si>
    <t>umrc6</t>
  </si>
  <si>
    <t>HK-2</t>
  </si>
  <si>
    <t>T.test</t>
  </si>
  <si>
    <t>uok vs umrc</t>
  </si>
  <si>
    <t>uok vs hk2</t>
  </si>
  <si>
    <t>umrc6 vs hk2</t>
  </si>
  <si>
    <t>% change from control</t>
  </si>
  <si>
    <t>Mean</t>
  </si>
  <si>
    <t>MCT4 expression</t>
  </si>
  <si>
    <t>LDHA</t>
  </si>
  <si>
    <t>Cell Line</t>
  </si>
  <si>
    <t>Shot#</t>
  </si>
  <si>
    <t>Cell pH</t>
  </si>
  <si>
    <t>Media pH</t>
  </si>
  <si>
    <t>control</t>
  </si>
  <si>
    <t>during DiDS</t>
  </si>
  <si>
    <t>6/27/14B</t>
  </si>
  <si>
    <t>6/27/14 HK2B</t>
  </si>
  <si>
    <t>6/27/14 HK2-B</t>
  </si>
  <si>
    <t>dids</t>
  </si>
  <si>
    <t>Avg media pH measured at 37C after incubating 8ml in a 60mm petri dish for 2.5 hrs</t>
  </si>
  <si>
    <t>If media is calibrated to 7.67</t>
  </si>
  <si>
    <t xml:space="preserve"> Adam, W. R.; Koretsky, A. P.; Weiner, M. W.</t>
  </si>
  <si>
    <t>Lutz, N. W.; Franks, S. E.; Frank, M. H.; Pomer, S.; Hull, W. E. MAGMA 2005, 18, 144–161.</t>
  </si>
  <si>
    <t xml:space="preserve">pHi using </t>
  </si>
  <si>
    <t>Ttoal Avg using both methods</t>
  </si>
  <si>
    <t>Conditions</t>
  </si>
  <si>
    <t>mg of Pyr</t>
  </si>
  <si>
    <t>umol of Pyr</t>
  </si>
  <si>
    <t># of cells (million)</t>
  </si>
  <si>
    <t>Kpl</t>
  </si>
  <si>
    <t>Klp</t>
  </si>
  <si>
    <t>Input function</t>
  </si>
  <si>
    <t>3xPyr-control</t>
  </si>
  <si>
    <t>1mM DiDS</t>
  </si>
  <si>
    <t>Bertrams data</t>
  </si>
  <si>
    <t>FROM CellTitlerGlo ATP Assay Excel sheet</t>
  </si>
  <si>
    <t>only used 1/5 of polarized pyr, hence (1/5)</t>
  </si>
  <si>
    <t>(mg)*(1g/1000mg)*(mol/89g)*(1e6umol/mol)*(1ml/5ml)</t>
  </si>
  <si>
    <t>divide by</t>
  </si>
  <si>
    <t>R2&gt;0.98</t>
    <phoneticPr fontId="0" type="noConversion"/>
  </si>
  <si>
    <t>molesATP/cell#</t>
  </si>
  <si>
    <t>T1_Pyr</t>
  </si>
  <si>
    <t>Flow_Pyr</t>
  </si>
  <si>
    <t>T1_Lacin</t>
  </si>
  <si>
    <t>K_MCT4</t>
  </si>
  <si>
    <t>T1_Lacex</t>
  </si>
  <si>
    <t>Flow_Lacex</t>
  </si>
  <si>
    <t>K_MCT1</t>
  </si>
  <si>
    <t>S.D</t>
  </si>
  <si>
    <t>Kpl (umol Lac/s) norm to</t>
  </si>
  <si>
    <t>10^6 cells</t>
  </si>
  <si>
    <t>bNTP (nmols</t>
  </si>
  <si>
    <t>Lac in/ex</t>
  </si>
  <si>
    <t>% In Lac/ (tot Lac)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</si>
</sst>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b/>
      <u/>
      <sz val="12"/>
      <color rgb="FFFF0000"/>
      <name val="Calibri"/>
      <scheme val="minor"/>
    </font>
    <font>
      <b/>
      <u/>
      <sz val="12"/>
      <color theme="1"/>
      <name val="Calibri"/>
      <scheme val="minor"/>
    </font>
    <font>
      <sz val="10"/>
      <name val="Arial"/>
    </font>
    <font>
      <b/>
      <sz val="10"/>
      <name val="Arial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14" fontId="2" fillId="0" borderId="0" xfId="0" applyNumberFormat="1" applyFont="1"/>
    <xf numFmtId="1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Fill="1"/>
    <xf numFmtId="0" fontId="0" fillId="0" borderId="0" xfId="0" applyAlignment="1">
      <alignment horizontal="right" wrapText="1"/>
    </xf>
    <xf numFmtId="0" fontId="5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right"/>
    </xf>
    <xf numFmtId="1" fontId="0" fillId="3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164" fontId="0" fillId="3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1" fontId="0" fillId="4" borderId="0" xfId="0" applyNumberFormat="1" applyFill="1"/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right" wrapText="1"/>
    </xf>
    <xf numFmtId="164" fontId="0" fillId="4" borderId="0" xfId="0" applyNumberForma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right" wrapText="1"/>
    </xf>
    <xf numFmtId="164" fontId="0" fillId="0" borderId="0" xfId="0" applyNumberFormat="1" applyFill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/>
    <xf numFmtId="0" fontId="6" fillId="0" borderId="0" xfId="0" applyFont="1"/>
    <xf numFmtId="2" fontId="0" fillId="0" borderId="0" xfId="0" applyNumberFormat="1" applyBorder="1"/>
    <xf numFmtId="2" fontId="0" fillId="0" borderId="1" xfId="0" applyNumberFormat="1" applyBorder="1"/>
    <xf numFmtId="0" fontId="7" fillId="0" borderId="0" xfId="0" applyFont="1"/>
    <xf numFmtId="0" fontId="0" fillId="0" borderId="0" xfId="0" applyAlignment="1">
      <alignment horizontal="center" wrapText="1"/>
    </xf>
    <xf numFmtId="1" fontId="0" fillId="0" borderId="2" xfId="0" applyNumberFormat="1" applyBorder="1"/>
    <xf numFmtId="0" fontId="8" fillId="0" borderId="3" xfId="325" applyBorder="1"/>
    <xf numFmtId="0" fontId="9" fillId="0" borderId="4" xfId="325" applyFont="1" applyBorder="1"/>
    <xf numFmtId="0" fontId="8" fillId="0" borderId="4" xfId="325" applyBorder="1"/>
    <xf numFmtId="0" fontId="8" fillId="0" borderId="5" xfId="325" applyBorder="1"/>
    <xf numFmtId="0" fontId="8" fillId="0" borderId="0" xfId="325" applyBorder="1"/>
    <xf numFmtId="0" fontId="8" fillId="0" borderId="6" xfId="325" applyBorder="1"/>
    <xf numFmtId="0" fontId="8" fillId="0" borderId="2" xfId="325" applyBorder="1"/>
    <xf numFmtId="0" fontId="8" fillId="0" borderId="6" xfId="325" applyFont="1" applyBorder="1"/>
    <xf numFmtId="0" fontId="8" fillId="0" borderId="0" xfId="0" applyFont="1" applyBorder="1"/>
    <xf numFmtId="11" fontId="8" fillId="0" borderId="0" xfId="0" applyNumberFormat="1" applyFont="1" applyBorder="1"/>
    <xf numFmtId="0" fontId="8" fillId="0" borderId="2" xfId="0" applyFont="1" applyBorder="1"/>
    <xf numFmtId="0" fontId="8" fillId="0" borderId="7" xfId="325" applyBorder="1"/>
    <xf numFmtId="0" fontId="8" fillId="0" borderId="1" xfId="0" applyFont="1" applyBorder="1"/>
    <xf numFmtId="11" fontId="8" fillId="0" borderId="1" xfId="0" applyNumberFormat="1" applyFont="1" applyBorder="1"/>
    <xf numFmtId="0" fontId="8" fillId="0" borderId="8" xfId="0" applyFont="1" applyBorder="1"/>
    <xf numFmtId="0" fontId="8" fillId="0" borderId="0" xfId="325"/>
    <xf numFmtId="1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6" fillId="0" borderId="10" xfId="0" applyFont="1" applyBorder="1"/>
    <xf numFmtId="0" fontId="0" fillId="0" borderId="10" xfId="0" applyBorder="1" applyAlignment="1">
      <alignment wrapText="1"/>
    </xf>
    <xf numFmtId="2" fontId="0" fillId="0" borderId="10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0" xfId="0" applyBorder="1" applyAlignment="1">
      <alignment horizontal="center" wrapText="1"/>
    </xf>
  </cellXfs>
  <cellStyles count="4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Normal" xfId="0" builtinId="0"/>
    <cellStyle name="Normal 2" xfId="32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'UOK262'!$S$15:$U$15</c:f>
                <c:numCache>
                  <c:formatCode>General</c:formatCode>
                  <c:ptCount val="3"/>
                  <c:pt idx="0">
                    <c:v>2.756956945163692</c:v>
                  </c:pt>
                  <c:pt idx="1">
                    <c:v>1.611582933443806</c:v>
                  </c:pt>
                  <c:pt idx="2">
                    <c:v>0.323354469051118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'UOK262'!$S$23:$U$23</c:f>
              <c:strCache>
                <c:ptCount val="3"/>
                <c:pt idx="0">
                  <c:v>Intracellular</c:v>
                </c:pt>
                <c:pt idx="1">
                  <c:v>Extracellular</c:v>
                </c:pt>
                <c:pt idx="2">
                  <c:v>(Intracellular/Extracellular) </c:v>
                </c:pt>
              </c:strCache>
            </c:strRef>
          </c:cat>
          <c:val>
            <c:numRef>
              <c:f>'UOK262'!$S$14:$U$14</c:f>
              <c:numCache>
                <c:formatCode>General</c:formatCode>
                <c:ptCount val="3"/>
                <c:pt idx="0">
                  <c:v>9.912290262098602</c:v>
                </c:pt>
                <c:pt idx="1">
                  <c:v>6.42197323258278</c:v>
                </c:pt>
                <c:pt idx="2">
                  <c:v>1.820713817124389</c:v>
                </c:pt>
              </c:numCache>
            </c:numRef>
          </c:val>
        </c:ser>
        <c:ser>
          <c:idx val="1"/>
          <c:order val="1"/>
          <c:tx>
            <c:v>DiDS treated</c:v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'UOK262'!$S$19:$U$19</c:f>
                <c:numCache>
                  <c:formatCode>General</c:formatCode>
                  <c:ptCount val="3"/>
                  <c:pt idx="0">
                    <c:v>1.389493970650594</c:v>
                  </c:pt>
                  <c:pt idx="1">
                    <c:v>0.403252315099908</c:v>
                  </c:pt>
                  <c:pt idx="2">
                    <c:v>0.36185956914513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'UOK262'!$S$23:$U$23</c:f>
              <c:strCache>
                <c:ptCount val="3"/>
                <c:pt idx="0">
                  <c:v>Intracellular</c:v>
                </c:pt>
                <c:pt idx="1">
                  <c:v>Extracellular</c:v>
                </c:pt>
                <c:pt idx="2">
                  <c:v>(Intracellular/Extracellular) </c:v>
                </c:pt>
              </c:strCache>
            </c:strRef>
          </c:cat>
          <c:val>
            <c:numRef>
              <c:f>'UOK262'!$S$18:$U$18</c:f>
              <c:numCache>
                <c:formatCode>General</c:formatCode>
                <c:ptCount val="3"/>
                <c:pt idx="0">
                  <c:v>5.567810189372904</c:v>
                </c:pt>
                <c:pt idx="1">
                  <c:v>1.420995327061369</c:v>
                </c:pt>
                <c:pt idx="2">
                  <c:v>4.085083526388364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329160"/>
        <c:axId val="2121789528"/>
      </c:barChart>
      <c:catAx>
        <c:axId val="209732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Lactate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2121789528"/>
        <c:crosses val="autoZero"/>
        <c:auto val="1"/>
        <c:lblAlgn val="ctr"/>
        <c:lblOffset val="100"/>
        <c:noMultiLvlLbl val="0"/>
      </c:catAx>
      <c:valAx>
        <c:axId val="2121789528"/>
        <c:scaling>
          <c:orientation val="minMax"/>
          <c:max val="12.9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area under the curve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097329160"/>
        <c:crosses val="autoZero"/>
        <c:crossBetween val="between"/>
        <c:majorUnit val="4.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37844690234835"/>
          <c:y val="0.0486092871609042"/>
          <c:w val="0.241038427888822"/>
          <c:h val="0.264629265091863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12700" cmpd="sng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(Summary!$E$4,Summary!$E$7,Summary!$E$10)</c:f>
                <c:numCache>
                  <c:formatCode>General</c:formatCode>
                  <c:ptCount val="3"/>
                  <c:pt idx="0">
                    <c:v>0.323354469051118</c:v>
                  </c:pt>
                  <c:pt idx="1">
                    <c:v>0.996452608871533</c:v>
                  </c:pt>
                  <c:pt idx="2">
                    <c:v>0.374994071006158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(Summary!$E$3,Summary!$E$6,Summary!$E$9)</c:f>
              <c:numCache>
                <c:formatCode>0.00</c:formatCode>
                <c:ptCount val="3"/>
                <c:pt idx="0">
                  <c:v>1.820713817124389</c:v>
                </c:pt>
                <c:pt idx="1">
                  <c:v>3.661148837195625</c:v>
                </c:pt>
                <c:pt idx="2">
                  <c:v>4.798831716114098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08640472"/>
        <c:axId val="2108643624"/>
      </c:barChart>
      <c:catAx>
        <c:axId val="210864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2108643624"/>
        <c:crosses val="autoZero"/>
        <c:auto val="1"/>
        <c:lblAlgn val="ctr"/>
        <c:lblOffset val="100"/>
        <c:noMultiLvlLbl val="0"/>
      </c:catAx>
      <c:valAx>
        <c:axId val="2108643624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Lacin/Lacex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0864047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Intra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(Summary!$C$4,Summary!$C$7,Summary!$C$10)</c:f>
                <c:numCache>
                  <c:formatCode>General</c:formatCode>
                  <c:ptCount val="3"/>
                  <c:pt idx="0">
                    <c:v>2.756956945163692</c:v>
                  </c:pt>
                  <c:pt idx="1">
                    <c:v>45.99246709030935</c:v>
                  </c:pt>
                  <c:pt idx="2">
                    <c:v>36.62720749447273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(Summary!$C$3,Summary!$C$6,Summary!$C$9)</c:f>
              <c:numCache>
                <c:formatCode>0.00</c:formatCode>
                <c:ptCount val="3"/>
                <c:pt idx="0">
                  <c:v>9.912290262098602</c:v>
                </c:pt>
                <c:pt idx="1">
                  <c:v>124.2217866593515</c:v>
                </c:pt>
                <c:pt idx="2">
                  <c:v>104.9428718602637</c:v>
                </c:pt>
              </c:numCache>
            </c:numRef>
          </c:val>
        </c:ser>
        <c:ser>
          <c:idx val="1"/>
          <c:order val="1"/>
          <c:tx>
            <c:strRef>
              <c:f>Summary!$D$2</c:f>
              <c:strCache>
                <c:ptCount val="1"/>
                <c:pt idx="0">
                  <c:v>Extra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(Summary!$D$4,Summary!$D$7,Summary!$D$10)</c:f>
                <c:numCache>
                  <c:formatCode>General</c:formatCode>
                  <c:ptCount val="3"/>
                  <c:pt idx="0">
                    <c:v>1.611582933443806</c:v>
                  </c:pt>
                  <c:pt idx="1">
                    <c:v>21.60212998838924</c:v>
                  </c:pt>
                  <c:pt idx="2">
                    <c:v>8.253514369591393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(Summary!$D$3,Summary!$D$6,Summary!$D$9)</c:f>
              <c:numCache>
                <c:formatCode>0.00</c:formatCode>
                <c:ptCount val="3"/>
                <c:pt idx="0">
                  <c:v>6.42197323258278</c:v>
                </c:pt>
                <c:pt idx="1">
                  <c:v>42.09958298002523</c:v>
                </c:pt>
                <c:pt idx="2">
                  <c:v>22.35534309783936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928440"/>
        <c:axId val="2070727752"/>
      </c:barChart>
      <c:catAx>
        <c:axId val="211992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727752"/>
        <c:crosses val="autoZero"/>
        <c:auto val="1"/>
        <c:lblAlgn val="ctr"/>
        <c:lblOffset val="100"/>
        <c:noMultiLvlLbl val="0"/>
      </c:catAx>
      <c:valAx>
        <c:axId val="2070727752"/>
        <c:scaling>
          <c:orientation val="minMax"/>
          <c:max val="18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Lactate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19928440"/>
        <c:crosses val="autoZero"/>
        <c:crossBetween val="between"/>
        <c:majorUnit val="5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('%Ex_Lac'!$F$3,'%Ex_Lac'!$F$9,'%Ex_Lac'!$F$12)</c:f>
                <c:numCache>
                  <c:formatCode>General</c:formatCode>
                  <c:ptCount val="3"/>
                  <c:pt idx="0">
                    <c:v>4.7354387809232</c:v>
                  </c:pt>
                  <c:pt idx="1">
                    <c:v>4.114502842489411</c:v>
                  </c:pt>
                  <c:pt idx="2">
                    <c:v>1.077137407774399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('%Ex_Lac'!$E$3,'%Ex_Lac'!$E$9,'%Ex_Lac'!$E$12)</c:f>
              <c:numCache>
                <c:formatCode>0</c:formatCode>
                <c:ptCount val="3"/>
                <c:pt idx="0">
                  <c:v>38.1152101967649</c:v>
                </c:pt>
                <c:pt idx="1">
                  <c:v>23.21072978818655</c:v>
                </c:pt>
                <c:pt idx="2">
                  <c:v>17.38401195339544</c:v>
                </c:pt>
              </c:numCache>
            </c:numRef>
          </c:val>
        </c:ser>
        <c:ser>
          <c:idx val="1"/>
          <c:order val="1"/>
          <c:tx>
            <c:v>DiDS treated</c:v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('%Ex_Lac'!$F$23,'%Ex_Lac'!$F$26,'%Ex_Lac'!$F$29)</c:f>
                <c:numCache>
                  <c:formatCode>General</c:formatCode>
                  <c:ptCount val="3"/>
                  <c:pt idx="0">
                    <c:v>1.359612028624668</c:v>
                  </c:pt>
                  <c:pt idx="1">
                    <c:v>4.06762775451364</c:v>
                  </c:pt>
                  <c:pt idx="2">
                    <c:v>2.955247233520212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('%Ex_Lac'!$E$23,'%Ex_Lac'!$E$26,'%Ex_Lac'!$E$29)</c:f>
              <c:numCache>
                <c:formatCode>General</c:formatCode>
                <c:ptCount val="3"/>
                <c:pt idx="0">
                  <c:v>19.85853600772179</c:v>
                </c:pt>
                <c:pt idx="1">
                  <c:v>28.81113512226018</c:v>
                </c:pt>
                <c:pt idx="2">
                  <c:v>16.84506341350486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831480"/>
        <c:axId val="2112147848"/>
      </c:barChart>
      <c:catAx>
        <c:axId val="210883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2112147848"/>
        <c:crosses val="autoZero"/>
        <c:auto val="1"/>
        <c:lblAlgn val="ctr"/>
        <c:lblOffset val="100"/>
        <c:noMultiLvlLbl val="0"/>
      </c:catAx>
      <c:valAx>
        <c:axId val="2112147848"/>
        <c:scaling>
          <c:orientation val="minMax"/>
          <c:max val="5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(Extracellular/Total)</a:t>
                </a:r>
                <a:r>
                  <a:rPr lang="en-US" baseline="0"/>
                  <a:t> Lactate (%)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08831480"/>
        <c:crosses val="autoZero"/>
        <c:crossBetween val="between"/>
        <c:majorUnit val="10.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82338556401251"/>
          <c:y val="0.00150775989957777"/>
          <c:w val="0.197453338354953"/>
          <c:h val="0.231152002738788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'%Ex_Lac'!$M$4:$O$4</c:f>
                <c:numCache>
                  <c:formatCode>General</c:formatCode>
                  <c:ptCount val="3"/>
                  <c:pt idx="0">
                    <c:v>0.309529061585145</c:v>
                  </c:pt>
                  <c:pt idx="1">
                    <c:v>0.452022829523189</c:v>
                  </c:pt>
                  <c:pt idx="2">
                    <c:v>0.0777668781080757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'%Ex_Lac'!$M$3:$O$3</c:f>
              <c:numCache>
                <c:formatCode>0.00</c:formatCode>
                <c:ptCount val="3"/>
                <c:pt idx="0">
                  <c:v>4.274793468082997</c:v>
                </c:pt>
                <c:pt idx="1">
                  <c:v>2.440056669142171</c:v>
                </c:pt>
                <c:pt idx="2">
                  <c:v>1.085209595015438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08914104"/>
        <c:axId val="2108380088"/>
      </c:barChart>
      <c:catAx>
        <c:axId val="210891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2108380088"/>
        <c:crosses val="autoZero"/>
        <c:auto val="1"/>
        <c:lblAlgn val="ctr"/>
        <c:lblOffset val="100"/>
        <c:noMultiLvlLbl val="0"/>
      </c:catAx>
      <c:valAx>
        <c:axId val="2108380088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MCT4 expression (%)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08914104"/>
        <c:crosses val="autoZero"/>
        <c:crossBetween val="between"/>
        <c:majorUnit val="1.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004374453193"/>
          <c:y val="0.0601851851851852"/>
          <c:w val="0.724452974628172"/>
          <c:h val="0.689629629629629"/>
        </c:manualLayout>
      </c:layout>
      <c:scatterChart>
        <c:scatterStyle val="lineMarker"/>
        <c:varyColors val="0"/>
        <c:ser>
          <c:idx val="1"/>
          <c:order val="0"/>
          <c:tx>
            <c:strRef>
              <c:f>'%Ex_Lac'!$M$2</c:f>
              <c:strCache>
                <c:ptCount val="1"/>
                <c:pt idx="0">
                  <c:v>UOK262</c:v>
                </c:pt>
              </c:strCache>
            </c:strRef>
          </c:tx>
          <c:spPr>
            <a:ln w="4762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'%Ex_Lac'!$F$3</c:f>
                <c:numCache>
                  <c:formatCode>General</c:formatCode>
                  <c:ptCount val="1"/>
                  <c:pt idx="0">
                    <c:v>4.7354387809232</c:v>
                  </c:pt>
                </c:numCache>
              </c:numRef>
            </c:plus>
            <c:minus>
              <c:numRef>
                <c:f>'%Ex_Lac'!$F$3</c:f>
                <c:numCache>
                  <c:formatCode>General</c:formatCode>
                  <c:ptCount val="1"/>
                  <c:pt idx="0">
                    <c:v>4.7354387809232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'%Ex_Lac'!$M$4</c:f>
                <c:numCache>
                  <c:formatCode>General</c:formatCode>
                  <c:ptCount val="1"/>
                  <c:pt idx="0">
                    <c:v>0.309529061585145</c:v>
                  </c:pt>
                </c:numCache>
              </c:numRef>
            </c:plus>
            <c:minus>
              <c:numRef>
                <c:f>'%Ex_Lac'!$M$4</c:f>
                <c:numCache>
                  <c:formatCode>General</c:formatCode>
                  <c:ptCount val="1"/>
                  <c:pt idx="0">
                    <c:v>0.309529061585145</c:v>
                  </c:pt>
                </c:numCache>
              </c:numRef>
            </c:minus>
          </c:errBars>
          <c:xVal>
            <c:numRef>
              <c:f>'%Ex_Lac'!$E$3</c:f>
              <c:numCache>
                <c:formatCode>0</c:formatCode>
                <c:ptCount val="1"/>
                <c:pt idx="0">
                  <c:v>38.1152101967649</c:v>
                </c:pt>
              </c:numCache>
            </c:numRef>
          </c:xVal>
          <c:yVal>
            <c:numRef>
              <c:f>'%Ex_Lac'!$M$3</c:f>
              <c:numCache>
                <c:formatCode>0.00</c:formatCode>
                <c:ptCount val="1"/>
                <c:pt idx="0">
                  <c:v>4.274793468082997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'%Ex_Lac'!$N$2</c:f>
              <c:strCache>
                <c:ptCount val="1"/>
                <c:pt idx="0">
                  <c:v>UMRC6</c:v>
                </c:pt>
              </c:strCache>
            </c:strRef>
          </c:tx>
          <c:spPr>
            <a:ln w="4762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'%Ex_Lac'!$F$9</c:f>
                <c:numCache>
                  <c:formatCode>General</c:formatCode>
                  <c:ptCount val="1"/>
                  <c:pt idx="0">
                    <c:v>4.114502842489411</c:v>
                  </c:pt>
                </c:numCache>
              </c:numRef>
            </c:plus>
            <c:minus>
              <c:numRef>
                <c:f>'%Ex_Lac'!$F$9</c:f>
                <c:numCache>
                  <c:formatCode>General</c:formatCode>
                  <c:ptCount val="1"/>
                  <c:pt idx="0">
                    <c:v>4.114502842489411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'%Ex_Lac'!$N$4</c:f>
                <c:numCache>
                  <c:formatCode>General</c:formatCode>
                  <c:ptCount val="1"/>
                  <c:pt idx="0">
                    <c:v>0.452022829523189</c:v>
                  </c:pt>
                </c:numCache>
              </c:numRef>
            </c:plus>
            <c:minus>
              <c:numRef>
                <c:f>'%Ex_Lac'!$N$4</c:f>
                <c:numCache>
                  <c:formatCode>General</c:formatCode>
                  <c:ptCount val="1"/>
                  <c:pt idx="0">
                    <c:v>0.452022829523189</c:v>
                  </c:pt>
                </c:numCache>
              </c:numRef>
            </c:minus>
          </c:errBars>
          <c:xVal>
            <c:numRef>
              <c:f>'%Ex_Lac'!$E$9</c:f>
              <c:numCache>
                <c:formatCode>0</c:formatCode>
                <c:ptCount val="1"/>
                <c:pt idx="0">
                  <c:v>23.21072978818655</c:v>
                </c:pt>
              </c:numCache>
            </c:numRef>
          </c:xVal>
          <c:yVal>
            <c:numRef>
              <c:f>'%Ex_Lac'!$N$3</c:f>
              <c:numCache>
                <c:formatCode>0.00</c:formatCode>
                <c:ptCount val="1"/>
                <c:pt idx="0">
                  <c:v>2.440056669142171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'%Ex_Lac'!$O$2</c:f>
              <c:strCache>
                <c:ptCount val="1"/>
                <c:pt idx="0">
                  <c:v>HK-2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'%Ex_Lac'!$F$12</c:f>
                <c:numCache>
                  <c:formatCode>General</c:formatCode>
                  <c:ptCount val="1"/>
                  <c:pt idx="0">
                    <c:v>1.077137407774399</c:v>
                  </c:pt>
                </c:numCache>
              </c:numRef>
            </c:plus>
            <c:minus>
              <c:numRef>
                <c:f>'%Ex_Lac'!$F$12</c:f>
                <c:numCache>
                  <c:formatCode>General</c:formatCode>
                  <c:ptCount val="1"/>
                  <c:pt idx="0">
                    <c:v>1.077137407774399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'%Ex_Lac'!$O$4</c:f>
                <c:numCache>
                  <c:formatCode>General</c:formatCode>
                  <c:ptCount val="1"/>
                  <c:pt idx="0">
                    <c:v>0.0777668781080757</c:v>
                  </c:pt>
                </c:numCache>
              </c:numRef>
            </c:plus>
            <c:minus>
              <c:numRef>
                <c:f>'%Ex_Lac'!$O$4</c:f>
                <c:numCache>
                  <c:formatCode>General</c:formatCode>
                  <c:ptCount val="1"/>
                  <c:pt idx="0">
                    <c:v>0.0777668781080757</c:v>
                  </c:pt>
                </c:numCache>
              </c:numRef>
            </c:minus>
          </c:errBars>
          <c:xVal>
            <c:numRef>
              <c:f>'%Ex_Lac'!$E$12</c:f>
              <c:numCache>
                <c:formatCode>0</c:formatCode>
                <c:ptCount val="1"/>
                <c:pt idx="0">
                  <c:v>17.38401195339544</c:v>
                </c:pt>
              </c:numCache>
            </c:numRef>
          </c:xVal>
          <c:yVal>
            <c:numRef>
              <c:f>'%Ex_Lac'!$O$3</c:f>
              <c:numCache>
                <c:formatCode>0.00</c:formatCode>
                <c:ptCount val="1"/>
                <c:pt idx="0">
                  <c:v>1.085209595015438</c:v>
                </c:pt>
              </c:numCache>
            </c:numRef>
          </c:yVal>
          <c:smooth val="0"/>
        </c:ser>
        <c:ser>
          <c:idx val="0"/>
          <c:order val="3"/>
          <c:spPr>
            <a:ln w="4762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836806649168854"/>
                  <c:y val="0.0231481481481481"/>
                </c:manualLayout>
              </c:layout>
              <c:numFmt formatCode="General" sourceLinked="0"/>
            </c:trendlineLbl>
          </c:trendline>
          <c:xVal>
            <c:numRef>
              <c:f>('%Ex_Lac'!$E$3,'%Ex_Lac'!$E$9,'%Ex_Lac'!$E$12)</c:f>
              <c:numCache>
                <c:formatCode>0</c:formatCode>
                <c:ptCount val="3"/>
                <c:pt idx="0">
                  <c:v>38.1152101967649</c:v>
                </c:pt>
                <c:pt idx="1">
                  <c:v>23.21072978818655</c:v>
                </c:pt>
                <c:pt idx="2">
                  <c:v>17.38401195339544</c:v>
                </c:pt>
              </c:numCache>
            </c:numRef>
          </c:xVal>
          <c:yVal>
            <c:numRef>
              <c:f>'%Ex_Lac'!$M$3:$O$3</c:f>
              <c:numCache>
                <c:formatCode>0.00</c:formatCode>
                <c:ptCount val="3"/>
                <c:pt idx="0">
                  <c:v>4.274793468082997</c:v>
                </c:pt>
                <c:pt idx="1">
                  <c:v>2.440056669142171</c:v>
                </c:pt>
                <c:pt idx="2">
                  <c:v>1.085209595015438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61496"/>
        <c:axId val="2070735000"/>
      </c:scatterChart>
      <c:valAx>
        <c:axId val="2112861496"/>
        <c:scaling>
          <c:orientation val="minMax"/>
          <c:max val="44.0"/>
          <c:min val="1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(Extracellular/Total) Lactate (%)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70735000"/>
        <c:crosses val="autoZero"/>
        <c:crossBetween val="midCat"/>
      </c:valAx>
      <c:valAx>
        <c:axId val="2070735000"/>
        <c:scaling>
          <c:orientation val="minMax"/>
          <c:max val="4.6"/>
          <c:min val="0.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MCT4 expression (%)</a:t>
                </a:r>
              </a:p>
            </c:rich>
          </c:tx>
          <c:layout>
            <c:manualLayout>
              <c:xMode val="edge"/>
              <c:yMode val="edge"/>
              <c:x val="0.0455555555555555"/>
              <c:y val="0.06420919216083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2861496"/>
        <c:crosses val="autoZero"/>
        <c:crossBetween val="midCat"/>
        <c:majorUnit val="1.0"/>
      </c:valAx>
      <c:spPr>
        <a:noFill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38651793525809"/>
          <c:y val="0.459583643593847"/>
          <c:w val="0.183570428696413"/>
          <c:h val="0.25570321745853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'%Ex_Lac'!$M$2</c:f>
              <c:strCache>
                <c:ptCount val="1"/>
                <c:pt idx="0">
                  <c:v>UOK262</c:v>
                </c:pt>
              </c:strCache>
            </c:strRef>
          </c:tx>
          <c:spPr>
            <a:ln w="4762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'%Ex_Lac'!$F$3</c:f>
                <c:numCache>
                  <c:formatCode>General</c:formatCode>
                  <c:ptCount val="1"/>
                  <c:pt idx="0">
                    <c:v>4.7354387809232</c:v>
                  </c:pt>
                </c:numCache>
              </c:numRef>
            </c:plus>
            <c:minus>
              <c:numRef>
                <c:f>'%Ex_Lac'!$F$3</c:f>
                <c:numCache>
                  <c:formatCode>General</c:formatCode>
                  <c:ptCount val="1"/>
                  <c:pt idx="0">
                    <c:v>4.7354387809232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'%Ex_Lac'!$M$4</c:f>
                <c:numCache>
                  <c:formatCode>General</c:formatCode>
                  <c:ptCount val="1"/>
                  <c:pt idx="0">
                    <c:v>0.309529061585145</c:v>
                  </c:pt>
                </c:numCache>
              </c:numRef>
            </c:plus>
            <c:minus>
              <c:numRef>
                <c:f>'%Ex_Lac'!$M$4</c:f>
                <c:numCache>
                  <c:formatCode>General</c:formatCode>
                  <c:ptCount val="1"/>
                  <c:pt idx="0">
                    <c:v>0.309529061585145</c:v>
                  </c:pt>
                </c:numCache>
              </c:numRef>
            </c:minus>
          </c:errBars>
          <c:xVal>
            <c:numRef>
              <c:f>'%Ex_Lac'!$E$3</c:f>
              <c:numCache>
                <c:formatCode>0</c:formatCode>
                <c:ptCount val="1"/>
                <c:pt idx="0">
                  <c:v>38.1152101967649</c:v>
                </c:pt>
              </c:numCache>
            </c:numRef>
          </c:xVal>
          <c:yVal>
            <c:numRef>
              <c:f>'%Ex_Lac'!$M$3</c:f>
              <c:numCache>
                <c:formatCode>0.00</c:formatCode>
                <c:ptCount val="1"/>
                <c:pt idx="0">
                  <c:v>4.274793468082997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'%Ex_Lac'!$N$2</c:f>
              <c:strCache>
                <c:ptCount val="1"/>
                <c:pt idx="0">
                  <c:v>UMRC6</c:v>
                </c:pt>
              </c:strCache>
            </c:strRef>
          </c:tx>
          <c:spPr>
            <a:ln w="4762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'%Ex_Lac'!$F$9</c:f>
                <c:numCache>
                  <c:formatCode>General</c:formatCode>
                  <c:ptCount val="1"/>
                  <c:pt idx="0">
                    <c:v>4.114502842489411</c:v>
                  </c:pt>
                </c:numCache>
              </c:numRef>
            </c:plus>
            <c:minus>
              <c:numRef>
                <c:f>'%Ex_Lac'!$F$9</c:f>
                <c:numCache>
                  <c:formatCode>General</c:formatCode>
                  <c:ptCount val="1"/>
                  <c:pt idx="0">
                    <c:v>4.114502842489411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'%Ex_Lac'!$N$4</c:f>
                <c:numCache>
                  <c:formatCode>General</c:formatCode>
                  <c:ptCount val="1"/>
                  <c:pt idx="0">
                    <c:v>0.452022829523189</c:v>
                  </c:pt>
                </c:numCache>
              </c:numRef>
            </c:plus>
            <c:minus>
              <c:numRef>
                <c:f>'%Ex_Lac'!$N$4</c:f>
                <c:numCache>
                  <c:formatCode>General</c:formatCode>
                  <c:ptCount val="1"/>
                  <c:pt idx="0">
                    <c:v>0.452022829523189</c:v>
                  </c:pt>
                </c:numCache>
              </c:numRef>
            </c:minus>
          </c:errBars>
          <c:xVal>
            <c:numRef>
              <c:f>'%Ex_Lac'!$E$9</c:f>
              <c:numCache>
                <c:formatCode>0</c:formatCode>
                <c:ptCount val="1"/>
                <c:pt idx="0">
                  <c:v>23.21072978818655</c:v>
                </c:pt>
              </c:numCache>
            </c:numRef>
          </c:xVal>
          <c:yVal>
            <c:numRef>
              <c:f>'%Ex_Lac'!$N$3</c:f>
              <c:numCache>
                <c:formatCode>0.00</c:formatCode>
                <c:ptCount val="1"/>
                <c:pt idx="0">
                  <c:v>2.440056669142171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'%Ex_Lac'!$O$2</c:f>
              <c:strCache>
                <c:ptCount val="1"/>
                <c:pt idx="0">
                  <c:v>HK-2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'%Ex_Lac'!$F$12</c:f>
                <c:numCache>
                  <c:formatCode>General</c:formatCode>
                  <c:ptCount val="1"/>
                  <c:pt idx="0">
                    <c:v>1.077137407774399</c:v>
                  </c:pt>
                </c:numCache>
              </c:numRef>
            </c:plus>
            <c:minus>
              <c:numRef>
                <c:f>'%Ex_Lac'!$F$12</c:f>
                <c:numCache>
                  <c:formatCode>General</c:formatCode>
                  <c:ptCount val="1"/>
                  <c:pt idx="0">
                    <c:v>1.077137407774399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'%Ex_Lac'!$O$4</c:f>
                <c:numCache>
                  <c:formatCode>General</c:formatCode>
                  <c:ptCount val="1"/>
                  <c:pt idx="0">
                    <c:v>0.0777668781080757</c:v>
                  </c:pt>
                </c:numCache>
              </c:numRef>
            </c:plus>
            <c:minus>
              <c:numRef>
                <c:f>'%Ex_Lac'!$O$4</c:f>
                <c:numCache>
                  <c:formatCode>General</c:formatCode>
                  <c:ptCount val="1"/>
                  <c:pt idx="0">
                    <c:v>0.0777668781080757</c:v>
                  </c:pt>
                </c:numCache>
              </c:numRef>
            </c:minus>
          </c:errBars>
          <c:xVal>
            <c:numRef>
              <c:f>'%Ex_Lac'!$E$12</c:f>
              <c:numCache>
                <c:formatCode>0</c:formatCode>
                <c:ptCount val="1"/>
                <c:pt idx="0">
                  <c:v>17.38401195339544</c:v>
                </c:pt>
              </c:numCache>
            </c:numRef>
          </c:xVal>
          <c:yVal>
            <c:numRef>
              <c:f>'%Ex_Lac'!$O$3</c:f>
              <c:numCache>
                <c:formatCode>0.00</c:formatCode>
                <c:ptCount val="1"/>
                <c:pt idx="0">
                  <c:v>1.085209595015438</c:v>
                </c:pt>
              </c:numCache>
            </c:numRef>
          </c:yVal>
          <c:smooth val="0"/>
        </c:ser>
        <c:ser>
          <c:idx val="0"/>
          <c:order val="3"/>
          <c:spPr>
            <a:ln w="4762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836806649168854"/>
                  <c:y val="0.0231481481481481"/>
                </c:manualLayout>
              </c:layout>
              <c:numFmt formatCode="General" sourceLinked="0"/>
            </c:trendlineLbl>
          </c:trendline>
          <c:xVal>
            <c:numRef>
              <c:f>('%Ex_Lac'!$E$3,'%Ex_Lac'!$E$9,'%Ex_Lac'!$E$12)</c:f>
              <c:numCache>
                <c:formatCode>0</c:formatCode>
                <c:ptCount val="3"/>
                <c:pt idx="0">
                  <c:v>38.1152101967649</c:v>
                </c:pt>
                <c:pt idx="1">
                  <c:v>23.21072978818655</c:v>
                </c:pt>
                <c:pt idx="2">
                  <c:v>17.38401195339544</c:v>
                </c:pt>
              </c:numCache>
            </c:numRef>
          </c:xVal>
          <c:yVal>
            <c:numRef>
              <c:f>'%Ex_Lac'!$M$3:$O$3</c:f>
              <c:numCache>
                <c:formatCode>0.00</c:formatCode>
                <c:ptCount val="3"/>
                <c:pt idx="0">
                  <c:v>4.274793468082997</c:v>
                </c:pt>
                <c:pt idx="1">
                  <c:v>2.440056669142171</c:v>
                </c:pt>
                <c:pt idx="2">
                  <c:v>1.085209595015438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43032"/>
        <c:axId val="2108753256"/>
      </c:scatterChart>
      <c:valAx>
        <c:axId val="2108743032"/>
        <c:scaling>
          <c:orientation val="minMax"/>
          <c:max val="44.0"/>
          <c:min val="1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(Extracellular/Total</a:t>
                </a:r>
                <a:r>
                  <a:rPr lang="en-US" baseline="0"/>
                  <a:t>) Lactate (%)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08753256"/>
        <c:crosses val="autoZero"/>
        <c:crossBetween val="midCat"/>
      </c:valAx>
      <c:valAx>
        <c:axId val="2108753256"/>
        <c:scaling>
          <c:orientation val="minMax"/>
          <c:max val="4.6"/>
          <c:min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MCT4 expression (%)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08743032"/>
        <c:crosses val="autoZero"/>
        <c:crossBetween val="midCat"/>
        <c:maj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('%Ex_Lac'!$F$3,'%Ex_Lac'!$F$9,'%Ex_Lac'!$F$12)</c:f>
                <c:numCache>
                  <c:formatCode>General</c:formatCode>
                  <c:ptCount val="3"/>
                  <c:pt idx="0">
                    <c:v>4.7354387809232</c:v>
                  </c:pt>
                  <c:pt idx="1">
                    <c:v>4.114502842489411</c:v>
                  </c:pt>
                  <c:pt idx="2">
                    <c:v>1.077137407774399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('%Ex_Lac'!$E$3,'%Ex_Lac'!$E$9,'%Ex_Lac'!$E$12)</c:f>
              <c:numCache>
                <c:formatCode>0</c:formatCode>
                <c:ptCount val="3"/>
                <c:pt idx="0">
                  <c:v>38.1152101967649</c:v>
                </c:pt>
                <c:pt idx="1">
                  <c:v>23.21072978818655</c:v>
                </c:pt>
                <c:pt idx="2">
                  <c:v>17.38401195339544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09110392"/>
        <c:axId val="2109134952"/>
      </c:barChart>
      <c:catAx>
        <c:axId val="210911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/>
            </a:pPr>
            <a:endParaRPr lang="en-US"/>
          </a:p>
        </c:txPr>
        <c:crossAx val="2109134952"/>
        <c:crosses val="autoZero"/>
        <c:auto val="1"/>
        <c:lblAlgn val="ctr"/>
        <c:lblOffset val="100"/>
        <c:noMultiLvlLbl val="0"/>
      </c:catAx>
      <c:valAx>
        <c:axId val="2109134952"/>
        <c:scaling>
          <c:orientation val="minMax"/>
          <c:max val="43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(Extracellular/Total)</a:t>
                </a:r>
                <a:r>
                  <a:rPr lang="en-US" baseline="0"/>
                  <a:t> Lactate (%)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09110392"/>
        <c:crosses val="autoZero"/>
        <c:crossBetween val="between"/>
        <c:majorUnit val="10.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004374453193"/>
          <c:y val="0.0601851851851852"/>
          <c:w val="0.724452974628172"/>
          <c:h val="0.689629629629629"/>
        </c:manualLayout>
      </c:layout>
      <c:scatterChart>
        <c:scatterStyle val="lineMarker"/>
        <c:varyColors val="0"/>
        <c:ser>
          <c:idx val="1"/>
          <c:order val="0"/>
          <c:tx>
            <c:strRef>
              <c:f>'%Ex_Lac'!$M$2</c:f>
              <c:strCache>
                <c:ptCount val="1"/>
                <c:pt idx="0">
                  <c:v>UOK262</c:v>
                </c:pt>
              </c:strCache>
            </c:strRef>
          </c:tx>
          <c:spPr>
            <a:ln w="47625">
              <a:noFill/>
            </a:ln>
          </c:spPr>
          <c:marker>
            <c:symbol val="square"/>
            <c:size val="15"/>
          </c:marker>
          <c:errBars>
            <c:errDir val="x"/>
            <c:errBarType val="both"/>
            <c:errValType val="cust"/>
            <c:noEndCap val="0"/>
            <c:plus>
              <c:numRef>
                <c:f>Summary!$E$4</c:f>
                <c:numCache>
                  <c:formatCode>General</c:formatCode>
                  <c:ptCount val="1"/>
                  <c:pt idx="0">
                    <c:v>0.323354469051118</c:v>
                  </c:pt>
                </c:numCache>
              </c:numRef>
            </c:plus>
            <c:minus>
              <c:numRef>
                <c:f>Summary!$E$4</c:f>
                <c:numCache>
                  <c:formatCode>General</c:formatCode>
                  <c:ptCount val="1"/>
                  <c:pt idx="0">
                    <c:v>0.323354469051118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'%Ex_Lac'!$M$4</c:f>
                <c:numCache>
                  <c:formatCode>General</c:formatCode>
                  <c:ptCount val="1"/>
                  <c:pt idx="0">
                    <c:v>0.309529061585145</c:v>
                  </c:pt>
                </c:numCache>
              </c:numRef>
            </c:plus>
            <c:minus>
              <c:numRef>
                <c:f>'%Ex_Lac'!$M$4</c:f>
                <c:numCache>
                  <c:formatCode>General</c:formatCode>
                  <c:ptCount val="1"/>
                  <c:pt idx="0">
                    <c:v>0.309529061585145</c:v>
                  </c:pt>
                </c:numCache>
              </c:numRef>
            </c:minus>
          </c:errBars>
          <c:xVal>
            <c:numRef>
              <c:f>Summary!$E$3</c:f>
              <c:numCache>
                <c:formatCode>0.00</c:formatCode>
                <c:ptCount val="1"/>
                <c:pt idx="0">
                  <c:v>1.820713817124389</c:v>
                </c:pt>
              </c:numCache>
            </c:numRef>
          </c:xVal>
          <c:yVal>
            <c:numRef>
              <c:f>'%Ex_Lac'!$M$3</c:f>
              <c:numCache>
                <c:formatCode>0.00</c:formatCode>
                <c:ptCount val="1"/>
                <c:pt idx="0">
                  <c:v>4.274793468082997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'%Ex_Lac'!$N$2</c:f>
              <c:strCache>
                <c:ptCount val="1"/>
                <c:pt idx="0">
                  <c:v>UMRC6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5"/>
            <c:spPr>
              <a:solidFill>
                <a:schemeClr val="accent6">
                  <a:lumMod val="60000"/>
                  <a:lumOff val="40000"/>
                </a:schemeClr>
              </a:solidFill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Summary!$E$7</c:f>
                <c:numCache>
                  <c:formatCode>General</c:formatCode>
                  <c:ptCount val="1"/>
                  <c:pt idx="0">
                    <c:v>0.996452608871533</c:v>
                  </c:pt>
                </c:numCache>
              </c:numRef>
            </c:plus>
            <c:minus>
              <c:numRef>
                <c:f>Summary!$E$7</c:f>
                <c:numCache>
                  <c:formatCode>General</c:formatCode>
                  <c:ptCount val="1"/>
                  <c:pt idx="0">
                    <c:v>0.996452608871533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'%Ex_Lac'!$N$4</c:f>
                <c:numCache>
                  <c:formatCode>General</c:formatCode>
                  <c:ptCount val="1"/>
                  <c:pt idx="0">
                    <c:v>0.452022829523189</c:v>
                  </c:pt>
                </c:numCache>
              </c:numRef>
            </c:plus>
            <c:minus>
              <c:numRef>
                <c:f>'%Ex_Lac'!$N$4</c:f>
                <c:numCache>
                  <c:formatCode>General</c:formatCode>
                  <c:ptCount val="1"/>
                  <c:pt idx="0">
                    <c:v>0.452022829523189</c:v>
                  </c:pt>
                </c:numCache>
              </c:numRef>
            </c:minus>
          </c:errBars>
          <c:xVal>
            <c:numRef>
              <c:f>Summary!$E$6</c:f>
              <c:numCache>
                <c:formatCode>0.00</c:formatCode>
                <c:ptCount val="1"/>
                <c:pt idx="0">
                  <c:v>3.661148837195625</c:v>
                </c:pt>
              </c:numCache>
            </c:numRef>
          </c:xVal>
          <c:yVal>
            <c:numRef>
              <c:f>'%Ex_Lac'!$N$3</c:f>
              <c:numCache>
                <c:formatCode>0.00</c:formatCode>
                <c:ptCount val="1"/>
                <c:pt idx="0">
                  <c:v>2.440056669142171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'%Ex_Lac'!$O$2</c:f>
              <c:strCache>
                <c:ptCount val="1"/>
                <c:pt idx="0">
                  <c:v>HK-2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5"/>
            <c:spPr>
              <a:noFill/>
              <a:ln w="50800">
                <a:solidFill>
                  <a:srgbClr val="008000"/>
                </a:solidFill>
              </a:ln>
            </c:spPr>
          </c:marke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Summary!$E$10</c:f>
                <c:numCache>
                  <c:formatCode>General</c:formatCode>
                  <c:ptCount val="1"/>
                  <c:pt idx="0">
                    <c:v>0.374994071006158</c:v>
                  </c:pt>
                </c:numCache>
              </c:numRef>
            </c:plus>
            <c:minus>
              <c:numRef>
                <c:f>Summary!$E$10</c:f>
                <c:numCache>
                  <c:formatCode>General</c:formatCode>
                  <c:ptCount val="1"/>
                  <c:pt idx="0">
                    <c:v>0.374994071006158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'%Ex_Lac'!$O$4</c:f>
                <c:numCache>
                  <c:formatCode>General</c:formatCode>
                  <c:ptCount val="1"/>
                  <c:pt idx="0">
                    <c:v>0.0777668781080757</c:v>
                  </c:pt>
                </c:numCache>
              </c:numRef>
            </c:plus>
            <c:minus>
              <c:numRef>
                <c:f>'%Ex_Lac'!$O$4</c:f>
                <c:numCache>
                  <c:formatCode>General</c:formatCode>
                  <c:ptCount val="1"/>
                  <c:pt idx="0">
                    <c:v>0.0777668781080757</c:v>
                  </c:pt>
                </c:numCache>
              </c:numRef>
            </c:minus>
          </c:errBars>
          <c:xVal>
            <c:numRef>
              <c:f>Summary!$E$9</c:f>
              <c:numCache>
                <c:formatCode>0.00</c:formatCode>
                <c:ptCount val="1"/>
                <c:pt idx="0">
                  <c:v>4.798831716114098</c:v>
                </c:pt>
              </c:numCache>
            </c:numRef>
          </c:xVal>
          <c:yVal>
            <c:numRef>
              <c:f>'%Ex_Lac'!$O$3</c:f>
              <c:numCache>
                <c:formatCode>0.00</c:formatCode>
                <c:ptCount val="1"/>
                <c:pt idx="0">
                  <c:v>1.085209595015438</c:v>
                </c:pt>
              </c:numCache>
            </c:numRef>
          </c:yVal>
          <c:smooth val="0"/>
        </c:ser>
        <c:ser>
          <c:idx val="0"/>
          <c:order val="3"/>
          <c:spPr>
            <a:ln w="4762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6662467191601"/>
                  <c:y val="-0.0652457671248008"/>
                </c:manualLayout>
              </c:layout>
              <c:numFmt formatCode="General" sourceLinked="0"/>
            </c:trendlineLbl>
          </c:trendline>
          <c:xVal>
            <c:numRef>
              <c:f>(Summary!$E$3,Summary!$E$6,Summary!$E$9)</c:f>
              <c:numCache>
                <c:formatCode>0.00</c:formatCode>
                <c:ptCount val="3"/>
                <c:pt idx="0">
                  <c:v>1.820713817124389</c:v>
                </c:pt>
                <c:pt idx="1">
                  <c:v>3.661148837195625</c:v>
                </c:pt>
                <c:pt idx="2">
                  <c:v>4.798831716114098</c:v>
                </c:pt>
              </c:numCache>
            </c:numRef>
          </c:xVal>
          <c:yVal>
            <c:numRef>
              <c:f>'%Ex_Lac'!$M$3:$O$3</c:f>
              <c:numCache>
                <c:formatCode>0.00</c:formatCode>
                <c:ptCount val="3"/>
                <c:pt idx="0">
                  <c:v>4.274793468082997</c:v>
                </c:pt>
                <c:pt idx="1">
                  <c:v>2.440056669142171</c:v>
                </c:pt>
                <c:pt idx="2">
                  <c:v>1.085209595015438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32840"/>
        <c:axId val="2107830840"/>
      </c:scatterChart>
      <c:valAx>
        <c:axId val="2119532840"/>
        <c:scaling>
          <c:orientation val="minMax"/>
          <c:max val="5.5"/>
          <c:min val="1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Lacin/Lacex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7830840"/>
        <c:crosses val="autoZero"/>
        <c:crossBetween val="midCat"/>
      </c:valAx>
      <c:valAx>
        <c:axId val="2107830840"/>
        <c:scaling>
          <c:orientation val="minMax"/>
          <c:max val="4.6"/>
          <c:min val="0.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MCT4 expression (%)</a:t>
                </a:r>
              </a:p>
            </c:rich>
          </c:tx>
          <c:layout>
            <c:manualLayout>
              <c:xMode val="edge"/>
              <c:yMode val="edge"/>
              <c:x val="0.0455555555555555"/>
              <c:y val="0.06420919216083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9532840"/>
        <c:crosses val="autoZero"/>
        <c:crossBetween val="midCat"/>
        <c:majorUnit val="1.0"/>
      </c:valAx>
      <c:spPr>
        <a:noFill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38651793525809"/>
          <c:y val="0.0547741151594528"/>
          <c:w val="0.183570428696413"/>
          <c:h val="0.25570321745853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('%Ex_Lac'!$J$12,'%Ex_Lac'!$J$9,'%Ex_Lac'!$J$3)</c:f>
                <c:numCache>
                  <c:formatCode>General</c:formatCode>
                  <c:ptCount val="3"/>
                  <c:pt idx="0">
                    <c:v>0.374994071006158</c:v>
                  </c:pt>
                  <c:pt idx="1">
                    <c:v>0.996452608871533</c:v>
                  </c:pt>
                  <c:pt idx="2">
                    <c:v>0.323354469051118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(Summary!$A$9,Summary!$A$6,Summary!$A$3)</c:f>
              <c:strCache>
                <c:ptCount val="3"/>
                <c:pt idx="0">
                  <c:v>HK2</c:v>
                </c:pt>
                <c:pt idx="1">
                  <c:v>UMRC6</c:v>
                </c:pt>
                <c:pt idx="2">
                  <c:v>UOK262</c:v>
                </c:pt>
              </c:strCache>
            </c:strRef>
          </c:cat>
          <c:val>
            <c:numRef>
              <c:f>('%Ex_Lac'!$I$12,'%Ex_Lac'!$I$9,'%Ex_Lac'!$I$3)</c:f>
              <c:numCache>
                <c:formatCode>General</c:formatCode>
                <c:ptCount val="3"/>
                <c:pt idx="0">
                  <c:v>4.798831716114098</c:v>
                </c:pt>
                <c:pt idx="1">
                  <c:v>3.661148837195625</c:v>
                </c:pt>
                <c:pt idx="2">
                  <c:v>1.820713817124389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35549320"/>
        <c:axId val="-2135546376"/>
      </c:barChart>
      <c:catAx>
        <c:axId val="-213554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/>
            </a:pPr>
            <a:endParaRPr lang="en-US"/>
          </a:p>
        </c:txPr>
        <c:crossAx val="-2135546376"/>
        <c:crosses val="autoZero"/>
        <c:auto val="1"/>
        <c:lblAlgn val="ctr"/>
        <c:lblOffset val="100"/>
        <c:noMultiLvlLbl val="0"/>
      </c:catAx>
      <c:valAx>
        <c:axId val="-2135546376"/>
        <c:scaling>
          <c:orientation val="minMax"/>
          <c:max val="5.2"/>
          <c:min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(Lac in / Lac ex)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35549320"/>
        <c:crosses val="autoZero"/>
        <c:crossBetween val="between"/>
        <c:majorUnit val="1.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004374453193"/>
          <c:y val="0.0601851851851852"/>
          <c:w val="0.724452974628172"/>
          <c:h val="0.689629629629629"/>
        </c:manualLayout>
      </c:layout>
      <c:scatterChart>
        <c:scatterStyle val="lineMarker"/>
        <c:varyColors val="0"/>
        <c:ser>
          <c:idx val="1"/>
          <c:order val="0"/>
          <c:tx>
            <c:strRef>
              <c:f>'%Ex_Lac'!$M$2</c:f>
              <c:strCache>
                <c:ptCount val="1"/>
                <c:pt idx="0">
                  <c:v>UOK262</c:v>
                </c:pt>
              </c:strCache>
            </c:strRef>
          </c:tx>
          <c:spPr>
            <a:ln w="47625">
              <a:noFill/>
            </a:ln>
          </c:spPr>
          <c:marker>
            <c:symbol val="square"/>
            <c:size val="15"/>
          </c:marker>
          <c:errBars>
            <c:errDir val="x"/>
            <c:errBarType val="both"/>
            <c:errValType val="cust"/>
            <c:noEndCap val="0"/>
            <c:plus>
              <c:numRef>
                <c:f>'%Ex_Lac'!$M$4</c:f>
                <c:numCache>
                  <c:formatCode>General</c:formatCode>
                  <c:ptCount val="1"/>
                  <c:pt idx="0">
                    <c:v>0.309529061585145</c:v>
                  </c:pt>
                </c:numCache>
              </c:numRef>
            </c:plus>
            <c:minus>
              <c:numRef>
                <c:f>'%Ex_Lac'!$M$4</c:f>
                <c:numCache>
                  <c:formatCode>General</c:formatCode>
                  <c:ptCount val="1"/>
                  <c:pt idx="0">
                    <c:v>0.309529061585145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'%Ex_Lac'!$J$3</c:f>
                <c:numCache>
                  <c:formatCode>General</c:formatCode>
                  <c:ptCount val="1"/>
                  <c:pt idx="0">
                    <c:v>0.323354469051118</c:v>
                  </c:pt>
                </c:numCache>
              </c:numRef>
            </c:plus>
            <c:minus>
              <c:numRef>
                <c:f>'%Ex_Lac'!$J$3</c:f>
                <c:numCache>
                  <c:formatCode>General</c:formatCode>
                  <c:ptCount val="1"/>
                  <c:pt idx="0">
                    <c:v>0.323354469051118</c:v>
                  </c:pt>
                </c:numCache>
              </c:numRef>
            </c:minus>
          </c:errBars>
          <c:xVal>
            <c:numRef>
              <c:f>'%Ex_Lac'!$M$3</c:f>
              <c:numCache>
                <c:formatCode>0.00</c:formatCode>
                <c:ptCount val="1"/>
                <c:pt idx="0">
                  <c:v>4.274793468082997</c:v>
                </c:pt>
              </c:numCache>
            </c:numRef>
          </c:xVal>
          <c:yVal>
            <c:numRef>
              <c:f>'%Ex_Lac'!$I$3</c:f>
              <c:numCache>
                <c:formatCode>General</c:formatCode>
                <c:ptCount val="1"/>
                <c:pt idx="0">
                  <c:v>1.820713817124389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'%Ex_Lac'!$N$2</c:f>
              <c:strCache>
                <c:ptCount val="1"/>
                <c:pt idx="0">
                  <c:v>UMRC6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5"/>
            <c:spPr>
              <a:solidFill>
                <a:schemeClr val="accent6">
                  <a:lumMod val="60000"/>
                  <a:lumOff val="40000"/>
                </a:schemeClr>
              </a:solidFill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'%Ex_Lac'!$N$4</c:f>
                <c:numCache>
                  <c:formatCode>General</c:formatCode>
                  <c:ptCount val="1"/>
                  <c:pt idx="0">
                    <c:v>0.452022829523189</c:v>
                  </c:pt>
                </c:numCache>
              </c:numRef>
            </c:plus>
            <c:minus>
              <c:numRef>
                <c:f>'%Ex_Lac'!$N$4</c:f>
                <c:numCache>
                  <c:formatCode>General</c:formatCode>
                  <c:ptCount val="1"/>
                  <c:pt idx="0">
                    <c:v>0.452022829523189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'%Ex_Lac'!$J$9</c:f>
                <c:numCache>
                  <c:formatCode>General</c:formatCode>
                  <c:ptCount val="1"/>
                  <c:pt idx="0">
                    <c:v>0.996452608871533</c:v>
                  </c:pt>
                </c:numCache>
              </c:numRef>
            </c:plus>
            <c:minus>
              <c:numRef>
                <c:f>'%Ex_Lac'!$J$9</c:f>
                <c:numCache>
                  <c:formatCode>General</c:formatCode>
                  <c:ptCount val="1"/>
                  <c:pt idx="0">
                    <c:v>0.996452608871533</c:v>
                  </c:pt>
                </c:numCache>
              </c:numRef>
            </c:minus>
          </c:errBars>
          <c:xVal>
            <c:numRef>
              <c:f>'%Ex_Lac'!$N$3</c:f>
              <c:numCache>
                <c:formatCode>0.00</c:formatCode>
                <c:ptCount val="1"/>
                <c:pt idx="0">
                  <c:v>2.440056669142171</c:v>
                </c:pt>
              </c:numCache>
            </c:numRef>
          </c:xVal>
          <c:yVal>
            <c:numRef>
              <c:f>'%Ex_Lac'!$I$9</c:f>
              <c:numCache>
                <c:formatCode>General</c:formatCode>
                <c:ptCount val="1"/>
                <c:pt idx="0">
                  <c:v>3.661148837195625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'%Ex_Lac'!$O$2</c:f>
              <c:strCache>
                <c:ptCount val="1"/>
                <c:pt idx="0">
                  <c:v>HK-2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5"/>
            <c:spPr>
              <a:noFill/>
              <a:ln w="50800">
                <a:solidFill>
                  <a:srgbClr val="008000"/>
                </a:solidFill>
              </a:ln>
            </c:spPr>
          </c:marke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'%Ex_Lac'!$O$4</c:f>
                <c:numCache>
                  <c:formatCode>General</c:formatCode>
                  <c:ptCount val="1"/>
                  <c:pt idx="0">
                    <c:v>0.0777668781080757</c:v>
                  </c:pt>
                </c:numCache>
              </c:numRef>
            </c:plus>
            <c:minus>
              <c:numRef>
                <c:f>'%Ex_Lac'!$O$4</c:f>
                <c:numCache>
                  <c:formatCode>General</c:formatCode>
                  <c:ptCount val="1"/>
                  <c:pt idx="0">
                    <c:v>0.0777668781080757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'%Ex_Lac'!$J$12</c:f>
                <c:numCache>
                  <c:formatCode>General</c:formatCode>
                  <c:ptCount val="1"/>
                  <c:pt idx="0">
                    <c:v>0.374994071006158</c:v>
                  </c:pt>
                </c:numCache>
              </c:numRef>
            </c:plus>
            <c:minus>
              <c:numRef>
                <c:f>'%Ex_Lac'!$J$12</c:f>
                <c:numCache>
                  <c:formatCode>General</c:formatCode>
                  <c:ptCount val="1"/>
                  <c:pt idx="0">
                    <c:v>0.374994071006158</c:v>
                  </c:pt>
                </c:numCache>
              </c:numRef>
            </c:minus>
          </c:errBars>
          <c:xVal>
            <c:numRef>
              <c:f>'%Ex_Lac'!$O$3</c:f>
              <c:numCache>
                <c:formatCode>0.00</c:formatCode>
                <c:ptCount val="1"/>
                <c:pt idx="0">
                  <c:v>1.085209595015438</c:v>
                </c:pt>
              </c:numCache>
            </c:numRef>
          </c:xVal>
          <c:yVal>
            <c:numRef>
              <c:f>'%Ex_Lac'!$I$12</c:f>
              <c:numCache>
                <c:formatCode>General</c:formatCode>
                <c:ptCount val="1"/>
                <c:pt idx="0">
                  <c:v>4.798831716114098</c:v>
                </c:pt>
              </c:numCache>
            </c:numRef>
          </c:yVal>
          <c:smooth val="0"/>
        </c:ser>
        <c:ser>
          <c:idx val="0"/>
          <c:order val="3"/>
          <c:spPr>
            <a:ln w="4762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6662467191601"/>
                  <c:y val="-0.0652457671248008"/>
                </c:manualLayout>
              </c:layout>
              <c:numFmt formatCode="General" sourceLinked="0"/>
            </c:trendlineLbl>
          </c:trendline>
          <c:xVal>
            <c:numRef>
              <c:f>'%Ex_Lac'!$M$3:$O$3</c:f>
              <c:numCache>
                <c:formatCode>0.00</c:formatCode>
                <c:ptCount val="3"/>
                <c:pt idx="0">
                  <c:v>4.274793468082997</c:v>
                </c:pt>
                <c:pt idx="1">
                  <c:v>2.440056669142171</c:v>
                </c:pt>
                <c:pt idx="2">
                  <c:v>1.085209595015438</c:v>
                </c:pt>
              </c:numCache>
            </c:numRef>
          </c:xVal>
          <c:yVal>
            <c:numRef>
              <c:f>('%Ex_Lac'!$I$3,'%Ex_Lac'!$I$9,'%Ex_Lac'!$I$12)</c:f>
              <c:numCache>
                <c:formatCode>General</c:formatCode>
                <c:ptCount val="3"/>
                <c:pt idx="0">
                  <c:v>1.820713817124389</c:v>
                </c:pt>
                <c:pt idx="1">
                  <c:v>3.661148837195625</c:v>
                </c:pt>
                <c:pt idx="2">
                  <c:v>4.798831716114098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286408"/>
        <c:axId val="-2133689272"/>
      </c:scatterChart>
      <c:valAx>
        <c:axId val="209928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Relative MCT4 expression (%)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133689272"/>
        <c:crosses val="autoZero"/>
        <c:crossBetween val="midCat"/>
      </c:valAx>
      <c:valAx>
        <c:axId val="-2133689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(Lac in / Lac ex)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9286408"/>
        <c:crosses val="autoZero"/>
        <c:crossBetween val="midCat"/>
      </c:valAx>
      <c:spPr>
        <a:noFill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38651793525809"/>
          <c:y val="0.0547741151594528"/>
          <c:w val="0.183570428696413"/>
          <c:h val="0.25570321745853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'HK2'!$Q$12:$R$12</c:f>
                <c:numCache>
                  <c:formatCode>General</c:formatCode>
                  <c:ptCount val="2"/>
                  <c:pt idx="0">
                    <c:v>2.04456401380049E-5</c:v>
                  </c:pt>
                  <c:pt idx="1">
                    <c:v>4.85095329530246E-6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UMRC6!$Q$11:$R$11</c:f>
              <c:numCache>
                <c:formatCode>General</c:formatCode>
                <c:ptCount val="2"/>
                <c:pt idx="0">
                  <c:v>4.81290258690487E-5</c:v>
                </c:pt>
                <c:pt idx="1">
                  <c:v>1.48104620232319E-5</c:v>
                </c:pt>
              </c:numCache>
            </c:numRef>
          </c:val>
        </c:ser>
        <c:ser>
          <c:idx val="1"/>
          <c:order val="1"/>
          <c:tx>
            <c:v>DiDS</c:v>
          </c:tx>
          <c:invertIfNegative val="0"/>
          <c:errBars>
            <c:errBarType val="plus"/>
            <c:errValType val="cust"/>
            <c:noEndCap val="0"/>
            <c:plus>
              <c:numRef>
                <c:f>'HK2'!$Q$15:$R$15</c:f>
                <c:numCache>
                  <c:formatCode>General</c:formatCode>
                  <c:ptCount val="2"/>
                  <c:pt idx="0">
                    <c:v>8.38482825903763E-6</c:v>
                  </c:pt>
                  <c:pt idx="1">
                    <c:v>5.38195043233951E-6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UMRC6!$Q$14:$R$14</c:f>
              <c:numCache>
                <c:formatCode>General</c:formatCode>
                <c:ptCount val="2"/>
                <c:pt idx="0">
                  <c:v>4.46542823090282E-5</c:v>
                </c:pt>
                <c:pt idx="1">
                  <c:v>1.71184149513885E-5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098184"/>
        <c:axId val="2111144792"/>
      </c:barChart>
      <c:catAx>
        <c:axId val="211109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44792"/>
        <c:crosses val="autoZero"/>
        <c:auto val="1"/>
        <c:lblAlgn val="ctr"/>
        <c:lblOffset val="100"/>
        <c:noMultiLvlLbl val="0"/>
      </c:catAx>
      <c:valAx>
        <c:axId val="211114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09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plus"/>
            <c:errValType val="cust"/>
            <c:noEndCap val="0"/>
            <c:plus>
              <c:numRef>
                <c:f>'HK2'!$Q$12:$R$12</c:f>
                <c:numCache>
                  <c:formatCode>General</c:formatCode>
                  <c:ptCount val="2"/>
                  <c:pt idx="0">
                    <c:v>2.04456401380049E-5</c:v>
                  </c:pt>
                  <c:pt idx="1">
                    <c:v>4.85095329530246E-6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'HK2'!$Q$11:$R$11</c:f>
              <c:numCache>
                <c:formatCode>General</c:formatCode>
                <c:ptCount val="2"/>
                <c:pt idx="0">
                  <c:v>9.96187802274698E-5</c:v>
                </c:pt>
                <c:pt idx="1">
                  <c:v>2.11287452093978E-5</c:v>
                </c:pt>
              </c:numCache>
            </c:numRef>
          </c:val>
        </c:ser>
        <c:ser>
          <c:idx val="1"/>
          <c:order val="1"/>
          <c:tx>
            <c:v>DiDS</c:v>
          </c:tx>
          <c:invertIfNegative val="0"/>
          <c:errBars>
            <c:errBarType val="plus"/>
            <c:errValType val="cust"/>
            <c:noEndCap val="0"/>
            <c:plus>
              <c:numRef>
                <c:f>'HK2'!$Q$15:$R$15</c:f>
                <c:numCache>
                  <c:formatCode>General</c:formatCode>
                  <c:ptCount val="2"/>
                  <c:pt idx="0">
                    <c:v>8.38482825903763E-6</c:v>
                  </c:pt>
                  <c:pt idx="1">
                    <c:v>5.38195043233951E-6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'HK2'!$Q$14:$R$14</c:f>
              <c:numCache>
                <c:formatCode>General</c:formatCode>
                <c:ptCount val="2"/>
                <c:pt idx="0">
                  <c:v>9.05270568128137E-5</c:v>
                </c:pt>
                <c:pt idx="1">
                  <c:v>1.90022090571746E-5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396488"/>
        <c:axId val="2096399464"/>
      </c:barChart>
      <c:catAx>
        <c:axId val="209639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399464"/>
        <c:crosses val="autoZero"/>
        <c:auto val="1"/>
        <c:lblAlgn val="ctr"/>
        <c:lblOffset val="100"/>
        <c:noMultiLvlLbl val="0"/>
      </c:catAx>
      <c:valAx>
        <c:axId val="209639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39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(Summary!$E$4,Summary!$E$7,Summary!$E$10)</c:f>
                <c:numCache>
                  <c:formatCode>General</c:formatCode>
                  <c:ptCount val="3"/>
                  <c:pt idx="0">
                    <c:v>0.323354469051118</c:v>
                  </c:pt>
                  <c:pt idx="1">
                    <c:v>0.996452608871533</c:v>
                  </c:pt>
                  <c:pt idx="2">
                    <c:v>0.374994071006158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(Summary!$E$3,Summary!$E$6,Summary!$E$9)</c:f>
              <c:numCache>
                <c:formatCode>0.00</c:formatCode>
                <c:ptCount val="3"/>
                <c:pt idx="0">
                  <c:v>1.820713817124389</c:v>
                </c:pt>
                <c:pt idx="1">
                  <c:v>3.661148837195625</c:v>
                </c:pt>
                <c:pt idx="2">
                  <c:v>4.798831716114098</c:v>
                </c:pt>
              </c:numCache>
            </c:numRef>
          </c:val>
        </c:ser>
        <c:ser>
          <c:idx val="1"/>
          <c:order val="1"/>
          <c:tx>
            <c:strRef>
              <c:f>Summary!$B$14</c:f>
              <c:strCache>
                <c:ptCount val="1"/>
                <c:pt idx="0">
                  <c:v>1mM DIDS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(Summary!$E$17,Summary!$E$20,Summary!$E$23)</c:f>
                <c:numCache>
                  <c:formatCode>General</c:formatCode>
                  <c:ptCount val="3"/>
                  <c:pt idx="0">
                    <c:v>0.36185956914513</c:v>
                  </c:pt>
                  <c:pt idx="1">
                    <c:v>0.563080238760835</c:v>
                  </c:pt>
                  <c:pt idx="2">
                    <c:v>0.988082265070026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(Summary!$E$16,Summary!$E$19,Summary!$E$22)</c:f>
              <c:numCache>
                <c:formatCode>General</c:formatCode>
                <c:ptCount val="3"/>
                <c:pt idx="0" formatCode="0.00">
                  <c:v>4.085083526388364</c:v>
                </c:pt>
                <c:pt idx="1">
                  <c:v>2.628842631786942</c:v>
                </c:pt>
                <c:pt idx="2">
                  <c:v>5.280424879909616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821864"/>
        <c:axId val="2070824776"/>
      </c:barChart>
      <c:catAx>
        <c:axId val="207082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824776"/>
        <c:crosses val="autoZero"/>
        <c:auto val="1"/>
        <c:lblAlgn val="ctr"/>
        <c:lblOffset val="100"/>
        <c:noMultiLvlLbl val="0"/>
      </c:catAx>
      <c:valAx>
        <c:axId val="2070824776"/>
        <c:scaling>
          <c:orientation val="minMax"/>
          <c:max val="6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(Intracelar/Extracellular) Lactate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70821864"/>
        <c:crosses val="autoZero"/>
        <c:crossBetween val="between"/>
        <c:majorUnit val="2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Summary!$A$9</c:f>
              <c:strCache>
                <c:ptCount val="1"/>
                <c:pt idx="0">
                  <c:v>HK2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Summary!#REF!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multiLvlStrRef>
              <c:f>Summary!#REF!</c:f>
            </c:multiLvlStrRef>
          </c:cat>
          <c:val>
            <c:numRef>
              <c:f>Summary!$C$9:$D$9</c:f>
              <c:numCache>
                <c:formatCode>0.00</c:formatCode>
                <c:ptCount val="2"/>
                <c:pt idx="0">
                  <c:v>104.9428718602637</c:v>
                </c:pt>
                <c:pt idx="1">
                  <c:v>22.35534309783936</c:v>
                </c:pt>
              </c:numCache>
            </c:numRef>
          </c:val>
        </c:ser>
        <c:ser>
          <c:idx val="1"/>
          <c:order val="1"/>
          <c:tx>
            <c:strRef>
              <c:f>Summary!$A$6</c:f>
              <c:strCache>
                <c:ptCount val="1"/>
                <c:pt idx="0">
                  <c:v>UMRC6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Summary!#REF!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multiLvlStrRef>
              <c:f>Summary!#REF!</c:f>
            </c:multiLvlStrRef>
          </c:cat>
          <c:val>
            <c:numRef>
              <c:f>Summary!$C$6:$D$6</c:f>
              <c:numCache>
                <c:formatCode>0.00</c:formatCode>
                <c:ptCount val="2"/>
                <c:pt idx="0">
                  <c:v>124.2217866593515</c:v>
                </c:pt>
                <c:pt idx="1">
                  <c:v>42.09958298002523</c:v>
                </c:pt>
              </c:numCache>
            </c:numRef>
          </c:val>
        </c:ser>
        <c:ser>
          <c:idx val="2"/>
          <c:order val="2"/>
          <c:tx>
            <c:strRef>
              <c:f>Summary!$A$3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Summary!#REF!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multiLvlStrRef>
              <c:f>Summary!#REF!</c:f>
            </c:multiLvlStrRef>
          </c:cat>
          <c:val>
            <c:numRef>
              <c:f>Summary!$C$3:$D$3</c:f>
              <c:numCache>
                <c:formatCode>0.00</c:formatCode>
                <c:ptCount val="2"/>
                <c:pt idx="0">
                  <c:v>9.912290262098602</c:v>
                </c:pt>
                <c:pt idx="1">
                  <c:v>6.42197323258278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378584"/>
        <c:axId val="2111599576"/>
      </c:barChart>
      <c:catAx>
        <c:axId val="210837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599576"/>
        <c:crosses val="autoZero"/>
        <c:auto val="1"/>
        <c:lblAlgn val="ctr"/>
        <c:lblOffset val="100"/>
        <c:noMultiLvlLbl val="0"/>
      </c:catAx>
      <c:valAx>
        <c:axId val="2111599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LAC/Pyr/Eretic/mg of Pyr/BNTP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08378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(Summary!$G$4,Summary!$G$7,Summary!$G$10)</c:f>
                <c:numCache>
                  <c:formatCode>General</c:formatCode>
                  <c:ptCount val="3"/>
                  <c:pt idx="0">
                    <c:v>17.75976356140474</c:v>
                  </c:pt>
                  <c:pt idx="1">
                    <c:v>27.21693799356156</c:v>
                  </c:pt>
                  <c:pt idx="2">
                    <c:v>7.814278415868545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(Summary!$G$3,Summary!$G$6,Summary!$G$9)</c:f>
              <c:numCache>
                <c:formatCode>General</c:formatCode>
                <c:ptCount val="3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</c:numCache>
            </c:numRef>
          </c:val>
        </c:ser>
        <c:ser>
          <c:idx val="1"/>
          <c:order val="1"/>
          <c:tx>
            <c:strRef>
              <c:f>Summary!$B$14</c:f>
              <c:strCache>
                <c:ptCount val="1"/>
                <c:pt idx="0">
                  <c:v>1mM DIDS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(Summary!$G$17,Summary!$G$20,Summary!$G$23)</c:f>
                <c:numCache>
                  <c:formatCode>General</c:formatCode>
                  <c:ptCount val="3"/>
                  <c:pt idx="0">
                    <c:v>3.313714800036655</c:v>
                  </c:pt>
                  <c:pt idx="1">
                    <c:v>32.66543684123475</c:v>
                  </c:pt>
                  <c:pt idx="2">
                    <c:v>9.02645425007985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(Summary!$G$16,Summary!$G$19,Summary!$G$22)</c:f>
              <c:numCache>
                <c:formatCode>General</c:formatCode>
                <c:ptCount val="3"/>
                <c:pt idx="0">
                  <c:v>163.7321588941303</c:v>
                </c:pt>
                <c:pt idx="1">
                  <c:v>87.22084689821095</c:v>
                </c:pt>
                <c:pt idx="2">
                  <c:v>113.295650020742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250632"/>
        <c:axId val="2109253608"/>
      </c:barChart>
      <c:catAx>
        <c:axId val="210925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53608"/>
        <c:crosses val="autoZero"/>
        <c:auto val="1"/>
        <c:lblAlgn val="ctr"/>
        <c:lblOffset val="100"/>
        <c:noMultiLvlLbl val="0"/>
      </c:catAx>
      <c:valAx>
        <c:axId val="2109253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in (Intra/extra)cellular</a:t>
                </a:r>
                <a:r>
                  <a:rPr lang="en-US" baseline="0"/>
                  <a:t> Lactate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25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(Summary!$Q$4,Summary!$Q$7,Summary!$Q$10)</c:f>
                <c:numCache>
                  <c:formatCode>General</c:formatCode>
                  <c:ptCount val="3"/>
                  <c:pt idx="0">
                    <c:v>9.86627241545697</c:v>
                  </c:pt>
                  <c:pt idx="1">
                    <c:v>12.98818668655006</c:v>
                  </c:pt>
                  <c:pt idx="2">
                    <c:v>6.483605738154166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(Summary!$Q$3,Summary!$Q$6,Summary!$Q$9)</c:f>
              <c:numCache>
                <c:formatCode>General</c:formatCode>
                <c:ptCount val="3"/>
                <c:pt idx="0">
                  <c:v>39.31596447353654</c:v>
                </c:pt>
                <c:pt idx="1">
                  <c:v>25.31219113413201</c:v>
                </c:pt>
                <c:pt idx="2">
                  <c:v>17.56139558217455</c:v>
                </c:pt>
              </c:numCache>
            </c:numRef>
          </c:val>
        </c:ser>
        <c:ser>
          <c:idx val="1"/>
          <c:order val="1"/>
          <c:tx>
            <c:v>DiDS treated</c:v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(Summary!$Q$17,Summary!$Q$20,Summary!$Q$23)</c:f>
                <c:numCache>
                  <c:formatCode>General</c:formatCode>
                  <c:ptCount val="3"/>
                  <c:pt idx="0">
                    <c:v>5.769974771105807</c:v>
                  </c:pt>
                  <c:pt idx="1">
                    <c:v>4.104882543027432</c:v>
                  </c:pt>
                  <c:pt idx="2">
                    <c:v>3.953359990231485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(Summary!$Q$16,Summary!$Q$19,Summary!$Q$22)</c:f>
              <c:numCache>
                <c:formatCode>General</c:formatCode>
                <c:ptCount val="3"/>
                <c:pt idx="0">
                  <c:v>20.33244913912512</c:v>
                </c:pt>
                <c:pt idx="1">
                  <c:v>26.3966578646887</c:v>
                </c:pt>
                <c:pt idx="2">
                  <c:v>16.78122973509509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898504"/>
        <c:axId val="2070901512"/>
      </c:barChart>
      <c:catAx>
        <c:axId val="207089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2070901512"/>
        <c:crosses val="autoZero"/>
        <c:auto val="1"/>
        <c:lblAlgn val="ctr"/>
        <c:lblOffset val="100"/>
        <c:noMultiLvlLbl val="0"/>
      </c:catAx>
      <c:valAx>
        <c:axId val="2070901512"/>
        <c:scaling>
          <c:orientation val="minMax"/>
          <c:max val="5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(Extracellular/Total)</a:t>
                </a:r>
                <a:r>
                  <a:rPr lang="en-US" baseline="0"/>
                  <a:t> Lactate (%)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070898504"/>
        <c:crosses val="autoZero"/>
        <c:crossBetween val="between"/>
        <c:majorUnit val="10.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82338556401251"/>
          <c:y val="0.00150775989957777"/>
          <c:w val="0.197453338354953"/>
          <c:h val="0.231152002738788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(Summary!$K$4,Summary!$K$7,Summary!$K$10)</c:f>
                <c:numCache>
                  <c:formatCode>General</c:formatCode>
                  <c:ptCount val="3"/>
                  <c:pt idx="0">
                    <c:v>27.81352111636001</c:v>
                  </c:pt>
                  <c:pt idx="1">
                    <c:v>37.02447720900416</c:v>
                  </c:pt>
                  <c:pt idx="2">
                    <c:v>34.90204417432331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(Summary!$K$3,Summary!$K$6,Summary!$K$9)</c:f>
              <c:numCache>
                <c:formatCode>General</c:formatCode>
                <c:ptCount val="3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</c:numCache>
            </c:numRef>
          </c:val>
        </c:ser>
        <c:ser>
          <c:idx val="1"/>
          <c:order val="1"/>
          <c:tx>
            <c:v>DiDS treated</c:v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(Summary!$K$17,Summary!$K$20,Summary!$K$23)</c:f>
                <c:numCache>
                  <c:formatCode>General</c:formatCode>
                  <c:ptCount val="3"/>
                  <c:pt idx="0">
                    <c:v>3.313714800036655</c:v>
                  </c:pt>
                  <c:pt idx="1">
                    <c:v>32.66543684123475</c:v>
                  </c:pt>
                  <c:pt idx="2">
                    <c:v>9.02645425007985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(Summary!$K$16,Summary!$K$19,Summary!$K$22)</c:f>
              <c:numCache>
                <c:formatCode>General</c:formatCode>
                <c:ptCount val="3"/>
                <c:pt idx="0">
                  <c:v>163.7321588941303</c:v>
                </c:pt>
                <c:pt idx="1">
                  <c:v>87.22084689821095</c:v>
                </c:pt>
                <c:pt idx="2">
                  <c:v>113.295650020742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745864"/>
        <c:axId val="2070786552"/>
      </c:barChart>
      <c:catAx>
        <c:axId val="207074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Lactate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2070786552"/>
        <c:crosses val="autoZero"/>
        <c:auto val="1"/>
        <c:lblAlgn val="ctr"/>
        <c:lblOffset val="100"/>
        <c:noMultiLvlLbl val="0"/>
      </c:catAx>
      <c:valAx>
        <c:axId val="2070786552"/>
        <c:scaling>
          <c:orientation val="minMax"/>
          <c:max val="24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(Intracellular/Extracellular) Lactate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070745864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8389724365656"/>
          <c:y val="0.00150775989957777"/>
          <c:w val="0.197453338354953"/>
          <c:h val="0.231152002738788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bg1"/>
            </a:solidFill>
            <a:ln w="9525" cmpd="sng">
              <a:solidFill>
                <a:schemeClr val="tx1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C0001">
                  <a:lumMod val="60000"/>
                  <a:lumOff val="40000"/>
                </a:srgbClr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9C0001">
                  <a:lumMod val="20000"/>
                  <a:lumOff val="80000"/>
                </a:srgbClr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08709">
                  <a:lumMod val="60000"/>
                  <a:lumOff val="40000"/>
                </a:srgbClr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dPt>
          <c:errBars>
            <c:errBarType val="plus"/>
            <c:errValType val="cust"/>
            <c:noEndCap val="0"/>
            <c:plus>
              <c:numRef>
                <c:f>(Summary!$K$4,Summary!$K$7,Summary!$K$10)</c:f>
                <c:numCache>
                  <c:formatCode>General</c:formatCode>
                  <c:ptCount val="3"/>
                  <c:pt idx="0">
                    <c:v>27.81352111636001</c:v>
                  </c:pt>
                  <c:pt idx="1">
                    <c:v>37.02447720900416</c:v>
                  </c:pt>
                  <c:pt idx="2">
                    <c:v>34.90204417432331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(Summary!$K$3,Summary!$K$6,Summary!$K$9)</c:f>
              <c:numCache>
                <c:formatCode>General</c:formatCode>
                <c:ptCount val="3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</c:numCache>
            </c:numRef>
          </c:val>
        </c:ser>
        <c:ser>
          <c:idx val="1"/>
          <c:order val="1"/>
          <c:tx>
            <c:v>DiDS treated</c:v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rgbClr val="9C0001">
                    <a:lumMod val="60000"/>
                    <a:lumOff val="40000"/>
                  </a:srgbClr>
                </a:bgClr>
              </a:patt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rgbClr val="9C0001">
                    <a:lumMod val="20000"/>
                    <a:lumOff val="80000"/>
                  </a:srgbClr>
                </a:bgClr>
              </a:patt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rgbClr val="508709">
                    <a:lumMod val="60000"/>
                    <a:lumOff val="40000"/>
                  </a:srgbClr>
                </a:bgClr>
              </a:pattFill>
              <a:ln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0"/>
            <c:plus>
              <c:numRef>
                <c:f>(Summary!$K$17,Summary!$K$20,Summary!$K$23)</c:f>
                <c:numCache>
                  <c:formatCode>General</c:formatCode>
                  <c:ptCount val="3"/>
                  <c:pt idx="0">
                    <c:v>3.313714800036655</c:v>
                  </c:pt>
                  <c:pt idx="1">
                    <c:v>32.66543684123475</c:v>
                  </c:pt>
                  <c:pt idx="2">
                    <c:v>9.02645425007985</c:v>
                  </c:pt>
                </c:numCache>
              </c:numRef>
            </c:plus>
            <c:minus>
              <c:numLit>
                <c:ptCount val="0"/>
              </c:numLit>
            </c:minus>
          </c:errBars>
          <c:cat>
            <c:strRef>
              <c:f>(Summary!$A$3,Summary!$A$6,Summary!$A$9)</c:f>
              <c:strCache>
                <c:ptCount val="3"/>
                <c:pt idx="0">
                  <c:v>UOK262</c:v>
                </c:pt>
                <c:pt idx="1">
                  <c:v>UMRC6</c:v>
                </c:pt>
                <c:pt idx="2">
                  <c:v>HK2</c:v>
                </c:pt>
              </c:strCache>
            </c:strRef>
          </c:cat>
          <c:val>
            <c:numRef>
              <c:f>(Summary!$K$16,Summary!$K$19,Summary!$K$22)</c:f>
              <c:numCache>
                <c:formatCode>General</c:formatCode>
                <c:ptCount val="3"/>
                <c:pt idx="0">
                  <c:v>163.7321588941303</c:v>
                </c:pt>
                <c:pt idx="1">
                  <c:v>87.22084689821095</c:v>
                </c:pt>
                <c:pt idx="2">
                  <c:v>113.295650020742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697048"/>
        <c:axId val="2108700264"/>
      </c:barChart>
      <c:catAx>
        <c:axId val="210869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2108700264"/>
        <c:crosses val="autoZero"/>
        <c:auto val="1"/>
        <c:lblAlgn val="ctr"/>
        <c:lblOffset val="100"/>
        <c:noMultiLvlLbl val="0"/>
      </c:catAx>
      <c:valAx>
        <c:axId val="2108700264"/>
        <c:scaling>
          <c:orientation val="minMax"/>
          <c:max val="18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(Intracellular/Extracellular) Lactate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crossAx val="2108697048"/>
        <c:crosses val="autoZero"/>
        <c:crossBetween val="between"/>
        <c:majorUnit val="40.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65440533966573"/>
          <c:y val="0.00150777826591419"/>
          <c:w val="0.231448531218846"/>
          <c:h val="0.231152002738788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14</xdr:row>
      <xdr:rowOff>101600</xdr:rowOff>
    </xdr:from>
    <xdr:to>
      <xdr:col>13</xdr:col>
      <xdr:colOff>495300</xdr:colOff>
      <xdr:row>32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20</xdr:row>
      <xdr:rowOff>152400</xdr:rowOff>
    </xdr:from>
    <xdr:to>
      <xdr:col>15</xdr:col>
      <xdr:colOff>571500</xdr:colOff>
      <xdr:row>35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14</xdr:row>
      <xdr:rowOff>120650</xdr:rowOff>
    </xdr:from>
    <xdr:to>
      <xdr:col>14</xdr:col>
      <xdr:colOff>222250</xdr:colOff>
      <xdr:row>29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24</xdr:row>
      <xdr:rowOff>63500</xdr:rowOff>
    </xdr:from>
    <xdr:to>
      <xdr:col>8</xdr:col>
      <xdr:colOff>520700</xdr:colOff>
      <xdr:row>38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24</xdr:row>
      <xdr:rowOff>38100</xdr:rowOff>
    </xdr:from>
    <xdr:to>
      <xdr:col>3</xdr:col>
      <xdr:colOff>520700</xdr:colOff>
      <xdr:row>38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24</xdr:row>
      <xdr:rowOff>101600</xdr:rowOff>
    </xdr:from>
    <xdr:to>
      <xdr:col>14</xdr:col>
      <xdr:colOff>406400</xdr:colOff>
      <xdr:row>38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457200</xdr:colOff>
      <xdr:row>24</xdr:row>
      <xdr:rowOff>88900</xdr:rowOff>
    </xdr:from>
    <xdr:to>
      <xdr:col>21</xdr:col>
      <xdr:colOff>387350</xdr:colOff>
      <xdr:row>42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755650</xdr:colOff>
      <xdr:row>58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52</xdr:row>
      <xdr:rowOff>0</xdr:rowOff>
    </xdr:from>
    <xdr:to>
      <xdr:col>17</xdr:col>
      <xdr:colOff>216583</xdr:colOff>
      <xdr:row>72</xdr:row>
      <xdr:rowOff>141485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568960</xdr:colOff>
      <xdr:row>4</xdr:row>
      <xdr:rowOff>81280</xdr:rowOff>
    </xdr:from>
    <xdr:to>
      <xdr:col>14</xdr:col>
      <xdr:colOff>363220</xdr:colOff>
      <xdr:row>23</xdr:row>
      <xdr:rowOff>96520</xdr:rowOff>
    </xdr:to>
    <xdr:grpSp>
      <xdr:nvGrpSpPr>
        <xdr:cNvPr id="8" name="Group 7"/>
        <xdr:cNvGrpSpPr/>
      </xdr:nvGrpSpPr>
      <xdr:grpSpPr>
        <a:xfrm>
          <a:off x="8798560" y="853440"/>
          <a:ext cx="3086100" cy="3683000"/>
          <a:chOff x="5488940" y="-91440"/>
          <a:chExt cx="3086100" cy="3683000"/>
        </a:xfrm>
      </xdr:grpSpPr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5488940" y="-91440"/>
          <a:ext cx="3086100" cy="3683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10" name="TextBox 9"/>
          <xdr:cNvSpPr txBox="1"/>
        </xdr:nvSpPr>
        <xdr:spPr>
          <a:xfrm>
            <a:off x="7124700" y="505460"/>
            <a:ext cx="2540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>
                <a:latin typeface="Arial"/>
                <a:cs typeface="Arial"/>
              </a:rPr>
              <a:t>*</a:t>
            </a:r>
          </a:p>
        </xdr:txBody>
      </xdr:sp>
    </xdr:grpSp>
    <xdr:clientData/>
  </xdr:twoCellAnchor>
  <xdr:twoCellAnchor>
    <xdr:from>
      <xdr:col>13</xdr:col>
      <xdr:colOff>518160</xdr:colOff>
      <xdr:row>5</xdr:row>
      <xdr:rowOff>121920</xdr:rowOff>
    </xdr:from>
    <xdr:to>
      <xdr:col>13</xdr:col>
      <xdr:colOff>772160</xdr:colOff>
      <xdr:row>7</xdr:row>
      <xdr:rowOff>2540</xdr:rowOff>
    </xdr:to>
    <xdr:sp macro="" textlink="">
      <xdr:nvSpPr>
        <xdr:cNvPr id="12" name="TextBox 11"/>
        <xdr:cNvSpPr txBox="1"/>
      </xdr:nvSpPr>
      <xdr:spPr>
        <a:xfrm>
          <a:off x="11216640" y="1087120"/>
          <a:ext cx="2540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12</xdr:col>
      <xdr:colOff>444500</xdr:colOff>
      <xdr:row>25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31</xdr:row>
      <xdr:rowOff>165100</xdr:rowOff>
    </xdr:from>
    <xdr:to>
      <xdr:col>6</xdr:col>
      <xdr:colOff>31750</xdr:colOff>
      <xdr:row>50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101600</xdr:rowOff>
    </xdr:from>
    <xdr:to>
      <xdr:col>16</xdr:col>
      <xdr:colOff>215900</xdr:colOff>
      <xdr:row>38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444500</xdr:colOff>
      <xdr:row>5</xdr:row>
      <xdr:rowOff>38100</xdr:rowOff>
    </xdr:from>
    <xdr:to>
      <xdr:col>22</xdr:col>
      <xdr:colOff>63500</xdr:colOff>
      <xdr:row>21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36</xdr:row>
      <xdr:rowOff>0</xdr:rowOff>
    </xdr:from>
    <xdr:to>
      <xdr:col>21</xdr:col>
      <xdr:colOff>444500</xdr:colOff>
      <xdr:row>50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25400</xdr:colOff>
      <xdr:row>20</xdr:row>
      <xdr:rowOff>139700</xdr:rowOff>
    </xdr:from>
    <xdr:to>
      <xdr:col>12</xdr:col>
      <xdr:colOff>635000</xdr:colOff>
      <xdr:row>40</xdr:row>
      <xdr:rowOff>12700</xdr:rowOff>
    </xdr:to>
    <xdr:grpSp>
      <xdr:nvGrpSpPr>
        <xdr:cNvPr id="10" name="Group 9"/>
        <xdr:cNvGrpSpPr/>
      </xdr:nvGrpSpPr>
      <xdr:grpSpPr>
        <a:xfrm>
          <a:off x="6629400" y="4165600"/>
          <a:ext cx="3911600" cy="3683000"/>
          <a:chOff x="6565900" y="1371600"/>
          <a:chExt cx="3086100" cy="368300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6565900" y="1371600"/>
          <a:ext cx="3086100" cy="3683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8" name="TextBox 7"/>
          <xdr:cNvSpPr txBox="1"/>
        </xdr:nvSpPr>
        <xdr:spPr>
          <a:xfrm>
            <a:off x="8242300" y="2374900"/>
            <a:ext cx="2540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978900" y="3060700"/>
            <a:ext cx="2540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>
                <a:latin typeface="Arial"/>
                <a:cs typeface="Arial"/>
              </a:rPr>
              <a:t>*</a:t>
            </a:r>
          </a:p>
        </xdr:txBody>
      </xdr:sp>
    </xdr:grpSp>
    <xdr:clientData/>
  </xdr:twoCellAnchor>
  <xdr:twoCellAnchor>
    <xdr:from>
      <xdr:col>18</xdr:col>
      <xdr:colOff>558800</xdr:colOff>
      <xdr:row>16</xdr:row>
      <xdr:rowOff>38100</xdr:rowOff>
    </xdr:from>
    <xdr:to>
      <xdr:col>24</xdr:col>
      <xdr:colOff>177800</xdr:colOff>
      <xdr:row>32</xdr:row>
      <xdr:rowOff>158750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41</xdr:row>
      <xdr:rowOff>50800</xdr:rowOff>
    </xdr:from>
    <xdr:to>
      <xdr:col>13</xdr:col>
      <xdr:colOff>609600</xdr:colOff>
      <xdr:row>62</xdr:row>
      <xdr:rowOff>63500</xdr:rowOff>
    </xdr:to>
    <xdr:grpSp>
      <xdr:nvGrpSpPr>
        <xdr:cNvPr id="12" name="Group 11"/>
        <xdr:cNvGrpSpPr/>
      </xdr:nvGrpSpPr>
      <xdr:grpSpPr>
        <a:xfrm>
          <a:off x="7429500" y="8077200"/>
          <a:ext cx="3911600" cy="4013200"/>
          <a:chOff x="6565900" y="1041400"/>
          <a:chExt cx="3086100" cy="4013200"/>
        </a:xfrm>
      </xdr:grpSpPr>
      <xdr:graphicFrame macro="">
        <xdr:nvGraphicFramePr>
          <xdr:cNvPr id="13" name="Chart 12"/>
          <xdr:cNvGraphicFramePr>
            <a:graphicFrameLocks/>
          </xdr:cNvGraphicFramePr>
        </xdr:nvGraphicFramePr>
        <xdr:xfrm>
          <a:off x="6565900" y="1371600"/>
          <a:ext cx="3086100" cy="3683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14" name="TextBox 13"/>
          <xdr:cNvSpPr txBox="1"/>
        </xdr:nvSpPr>
        <xdr:spPr>
          <a:xfrm>
            <a:off x="8663132" y="1485900"/>
            <a:ext cx="2540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8167295" y="1041400"/>
            <a:ext cx="254000" cy="27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>
                <a:latin typeface="Arial"/>
                <a:cs typeface="Arial"/>
              </a:rPr>
              <a:t>*</a:t>
            </a:r>
          </a:p>
        </xdr:txBody>
      </xdr:sp>
    </xdr:grpSp>
    <xdr:clientData/>
  </xdr:twoCellAnchor>
  <xdr:twoCellAnchor>
    <xdr:from>
      <xdr:col>22</xdr:col>
      <xdr:colOff>0</xdr:colOff>
      <xdr:row>2</xdr:row>
      <xdr:rowOff>0</xdr:rowOff>
    </xdr:from>
    <xdr:to>
      <xdr:col>27</xdr:col>
      <xdr:colOff>444500</xdr:colOff>
      <xdr:row>18</xdr:row>
      <xdr:rowOff>95250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404876</xdr:colOff>
      <xdr:row>42</xdr:row>
      <xdr:rowOff>52324</xdr:rowOff>
    </xdr:from>
    <xdr:to>
      <xdr:col>12</xdr:col>
      <xdr:colOff>749300</xdr:colOff>
      <xdr:row>43</xdr:row>
      <xdr:rowOff>63500</xdr:rowOff>
    </xdr:to>
    <xdr:sp macro="" textlink="">
      <xdr:nvSpPr>
        <xdr:cNvPr id="5" name="Left Bracket 4"/>
        <xdr:cNvSpPr/>
      </xdr:nvSpPr>
      <xdr:spPr>
        <a:xfrm rot="5400000">
          <a:off x="9556750" y="7372350"/>
          <a:ext cx="201676" cy="1995424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608076</xdr:colOff>
      <xdr:row>44</xdr:row>
      <xdr:rowOff>141224</xdr:rowOff>
    </xdr:from>
    <xdr:to>
      <xdr:col>12</xdr:col>
      <xdr:colOff>812800</xdr:colOff>
      <xdr:row>45</xdr:row>
      <xdr:rowOff>152400</xdr:rowOff>
    </xdr:to>
    <xdr:sp macro="" textlink="">
      <xdr:nvSpPr>
        <xdr:cNvPr id="17" name="Left Bracket 16"/>
        <xdr:cNvSpPr/>
      </xdr:nvSpPr>
      <xdr:spPr>
        <a:xfrm rot="5400000">
          <a:off x="10102850" y="8324850"/>
          <a:ext cx="201676" cy="1030224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opLeftCell="E1" workbookViewId="0">
      <selection activeCell="U15" sqref="U15:V16"/>
    </sheetView>
  </sheetViews>
  <sheetFormatPr baseColWidth="10" defaultRowHeight="15" x14ac:dyDescent="0"/>
  <cols>
    <col min="4" max="4" width="12.83203125" bestFit="1" customWidth="1"/>
    <col min="5" max="5" width="12.83203125" customWidth="1"/>
    <col min="19" max="19" width="15" customWidth="1"/>
  </cols>
  <sheetData>
    <row r="1" spans="1:22">
      <c r="A1" s="1" t="s">
        <v>0</v>
      </c>
      <c r="B1" s="74" t="s">
        <v>1</v>
      </c>
      <c r="C1" s="1" t="s">
        <v>89</v>
      </c>
      <c r="H1" s="82"/>
      <c r="I1" s="82"/>
      <c r="J1" s="82"/>
      <c r="N1" s="82"/>
      <c r="O1" s="82"/>
      <c r="P1" s="82"/>
      <c r="Q1" s="82"/>
      <c r="R1" s="82"/>
      <c r="U1" t="s">
        <v>113</v>
      </c>
    </row>
    <row r="2" spans="1:22" ht="30">
      <c r="A2" s="1" t="s">
        <v>52</v>
      </c>
      <c r="B2" s="74"/>
      <c r="C2" s="1" t="s">
        <v>36</v>
      </c>
      <c r="D2" t="s">
        <v>90</v>
      </c>
      <c r="E2" t="s">
        <v>91</v>
      </c>
      <c r="F2" t="s">
        <v>7</v>
      </c>
      <c r="G2" t="s">
        <v>92</v>
      </c>
      <c r="H2" t="s">
        <v>105</v>
      </c>
      <c r="I2" t="s">
        <v>93</v>
      </c>
      <c r="J2" t="s">
        <v>106</v>
      </c>
      <c r="K2" t="s">
        <v>107</v>
      </c>
      <c r="L2" t="s">
        <v>94</v>
      </c>
      <c r="M2" t="s">
        <v>108</v>
      </c>
      <c r="N2" t="s">
        <v>109</v>
      </c>
      <c r="O2" t="s">
        <v>110</v>
      </c>
      <c r="P2" t="s">
        <v>111</v>
      </c>
      <c r="Q2" s="82" t="s">
        <v>95</v>
      </c>
      <c r="R2" s="82"/>
      <c r="S2" s="82"/>
      <c r="T2" s="75"/>
      <c r="U2" s="75" t="s">
        <v>114</v>
      </c>
      <c r="V2" s="75" t="s">
        <v>115</v>
      </c>
    </row>
    <row r="3" spans="1:22">
      <c r="A3" s="16">
        <v>41555</v>
      </c>
      <c r="B3" s="35">
        <v>1</v>
      </c>
      <c r="C3" s="18" t="s">
        <v>77</v>
      </c>
      <c r="D3" s="33">
        <v>9.4</v>
      </c>
      <c r="E3" s="50">
        <f>D3*0.001*0.75*1000000/(89.05*5)</f>
        <v>15.833801235261092</v>
      </c>
      <c r="F3" s="56">
        <v>102.1</v>
      </c>
      <c r="G3">
        <f>F3*0.000000001/(0.0000000000000186*1000000)</f>
        <v>5.4892473118279561</v>
      </c>
      <c r="H3">
        <v>48</v>
      </c>
      <c r="I3">
        <v>1.2794653449620099E-2</v>
      </c>
      <c r="J3">
        <v>9.2724662951953099E-2</v>
      </c>
      <c r="K3">
        <v>25</v>
      </c>
      <c r="L3" s="73">
        <v>2.2204461378258701E-14</v>
      </c>
      <c r="M3">
        <v>8.2892651031579404E-2</v>
      </c>
      <c r="N3">
        <v>38</v>
      </c>
      <c r="O3">
        <v>0.116332971480738</v>
      </c>
      <c r="P3" s="73">
        <v>2.2204460492503099E-14</v>
      </c>
      <c r="Q3">
        <v>3.32069929229232</v>
      </c>
      <c r="R3">
        <v>15.4</v>
      </c>
      <c r="S3">
        <v>215952919.40799701</v>
      </c>
      <c r="U3">
        <f>I3*E3/$G3</f>
        <v>3.690633489199982E-2</v>
      </c>
      <c r="V3">
        <f>I3*E3/$F3</f>
        <v>1.9842115533333237E-3</v>
      </c>
    </row>
    <row r="4" spans="1:22">
      <c r="A4" s="18" t="s">
        <v>42</v>
      </c>
      <c r="B4" s="32">
        <v>1</v>
      </c>
      <c r="C4" s="18" t="s">
        <v>77</v>
      </c>
      <c r="D4">
        <v>9.4</v>
      </c>
      <c r="E4" s="50">
        <f t="shared" ref="E4:E9" si="0">D4*0.001*0.75*1000000/(89.05*5)</f>
        <v>15.833801235261092</v>
      </c>
      <c r="F4">
        <v>198.6</v>
      </c>
      <c r="G4">
        <f t="shared" ref="G4:G9" si="1">F4*0.000000001/(0.0000000000000186*1000000)</f>
        <v>10.67741935483871</v>
      </c>
      <c r="H4">
        <v>48</v>
      </c>
      <c r="I4">
        <v>2.5560461842173698E-2</v>
      </c>
      <c r="J4">
        <v>0.147771660745255</v>
      </c>
      <c r="K4">
        <v>25</v>
      </c>
      <c r="L4" s="73">
        <v>2.2204460492503099E-14</v>
      </c>
      <c r="M4">
        <v>0.256593109195702</v>
      </c>
      <c r="N4">
        <v>38</v>
      </c>
      <c r="O4">
        <v>0.60045358263997395</v>
      </c>
      <c r="P4" s="73">
        <v>2.2204639939591301E-14</v>
      </c>
      <c r="Q4">
        <v>3.4736626270146602</v>
      </c>
      <c r="R4">
        <v>16.846357288474501</v>
      </c>
      <c r="S4">
        <v>404283201.74815398</v>
      </c>
      <c r="U4">
        <f t="shared" ref="U4:U5" si="2">I4*E4/$G4</f>
        <v>3.7904221876145228E-2</v>
      </c>
      <c r="V4">
        <f t="shared" ref="V4:V5" si="3">I4*E4/$F4</f>
        <v>2.037861391190604E-3</v>
      </c>
    </row>
    <row r="5" spans="1:22">
      <c r="A5" s="16">
        <v>41754</v>
      </c>
      <c r="B5" s="32">
        <v>6</v>
      </c>
      <c r="C5" s="18" t="s">
        <v>77</v>
      </c>
      <c r="D5">
        <v>9.9</v>
      </c>
      <c r="E5" s="50">
        <f t="shared" si="0"/>
        <v>16.676024705221788</v>
      </c>
      <c r="F5">
        <v>62.65</v>
      </c>
      <c r="G5">
        <f t="shared" si="1"/>
        <v>3.3682795698924735</v>
      </c>
      <c r="H5">
        <v>48</v>
      </c>
      <c r="I5">
        <v>3.6306799136467099E-3</v>
      </c>
      <c r="J5">
        <v>0.32282835560024198</v>
      </c>
      <c r="K5">
        <v>25</v>
      </c>
      <c r="L5" s="73">
        <v>2.2204460492503099E-14</v>
      </c>
      <c r="M5">
        <v>0.18171789316586701</v>
      </c>
      <c r="N5">
        <v>38</v>
      </c>
      <c r="O5">
        <v>0.49921154701780102</v>
      </c>
      <c r="P5" s="73">
        <v>2.2205427265956699E-14</v>
      </c>
      <c r="Q5">
        <v>4.3363002687175998</v>
      </c>
      <c r="R5">
        <v>16.1053034873058</v>
      </c>
      <c r="S5">
        <v>1205554401.35955</v>
      </c>
      <c r="U5">
        <f t="shared" si="2"/>
        <v>1.7975143298054042E-2</v>
      </c>
      <c r="V5">
        <f t="shared" si="3"/>
        <v>9.6640555365881957E-4</v>
      </c>
    </row>
    <row r="6" spans="1:22">
      <c r="A6" s="16">
        <v>41754</v>
      </c>
      <c r="B6" s="45">
        <v>1</v>
      </c>
      <c r="C6" s="18" t="s">
        <v>96</v>
      </c>
      <c r="E6" s="50">
        <f t="shared" si="0"/>
        <v>0</v>
      </c>
      <c r="G6">
        <f t="shared" si="1"/>
        <v>0</v>
      </c>
      <c r="H6" s="76">
        <f>AVERAGE(H3:H5)</f>
        <v>48</v>
      </c>
      <c r="I6" s="76">
        <f t="shared" ref="I6:S6" si="4">AVERAGE(I3:I5)</f>
        <v>1.3995265068480171E-2</v>
      </c>
      <c r="J6" s="76">
        <f t="shared" si="4"/>
        <v>0.18777489309914999</v>
      </c>
      <c r="K6" s="76">
        <f t="shared" si="4"/>
        <v>25</v>
      </c>
      <c r="L6" s="76">
        <f t="shared" si="4"/>
        <v>2.2204460787754971E-14</v>
      </c>
      <c r="M6" s="76">
        <f t="shared" si="4"/>
        <v>0.17373455113104944</v>
      </c>
      <c r="N6" s="76">
        <f t="shared" si="4"/>
        <v>38</v>
      </c>
      <c r="O6" s="76">
        <f t="shared" si="4"/>
        <v>0.40533270037950436</v>
      </c>
      <c r="P6" s="76">
        <f t="shared" si="4"/>
        <v>2.2204842566017035E-14</v>
      </c>
      <c r="Q6" s="76">
        <f t="shared" si="4"/>
        <v>3.7102207293415268</v>
      </c>
      <c r="R6" s="76">
        <f t="shared" si="4"/>
        <v>16.117220258593434</v>
      </c>
      <c r="S6" s="76">
        <f t="shared" si="4"/>
        <v>608596840.83856702</v>
      </c>
      <c r="T6" t="s">
        <v>30</v>
      </c>
      <c r="U6" s="76">
        <f t="shared" ref="U6:V6" si="5">AVERAGE(U3:U5)</f>
        <v>3.092856668873303E-2</v>
      </c>
      <c r="V6" s="76">
        <f t="shared" si="5"/>
        <v>1.6628261660609157E-3</v>
      </c>
    </row>
    <row r="7" spans="1:22">
      <c r="A7" s="16">
        <v>41754</v>
      </c>
      <c r="B7" s="45">
        <v>1</v>
      </c>
      <c r="C7" s="18" t="s">
        <v>96</v>
      </c>
      <c r="E7" s="50">
        <f t="shared" si="0"/>
        <v>0</v>
      </c>
      <c r="G7">
        <f t="shared" si="1"/>
        <v>0</v>
      </c>
      <c r="H7">
        <f>STDEV(H3:H5)</f>
        <v>0</v>
      </c>
      <c r="I7">
        <f t="shared" ref="I7:S7" si="6">STDEV(I3:I5)</f>
        <v>1.1014078947088292E-2</v>
      </c>
      <c r="J7">
        <f t="shared" si="6"/>
        <v>0.12015457249586613</v>
      </c>
      <c r="K7">
        <f t="shared" si="6"/>
        <v>0</v>
      </c>
      <c r="L7">
        <f t="shared" si="6"/>
        <v>5.1139123500915913E-22</v>
      </c>
      <c r="M7">
        <f t="shared" si="6"/>
        <v>8.7124982663643671E-2</v>
      </c>
      <c r="N7">
        <f t="shared" si="6"/>
        <v>0</v>
      </c>
      <c r="O7">
        <f t="shared" si="6"/>
        <v>0.25534901590157072</v>
      </c>
      <c r="P7">
        <f t="shared" si="6"/>
        <v>5.1425268978376572E-19</v>
      </c>
      <c r="Q7">
        <f t="shared" si="6"/>
        <v>0.5475683862873757</v>
      </c>
      <c r="R7">
        <f t="shared" si="6"/>
        <v>0.72325227864091002</v>
      </c>
      <c r="S7">
        <f t="shared" si="6"/>
        <v>525486270.61889356</v>
      </c>
      <c r="T7" t="s">
        <v>112</v>
      </c>
      <c r="U7">
        <f t="shared" ref="U7:V7" si="7">STDEV(U3:U5)</f>
        <v>1.1229084012595324E-2</v>
      </c>
      <c r="V7">
        <f t="shared" si="7"/>
        <v>6.0371419422555501E-4</v>
      </c>
    </row>
    <row r="8" spans="1:22">
      <c r="A8" s="16">
        <v>41810</v>
      </c>
      <c r="B8" s="32">
        <v>1</v>
      </c>
      <c r="C8" s="18" t="s">
        <v>96</v>
      </c>
      <c r="E8" s="50">
        <f t="shared" si="0"/>
        <v>0</v>
      </c>
      <c r="G8">
        <f t="shared" si="1"/>
        <v>0</v>
      </c>
    </row>
    <row r="9" spans="1:22">
      <c r="A9" s="16">
        <v>41555</v>
      </c>
      <c r="B9" s="35">
        <v>5</v>
      </c>
      <c r="C9" s="18" t="s">
        <v>97</v>
      </c>
      <c r="D9" s="40">
        <v>9.6</v>
      </c>
      <c r="E9" s="50">
        <f t="shared" si="0"/>
        <v>16.170690623245367</v>
      </c>
      <c r="F9" s="21">
        <v>198.1</v>
      </c>
      <c r="G9">
        <f t="shared" si="1"/>
        <v>10.650537634408602</v>
      </c>
    </row>
    <row r="10" spans="1:22">
      <c r="A10" s="16"/>
      <c r="B10" s="35"/>
      <c r="C10" s="18"/>
      <c r="D10" s="40"/>
      <c r="E10" s="50"/>
      <c r="F10" s="21"/>
    </row>
    <row r="11" spans="1:22">
      <c r="A11" t="s">
        <v>55</v>
      </c>
    </row>
    <row r="12" spans="1:22">
      <c r="A12" s="16">
        <v>41817</v>
      </c>
      <c r="B12" s="17">
        <v>1</v>
      </c>
      <c r="C12" s="18" t="s">
        <v>19</v>
      </c>
      <c r="D12" s="18">
        <v>10.1</v>
      </c>
      <c r="E12" s="50">
        <f t="shared" ref="E12:E17" si="8">D12*0.001*0.75*1000000/(89.05*5)</f>
        <v>17.012914093206064</v>
      </c>
      <c r="F12" s="18">
        <v>96.319567076422288</v>
      </c>
      <c r="G12">
        <f t="shared" ref="G12:G17" si="9">F12*0.000000001/(0.0000000000000186*1000000)</f>
        <v>5.1784713481947469</v>
      </c>
      <c r="H12">
        <v>48</v>
      </c>
      <c r="I12">
        <v>1.57566078334999E-2</v>
      </c>
      <c r="J12">
        <v>3.8141772598927502E-2</v>
      </c>
      <c r="K12">
        <v>25</v>
      </c>
      <c r="L12" s="73">
        <v>2.2204460492503099E-14</v>
      </c>
      <c r="M12">
        <v>0.71247315256161103</v>
      </c>
      <c r="N12">
        <v>38</v>
      </c>
      <c r="O12">
        <v>0.65521086789805805</v>
      </c>
      <c r="P12" s="73">
        <v>2.2205879917669501E-14</v>
      </c>
      <c r="Q12">
        <v>3.6857107406300602</v>
      </c>
      <c r="R12">
        <v>17.07385693534</v>
      </c>
      <c r="S12">
        <v>200000477.02885199</v>
      </c>
      <c r="U12">
        <f>I12*E12/$G12</f>
        <v>5.1765433744288498E-2</v>
      </c>
      <c r="V12">
        <f>I12*E12/$F12</f>
        <v>2.7830878357144356E-3</v>
      </c>
    </row>
    <row r="13" spans="1:22">
      <c r="A13" s="16"/>
      <c r="B13" s="17">
        <v>2</v>
      </c>
      <c r="C13" s="18" t="s">
        <v>19</v>
      </c>
      <c r="D13" s="18">
        <v>10</v>
      </c>
      <c r="E13" s="50">
        <f t="shared" si="8"/>
        <v>16.844469399213924</v>
      </c>
      <c r="F13" s="18">
        <v>96.319567076422288</v>
      </c>
      <c r="G13">
        <f t="shared" si="9"/>
        <v>5.1784713481947469</v>
      </c>
      <c r="H13">
        <v>48</v>
      </c>
      <c r="I13">
        <v>2.0125057068606501E-2</v>
      </c>
      <c r="J13">
        <v>0.35999999999993498</v>
      </c>
      <c r="K13">
        <v>25</v>
      </c>
      <c r="L13" s="73">
        <v>3.8915739500418298E-14</v>
      </c>
      <c r="M13">
        <v>0.85182176697723899</v>
      </c>
      <c r="N13">
        <v>38</v>
      </c>
      <c r="O13">
        <v>0.76424050740611005</v>
      </c>
      <c r="P13" s="73">
        <v>3.8892048447027403E-14</v>
      </c>
      <c r="Q13">
        <v>2.8790676664085399</v>
      </c>
      <c r="R13">
        <v>21.8282665254692</v>
      </c>
      <c r="S13">
        <v>657261580.91188598</v>
      </c>
      <c r="U13">
        <f t="shared" ref="U13:U14" si="10">I13*E13/$G13</f>
        <v>6.5462543896810887E-2</v>
      </c>
      <c r="V13">
        <f t="shared" ref="V13:V14" si="11">I13*E13/$F13</f>
        <v>3.5194916073554242E-3</v>
      </c>
    </row>
    <row r="14" spans="1:22">
      <c r="A14" s="16" t="s">
        <v>28</v>
      </c>
      <c r="B14" s="18">
        <v>1</v>
      </c>
      <c r="C14" s="18" t="s">
        <v>19</v>
      </c>
      <c r="D14" s="18">
        <v>9.8000000000000007</v>
      </c>
      <c r="E14" s="50">
        <f t="shared" si="8"/>
        <v>16.507580011229649</v>
      </c>
      <c r="F14" s="18">
        <v>114.46925583409345</v>
      </c>
      <c r="G14">
        <f t="shared" si="9"/>
        <v>6.1542610663491102</v>
      </c>
      <c r="U14">
        <f t="shared" si="10"/>
        <v>0</v>
      </c>
      <c r="V14">
        <f t="shared" si="11"/>
        <v>0</v>
      </c>
    </row>
    <row r="15" spans="1:22">
      <c r="A15" s="9"/>
      <c r="B15" s="10">
        <v>3</v>
      </c>
      <c r="C15" s="11" t="s">
        <v>27</v>
      </c>
      <c r="D15" s="11">
        <v>9.5</v>
      </c>
      <c r="E15" s="50">
        <f t="shared" si="8"/>
        <v>16.002245929253228</v>
      </c>
      <c r="F15" s="11">
        <v>150.590870946183</v>
      </c>
      <c r="G15">
        <f t="shared" si="9"/>
        <v>8.096283384203387</v>
      </c>
      <c r="H15" s="76">
        <f>AVERAGE(H12:H14)</f>
        <v>48</v>
      </c>
      <c r="I15" s="76">
        <f t="shared" ref="I15:S15" si="12">AVERAGE(I12:I14)</f>
        <v>1.7940832451053199E-2</v>
      </c>
      <c r="J15" s="76">
        <f t="shared" si="12"/>
        <v>0.19907088629943123</v>
      </c>
      <c r="K15" s="76">
        <f t="shared" si="12"/>
        <v>25</v>
      </c>
      <c r="L15" s="76">
        <f t="shared" si="12"/>
        <v>3.0560099996460696E-14</v>
      </c>
      <c r="M15" s="76">
        <f t="shared" si="12"/>
        <v>0.78214745976942501</v>
      </c>
      <c r="N15" s="76">
        <f t="shared" si="12"/>
        <v>38</v>
      </c>
      <c r="O15" s="76">
        <f t="shared" si="12"/>
        <v>0.7097256876520841</v>
      </c>
      <c r="P15" s="76">
        <f t="shared" si="12"/>
        <v>3.0548964182348452E-14</v>
      </c>
      <c r="Q15" s="76">
        <f t="shared" si="12"/>
        <v>3.2823892035193003</v>
      </c>
      <c r="R15" s="76">
        <f t="shared" si="12"/>
        <v>19.4510617304046</v>
      </c>
      <c r="S15" s="76">
        <f t="shared" si="12"/>
        <v>428631028.97036898</v>
      </c>
      <c r="T15" t="s">
        <v>30</v>
      </c>
      <c r="U15" s="76">
        <f>AVERAGE(U12:U13)</f>
        <v>5.861398882054969E-2</v>
      </c>
      <c r="V15" s="76">
        <f>AVERAGE(V12:V13)</f>
        <v>3.1512897215349297E-3</v>
      </c>
    </row>
    <row r="16" spans="1:22">
      <c r="A16" s="9"/>
      <c r="B16" s="10">
        <v>4</v>
      </c>
      <c r="C16" s="11" t="s">
        <v>27</v>
      </c>
      <c r="D16" s="11">
        <v>9.8000000000000007</v>
      </c>
      <c r="E16" s="50">
        <f t="shared" si="8"/>
        <v>16.507580011229649</v>
      </c>
      <c r="F16" s="11">
        <v>150.5908709461826</v>
      </c>
      <c r="G16">
        <f t="shared" si="9"/>
        <v>8.0962833842033657</v>
      </c>
      <c r="H16">
        <f>STDEV(H12:H14)</f>
        <v>0</v>
      </c>
      <c r="I16">
        <f t="shared" ref="I16:S16" si="13">STDEV(I12:I14)</f>
        <v>3.0889600774130642E-3</v>
      </c>
      <c r="J16">
        <f t="shared" si="13"/>
        <v>0.22758813517593426</v>
      </c>
      <c r="K16">
        <f t="shared" si="13"/>
        <v>0</v>
      </c>
      <c r="L16">
        <f t="shared" si="13"/>
        <v>1.1816658708797239E-14</v>
      </c>
      <c r="M16">
        <f t="shared" si="13"/>
        <v>9.8534350202240023E-2</v>
      </c>
      <c r="N16">
        <f t="shared" si="13"/>
        <v>0</v>
      </c>
      <c r="O16">
        <f t="shared" si="13"/>
        <v>7.7095597446468281E-2</v>
      </c>
      <c r="P16">
        <f t="shared" si="13"/>
        <v>1.1798902919130533E-14</v>
      </c>
      <c r="Q16">
        <f t="shared" si="13"/>
        <v>0.57038278777919627</v>
      </c>
      <c r="R16">
        <f t="shared" si="13"/>
        <v>3.3618752617187182</v>
      </c>
      <c r="S16">
        <f t="shared" si="13"/>
        <v>323332427.32853973</v>
      </c>
      <c r="T16" t="s">
        <v>112</v>
      </c>
      <c r="U16">
        <f t="shared" ref="U16:V16" si="14">STDEV(U12:U14)</f>
        <v>3.4526838861738046E-2</v>
      </c>
      <c r="V16">
        <f t="shared" si="14"/>
        <v>1.8562816592332285E-3</v>
      </c>
    </row>
    <row r="17" spans="1:21">
      <c r="A17" s="16" t="s">
        <v>28</v>
      </c>
      <c r="B17">
        <v>2</v>
      </c>
      <c r="C17" s="11" t="s">
        <v>27</v>
      </c>
      <c r="D17" s="18">
        <v>10</v>
      </c>
      <c r="E17" s="50">
        <f t="shared" si="8"/>
        <v>16.844469399213924</v>
      </c>
      <c r="F17">
        <v>82.11166839194307</v>
      </c>
      <c r="G17">
        <f t="shared" si="9"/>
        <v>4.4146058275238209</v>
      </c>
      <c r="U17">
        <f t="shared" ref="U17" si="15">STDEV(U13:U15)</f>
        <v>3.5981122470748465E-2</v>
      </c>
    </row>
    <row r="19" spans="1:21">
      <c r="A19" t="s">
        <v>56</v>
      </c>
    </row>
    <row r="20" spans="1:21">
      <c r="A20" s="16">
        <v>41817</v>
      </c>
      <c r="B20" s="17">
        <v>1</v>
      </c>
      <c r="C20" s="18" t="s">
        <v>19</v>
      </c>
      <c r="D20" s="18">
        <v>10.6</v>
      </c>
      <c r="E20" s="50">
        <f>D20*0.001*0.75*1000000/(89.05*5)</f>
        <v>17.855137563166764</v>
      </c>
      <c r="F20" s="18">
        <v>61.005976102893385</v>
      </c>
      <c r="G20">
        <f>F20*0.000000001/(0.0000000000000186*1000000)</f>
        <v>3.2798911883276012</v>
      </c>
    </row>
    <row r="21" spans="1:21">
      <c r="A21" s="16"/>
      <c r="B21" s="17">
        <v>2</v>
      </c>
      <c r="C21" s="18" t="s">
        <v>19</v>
      </c>
      <c r="D21" s="18">
        <v>10.3</v>
      </c>
      <c r="E21" s="50">
        <f>D21*0.001*0.75*1000000/(89.05*5)</f>
        <v>17.349803481190342</v>
      </c>
      <c r="F21" s="18">
        <v>61.005976102893385</v>
      </c>
      <c r="G21">
        <f>F21*0.000000001/(0.0000000000000186*1000000)</f>
        <v>3.2798911883276012</v>
      </c>
      <c r="K21">
        <f>1/50</f>
        <v>0.02</v>
      </c>
    </row>
    <row r="22" spans="1:21">
      <c r="A22" s="16" t="s">
        <v>80</v>
      </c>
      <c r="B22" s="18">
        <v>1</v>
      </c>
      <c r="C22" s="18" t="s">
        <v>19</v>
      </c>
      <c r="D22" s="18">
        <v>10.1</v>
      </c>
      <c r="E22" s="50">
        <f>D22*0.001*0.75*1000000/(89.05*5)</f>
        <v>17.012914093206064</v>
      </c>
      <c r="F22" s="18">
        <v>38.694633392218769</v>
      </c>
      <c r="G22">
        <f>F22*0.000000001/(0.0000000000000186*1000000)</f>
        <v>2.0803566339902564</v>
      </c>
    </row>
    <row r="28" spans="1:21">
      <c r="A28" s="16">
        <v>41817</v>
      </c>
      <c r="B28" s="17">
        <v>1</v>
      </c>
      <c r="C28" s="18">
        <v>10.1</v>
      </c>
      <c r="D28" s="18" t="s">
        <v>19</v>
      </c>
      <c r="E28" s="18">
        <v>1</v>
      </c>
      <c r="F28" s="18">
        <v>96.319567076422288</v>
      </c>
    </row>
    <row r="29" spans="1:21">
      <c r="A29" s="16"/>
      <c r="B29" s="17">
        <v>2</v>
      </c>
      <c r="C29" s="18">
        <v>10</v>
      </c>
      <c r="D29" s="18" t="s">
        <v>19</v>
      </c>
      <c r="E29" s="18">
        <v>1</v>
      </c>
      <c r="F29" s="18">
        <v>96.319567076422288</v>
      </c>
    </row>
    <row r="30" spans="1:21">
      <c r="A30" s="16" t="s">
        <v>28</v>
      </c>
      <c r="B30" s="18">
        <v>1</v>
      </c>
      <c r="C30" s="18">
        <v>9.8000000000000007</v>
      </c>
      <c r="D30" s="18" t="s">
        <v>19</v>
      </c>
      <c r="E30" s="18">
        <v>1</v>
      </c>
      <c r="F30" s="18">
        <v>114.46925583409345</v>
      </c>
    </row>
    <row r="31" spans="1:21">
      <c r="A31" s="9"/>
      <c r="B31" s="10">
        <v>3</v>
      </c>
      <c r="C31" s="11">
        <v>9.5</v>
      </c>
      <c r="D31" s="11" t="s">
        <v>27</v>
      </c>
      <c r="E31" s="11">
        <v>2</v>
      </c>
      <c r="F31" s="11">
        <v>150.590870946183</v>
      </c>
    </row>
    <row r="32" spans="1:21">
      <c r="A32" s="9"/>
      <c r="B32" s="10">
        <v>4</v>
      </c>
      <c r="C32" s="11">
        <v>9.8000000000000007</v>
      </c>
      <c r="D32" s="11" t="s">
        <v>27</v>
      </c>
      <c r="E32" s="11">
        <v>2</v>
      </c>
      <c r="F32" s="11">
        <v>150.5908709461826</v>
      </c>
    </row>
    <row r="33" spans="1:6">
      <c r="A33" s="16" t="s">
        <v>28</v>
      </c>
      <c r="B33">
        <v>2</v>
      </c>
      <c r="C33" s="18">
        <v>10</v>
      </c>
      <c r="D33" s="11" t="s">
        <v>27</v>
      </c>
      <c r="E33" s="18">
        <v>2</v>
      </c>
      <c r="F33">
        <v>82.11166839194307</v>
      </c>
    </row>
    <row r="43" spans="1:6" ht="16" thickBot="1"/>
    <row r="44" spans="1:6">
      <c r="A44" s="57" t="s">
        <v>98</v>
      </c>
      <c r="B44" s="58" t="s">
        <v>99</v>
      </c>
      <c r="C44" s="59"/>
      <c r="D44" s="60"/>
      <c r="E44" s="61"/>
      <c r="F44" t="s">
        <v>100</v>
      </c>
    </row>
    <row r="45" spans="1:6">
      <c r="A45" s="62"/>
      <c r="B45" s="61"/>
      <c r="C45" s="61"/>
      <c r="D45" s="63"/>
      <c r="E45" s="61"/>
      <c r="F45" t="s">
        <v>101</v>
      </c>
    </row>
    <row r="46" spans="1:6">
      <c r="A46" s="62"/>
      <c r="B46" s="61" t="s">
        <v>73</v>
      </c>
      <c r="C46" s="61" t="s">
        <v>102</v>
      </c>
      <c r="D46" s="63"/>
      <c r="E46" s="61"/>
    </row>
    <row r="47" spans="1:6">
      <c r="A47" s="64" t="s">
        <v>103</v>
      </c>
      <c r="B47" s="65" t="s">
        <v>56</v>
      </c>
      <c r="C47" s="66">
        <v>1.9099999999999999E-14</v>
      </c>
      <c r="D47" s="67" t="s">
        <v>104</v>
      </c>
      <c r="E47" s="65"/>
    </row>
    <row r="48" spans="1:6">
      <c r="A48" s="62"/>
      <c r="B48" s="65" t="s">
        <v>55</v>
      </c>
      <c r="C48" s="66">
        <v>1.85E-14</v>
      </c>
      <c r="D48" s="67" t="s">
        <v>104</v>
      </c>
      <c r="E48" s="65"/>
    </row>
    <row r="49" spans="1:5" ht="16" thickBot="1">
      <c r="A49" s="68"/>
      <c r="B49" s="69" t="s">
        <v>52</v>
      </c>
      <c r="C49" s="70">
        <v>1.8600000000000001E-14</v>
      </c>
      <c r="D49" s="71" t="s">
        <v>104</v>
      </c>
      <c r="E49" s="65"/>
    </row>
    <row r="50" spans="1:5">
      <c r="A50" s="72"/>
      <c r="B50" s="72"/>
      <c r="C50" s="72"/>
      <c r="D50" s="72"/>
      <c r="E50" s="72"/>
    </row>
  </sheetData>
  <mergeCells count="4">
    <mergeCell ref="H1:J1"/>
    <mergeCell ref="N1:O1"/>
    <mergeCell ref="P1:R1"/>
    <mergeCell ref="Q2:S2"/>
  </mergeCells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opLeftCell="C1" workbookViewId="0">
      <selection activeCell="H2" sqref="H2:T7"/>
    </sheetView>
  </sheetViews>
  <sheetFormatPr baseColWidth="10" defaultRowHeight="15" x14ac:dyDescent="0"/>
  <cols>
    <col min="4" max="4" width="12.83203125" bestFit="1" customWidth="1"/>
    <col min="5" max="5" width="12.83203125" customWidth="1"/>
  </cols>
  <sheetData>
    <row r="1" spans="1:20">
      <c r="A1" s="1" t="s">
        <v>0</v>
      </c>
      <c r="B1" s="55" t="s">
        <v>1</v>
      </c>
      <c r="C1" s="1" t="s">
        <v>89</v>
      </c>
      <c r="H1" s="82"/>
      <c r="I1" s="82"/>
      <c r="J1" s="82"/>
      <c r="N1" s="82"/>
      <c r="O1" s="82"/>
      <c r="P1" s="82"/>
      <c r="Q1" s="82"/>
      <c r="R1" s="82"/>
    </row>
    <row r="2" spans="1:20" ht="30">
      <c r="A2" s="1" t="s">
        <v>52</v>
      </c>
      <c r="B2" s="55"/>
      <c r="C2" s="1" t="s">
        <v>36</v>
      </c>
      <c r="D2" t="s">
        <v>90</v>
      </c>
      <c r="E2" t="s">
        <v>91</v>
      </c>
      <c r="F2" t="s">
        <v>7</v>
      </c>
      <c r="G2" t="s">
        <v>92</v>
      </c>
      <c r="H2" t="s">
        <v>105</v>
      </c>
      <c r="I2" t="s">
        <v>93</v>
      </c>
      <c r="J2" t="s">
        <v>106</v>
      </c>
      <c r="K2" t="s">
        <v>107</v>
      </c>
      <c r="L2" t="s">
        <v>94</v>
      </c>
      <c r="M2" t="s">
        <v>108</v>
      </c>
      <c r="N2" t="s">
        <v>109</v>
      </c>
      <c r="O2" t="s">
        <v>110</v>
      </c>
      <c r="P2" t="s">
        <v>111</v>
      </c>
      <c r="Q2" s="82" t="s">
        <v>95</v>
      </c>
      <c r="R2" s="82"/>
      <c r="S2" s="82"/>
      <c r="T2" s="75"/>
    </row>
    <row r="3" spans="1:20">
      <c r="A3" s="16">
        <v>41555</v>
      </c>
      <c r="B3" s="35">
        <v>1</v>
      </c>
      <c r="C3" s="18" t="s">
        <v>77</v>
      </c>
      <c r="D3" s="33">
        <v>9.4</v>
      </c>
      <c r="E3" s="50">
        <f>D3*0.001*0.75*1000000/(89.05*5)</f>
        <v>15.833801235261092</v>
      </c>
      <c r="F3" s="56">
        <v>137.52676974959306</v>
      </c>
      <c r="G3">
        <f>F3*0.000000001/(0.0000000000000186*1000000)</f>
        <v>7.3939123521286598</v>
      </c>
      <c r="H3">
        <v>49.332057427125001</v>
      </c>
      <c r="I3">
        <v>1.2042893863431599E-2</v>
      </c>
      <c r="J3">
        <v>7.9718729499565794E-2</v>
      </c>
      <c r="K3">
        <v>25.759671953229599</v>
      </c>
      <c r="L3" s="73">
        <v>2.2204460492503099E-14</v>
      </c>
      <c r="M3">
        <v>0.15363051648373599</v>
      </c>
      <c r="N3">
        <v>36.823196459818099</v>
      </c>
      <c r="O3">
        <v>0.28297654307380699</v>
      </c>
      <c r="P3" s="73">
        <v>2.2204696038789499E-14</v>
      </c>
      <c r="Q3">
        <v>3.19015005926234</v>
      </c>
      <c r="R3">
        <v>16.0000000074245</v>
      </c>
      <c r="S3">
        <v>204203587.09977499</v>
      </c>
    </row>
    <row r="4" spans="1:20">
      <c r="A4" s="18" t="s">
        <v>42</v>
      </c>
      <c r="B4" s="32">
        <v>1</v>
      </c>
      <c r="C4" s="18" t="s">
        <v>77</v>
      </c>
      <c r="E4" s="50">
        <f t="shared" ref="E4:E9" si="0">D4*0.001*0.75*1000000/(89.05*5)</f>
        <v>0</v>
      </c>
      <c r="G4">
        <f t="shared" ref="G4:G9" si="1">F4*0.000000001/(0.0000000000000186*1000000)</f>
        <v>0</v>
      </c>
      <c r="H4">
        <v>48.237866459963698</v>
      </c>
      <c r="I4">
        <v>2.5895463842344799E-2</v>
      </c>
      <c r="J4">
        <v>0.14715396716638199</v>
      </c>
      <c r="K4">
        <v>24.149957927542498</v>
      </c>
      <c r="L4" s="73">
        <v>2.2204460492503099E-14</v>
      </c>
      <c r="M4">
        <v>0.34069674935177602</v>
      </c>
      <c r="N4">
        <v>35.914349651420302</v>
      </c>
      <c r="O4">
        <v>0.82104093832564795</v>
      </c>
      <c r="P4" s="73">
        <v>2.2205192560727199E-14</v>
      </c>
      <c r="Q4">
        <v>3.4736705984320002</v>
      </c>
      <c r="R4">
        <v>16.846297422814001</v>
      </c>
      <c r="S4">
        <v>404280960.173729</v>
      </c>
    </row>
    <row r="5" spans="1:20">
      <c r="A5" s="16">
        <v>41754</v>
      </c>
      <c r="B5" s="32">
        <v>6</v>
      </c>
      <c r="C5" s="18" t="s">
        <v>77</v>
      </c>
      <c r="E5" s="50">
        <f t="shared" si="0"/>
        <v>0</v>
      </c>
      <c r="G5">
        <f t="shared" si="1"/>
        <v>0</v>
      </c>
      <c r="H5">
        <v>49.232604668828799</v>
      </c>
      <c r="I5">
        <v>2.5565516417904899E-3</v>
      </c>
      <c r="J5">
        <v>9.0907920412274107E-2</v>
      </c>
      <c r="K5">
        <v>28.158743830019901</v>
      </c>
      <c r="L5" s="73">
        <v>2.2204460492503099E-14</v>
      </c>
      <c r="M5">
        <v>0.254979863134915</v>
      </c>
      <c r="N5">
        <v>35.935454343680703</v>
      </c>
      <c r="O5">
        <v>0.69757805625026303</v>
      </c>
      <c r="P5" s="73">
        <v>2.2207915121948099E-14</v>
      </c>
      <c r="Q5">
        <v>3.9999999999984799</v>
      </c>
      <c r="R5">
        <v>16.604821916337499</v>
      </c>
      <c r="S5">
        <v>668450848.16999698</v>
      </c>
    </row>
    <row r="6" spans="1:20">
      <c r="A6" s="16">
        <v>41754</v>
      </c>
      <c r="B6" s="45">
        <v>1</v>
      </c>
      <c r="C6" s="18" t="s">
        <v>96</v>
      </c>
      <c r="E6" s="50">
        <f t="shared" si="0"/>
        <v>0</v>
      </c>
      <c r="G6">
        <f t="shared" si="1"/>
        <v>0</v>
      </c>
      <c r="H6" s="76">
        <f>AVERAGE(H3:H5)</f>
        <v>48.93417618530583</v>
      </c>
      <c r="I6" s="76">
        <f t="shared" ref="I6:S6" si="2">AVERAGE(I3:I5)</f>
        <v>1.3498303115855632E-2</v>
      </c>
      <c r="J6" s="76">
        <f t="shared" si="2"/>
        <v>0.1059268723594073</v>
      </c>
      <c r="K6" s="76">
        <f t="shared" si="2"/>
        <v>26.022791236930669</v>
      </c>
      <c r="L6" s="76">
        <f t="shared" si="2"/>
        <v>2.2204460492503096E-14</v>
      </c>
      <c r="M6" s="76">
        <f t="shared" si="2"/>
        <v>0.24976904299014233</v>
      </c>
      <c r="N6" s="76">
        <f t="shared" si="2"/>
        <v>36.224333484973037</v>
      </c>
      <c r="O6" s="76">
        <f t="shared" si="2"/>
        <v>0.60053184588323927</v>
      </c>
      <c r="P6" s="76">
        <f t="shared" si="2"/>
        <v>2.2205934573821598E-14</v>
      </c>
      <c r="Q6" s="76">
        <f t="shared" si="2"/>
        <v>3.554606885897607</v>
      </c>
      <c r="R6" s="76">
        <f t="shared" si="2"/>
        <v>16.483706448858666</v>
      </c>
      <c r="S6" s="76">
        <f t="shared" si="2"/>
        <v>425645131.81450033</v>
      </c>
      <c r="T6" t="s">
        <v>30</v>
      </c>
    </row>
    <row r="7" spans="1:20">
      <c r="A7" s="16">
        <v>41754</v>
      </c>
      <c r="B7" s="45">
        <v>1</v>
      </c>
      <c r="C7" s="18" t="s">
        <v>96</v>
      </c>
      <c r="E7" s="50">
        <f t="shared" si="0"/>
        <v>0</v>
      </c>
      <c r="G7">
        <f t="shared" si="1"/>
        <v>0</v>
      </c>
      <c r="H7">
        <f>STDEV(H3:H5)</f>
        <v>0.60506870517959366</v>
      </c>
      <c r="I7">
        <f t="shared" ref="I7:S7" si="3">STDEV(I3:I5)</f>
        <v>1.173732796446136E-2</v>
      </c>
      <c r="J7">
        <f t="shared" si="3"/>
        <v>3.6139376142757577E-2</v>
      </c>
      <c r="K7">
        <f t="shared" si="3"/>
        <v>2.0173038742507075</v>
      </c>
      <c r="L7">
        <f t="shared" si="3"/>
        <v>3.8646133916430421E-30</v>
      </c>
      <c r="M7">
        <f t="shared" si="3"/>
        <v>9.3641915586962624E-2</v>
      </c>
      <c r="N7">
        <f t="shared" si="3"/>
        <v>0.51873789045052576</v>
      </c>
      <c r="O7">
        <f t="shared" si="3"/>
        <v>0.281854215099549</v>
      </c>
      <c r="P7">
        <f t="shared" si="3"/>
        <v>1.7330786680619742E-18</v>
      </c>
      <c r="Q7">
        <f t="shared" si="3"/>
        <v>0.41094676492110116</v>
      </c>
      <c r="R7">
        <f t="shared" si="3"/>
        <v>0.43595475243504261</v>
      </c>
      <c r="S7">
        <f t="shared" si="3"/>
        <v>232859830.63899824</v>
      </c>
      <c r="T7" t="s">
        <v>112</v>
      </c>
    </row>
    <row r="8" spans="1:20">
      <c r="A8" s="16">
        <v>41810</v>
      </c>
      <c r="B8" s="32">
        <v>1</v>
      </c>
      <c r="C8" s="18" t="s">
        <v>96</v>
      </c>
      <c r="E8" s="50">
        <f t="shared" si="0"/>
        <v>0</v>
      </c>
      <c r="G8">
        <f t="shared" si="1"/>
        <v>0</v>
      </c>
    </row>
    <row r="9" spans="1:20">
      <c r="A9" s="16">
        <v>41555</v>
      </c>
      <c r="B9" s="35">
        <v>5</v>
      </c>
      <c r="C9" s="18" t="s">
        <v>97</v>
      </c>
      <c r="D9" s="40">
        <v>9.6</v>
      </c>
      <c r="E9" s="50">
        <f t="shared" si="0"/>
        <v>16.170690623245367</v>
      </c>
      <c r="F9" s="21">
        <v>198.1</v>
      </c>
      <c r="G9">
        <f t="shared" si="1"/>
        <v>10.650537634408602</v>
      </c>
    </row>
    <row r="10" spans="1:20">
      <c r="A10" s="16"/>
      <c r="B10" s="35"/>
      <c r="C10" s="18"/>
      <c r="D10" s="40"/>
      <c r="E10" s="50"/>
      <c r="F10" s="21"/>
    </row>
    <row r="11" spans="1:20">
      <c r="A11" t="s">
        <v>55</v>
      </c>
    </row>
    <row r="12" spans="1:20">
      <c r="A12" s="16">
        <v>41817</v>
      </c>
      <c r="B12" s="17">
        <v>1</v>
      </c>
      <c r="C12" s="18" t="s">
        <v>19</v>
      </c>
      <c r="D12" s="18">
        <v>10.1</v>
      </c>
      <c r="E12" s="50">
        <f t="shared" ref="E12:E17" si="4">D12*0.001*0.75*1000000/(89.05*5)</f>
        <v>17.012914093206064</v>
      </c>
      <c r="F12" s="18">
        <v>96.319567076422288</v>
      </c>
      <c r="G12">
        <f t="shared" ref="G12:G17" si="5">F12*0.000000001/(0.0000000000000186*1000000)</f>
        <v>5.1784713481947469</v>
      </c>
      <c r="H12">
        <v>45.000000000044999</v>
      </c>
      <c r="I12">
        <v>17.000000000006398</v>
      </c>
      <c r="J12">
        <v>31.207056084986199</v>
      </c>
      <c r="K12">
        <v>1.78526887784448E-2</v>
      </c>
      <c r="L12" s="73">
        <v>2.3314729436312401E-14</v>
      </c>
      <c r="M12">
        <v>0.39999999999997699</v>
      </c>
      <c r="N12">
        <v>0.5</v>
      </c>
      <c r="O12">
        <v>0.45404985067557302</v>
      </c>
      <c r="P12">
        <v>5.1045557923165203</v>
      </c>
      <c r="Q12">
        <v>13.8896926594884</v>
      </c>
      <c r="R12">
        <v>528480013.058981</v>
      </c>
    </row>
    <row r="13" spans="1:20">
      <c r="A13" s="16"/>
      <c r="B13" s="17">
        <v>2</v>
      </c>
      <c r="C13" s="18" t="s">
        <v>19</v>
      </c>
      <c r="D13" s="18">
        <v>10</v>
      </c>
      <c r="E13" s="50">
        <f t="shared" si="4"/>
        <v>16.844469399213924</v>
      </c>
      <c r="F13" s="18">
        <v>96.319567076422288</v>
      </c>
      <c r="G13">
        <f t="shared" si="5"/>
        <v>5.1784713481947469</v>
      </c>
    </row>
    <row r="14" spans="1:20">
      <c r="A14" s="16" t="s">
        <v>28</v>
      </c>
      <c r="B14" s="18">
        <v>1</v>
      </c>
      <c r="C14" s="18" t="s">
        <v>19</v>
      </c>
      <c r="D14" s="18">
        <v>9.8000000000000007</v>
      </c>
      <c r="E14" s="50">
        <f t="shared" si="4"/>
        <v>16.507580011229649</v>
      </c>
      <c r="F14" s="18">
        <v>114.46925583409345</v>
      </c>
      <c r="G14">
        <f t="shared" si="5"/>
        <v>6.1542610663491102</v>
      </c>
    </row>
    <row r="15" spans="1:20">
      <c r="A15" s="9"/>
      <c r="B15" s="10">
        <v>3</v>
      </c>
      <c r="C15" s="11" t="s">
        <v>27</v>
      </c>
      <c r="D15" s="11">
        <v>9.5</v>
      </c>
      <c r="E15" s="50">
        <f t="shared" si="4"/>
        <v>16.002245929253228</v>
      </c>
      <c r="F15" s="11">
        <v>150.590870946183</v>
      </c>
      <c r="G15">
        <f t="shared" si="5"/>
        <v>8.096283384203387</v>
      </c>
    </row>
    <row r="16" spans="1:20">
      <c r="A16" s="9"/>
      <c r="B16" s="10">
        <v>4</v>
      </c>
      <c r="C16" s="11" t="s">
        <v>27</v>
      </c>
      <c r="D16" s="11">
        <v>9.8000000000000007</v>
      </c>
      <c r="E16" s="50">
        <f t="shared" si="4"/>
        <v>16.507580011229649</v>
      </c>
      <c r="F16" s="11">
        <v>150.5908709461826</v>
      </c>
      <c r="G16">
        <f t="shared" si="5"/>
        <v>8.0962833842033657</v>
      </c>
    </row>
    <row r="17" spans="1:11">
      <c r="A17" s="16" t="s">
        <v>28</v>
      </c>
      <c r="B17">
        <v>2</v>
      </c>
      <c r="C17" s="11" t="s">
        <v>27</v>
      </c>
      <c r="D17" s="18">
        <v>10</v>
      </c>
      <c r="E17" s="50">
        <f t="shared" si="4"/>
        <v>16.844469399213924</v>
      </c>
      <c r="F17">
        <v>82.11166839194307</v>
      </c>
      <c r="G17">
        <f t="shared" si="5"/>
        <v>4.4146058275238209</v>
      </c>
    </row>
    <row r="19" spans="1:11">
      <c r="A19" t="s">
        <v>56</v>
      </c>
    </row>
    <row r="20" spans="1:11">
      <c r="A20" s="16">
        <v>41817</v>
      </c>
      <c r="B20" s="17">
        <v>1</v>
      </c>
      <c r="C20" s="18" t="s">
        <v>19</v>
      </c>
      <c r="D20" s="18">
        <v>10.6</v>
      </c>
      <c r="E20" s="50">
        <f>D20*0.001*0.75*1000000/(89.05*5)</f>
        <v>17.855137563166764</v>
      </c>
      <c r="F20" s="18">
        <v>61.005976102893385</v>
      </c>
      <c r="G20">
        <f>F20*0.000000001/(0.0000000000000186*1000000)</f>
        <v>3.2798911883276012</v>
      </c>
    </row>
    <row r="21" spans="1:11">
      <c r="A21" s="16"/>
      <c r="B21" s="17">
        <v>2</v>
      </c>
      <c r="C21" s="18" t="s">
        <v>19</v>
      </c>
      <c r="D21" s="18">
        <v>10.3</v>
      </c>
      <c r="E21" s="50">
        <f>D21*0.001*0.75*1000000/(89.05*5)</f>
        <v>17.349803481190342</v>
      </c>
      <c r="F21" s="18">
        <v>61.005976102893385</v>
      </c>
      <c r="G21">
        <f>F21*0.000000001/(0.0000000000000186*1000000)</f>
        <v>3.2798911883276012</v>
      </c>
      <c r="K21">
        <f>1/50</f>
        <v>0.02</v>
      </c>
    </row>
    <row r="22" spans="1:11">
      <c r="A22" s="16" t="s">
        <v>80</v>
      </c>
      <c r="B22" s="18">
        <v>1</v>
      </c>
      <c r="C22" s="18" t="s">
        <v>19</v>
      </c>
      <c r="D22" s="18">
        <v>10.1</v>
      </c>
      <c r="E22" s="50">
        <f>D22*0.001*0.75*1000000/(89.05*5)</f>
        <v>17.012914093206064</v>
      </c>
      <c r="F22" s="18">
        <v>38.694633392218769</v>
      </c>
      <c r="G22">
        <f>F22*0.000000001/(0.0000000000000186*1000000)</f>
        <v>2.0803566339902564</v>
      </c>
    </row>
    <row r="28" spans="1:11">
      <c r="A28" s="16">
        <v>41817</v>
      </c>
      <c r="B28" s="17">
        <v>1</v>
      </c>
      <c r="C28" s="18">
        <v>10.1</v>
      </c>
      <c r="D28" s="18" t="s">
        <v>19</v>
      </c>
      <c r="E28" s="18">
        <v>1</v>
      </c>
      <c r="F28" s="18">
        <v>96.319567076422288</v>
      </c>
    </row>
    <row r="29" spans="1:11">
      <c r="A29" s="16"/>
      <c r="B29" s="17">
        <v>2</v>
      </c>
      <c r="C29" s="18">
        <v>10</v>
      </c>
      <c r="D29" s="18" t="s">
        <v>19</v>
      </c>
      <c r="E29" s="18">
        <v>1</v>
      </c>
      <c r="F29" s="18">
        <v>96.319567076422288</v>
      </c>
    </row>
    <row r="30" spans="1:11">
      <c r="A30" s="16" t="s">
        <v>28</v>
      </c>
      <c r="B30" s="18">
        <v>1</v>
      </c>
      <c r="C30" s="18">
        <v>9.8000000000000007</v>
      </c>
      <c r="D30" s="18" t="s">
        <v>19</v>
      </c>
      <c r="E30" s="18">
        <v>1</v>
      </c>
      <c r="F30" s="18">
        <v>114.46925583409345</v>
      </c>
    </row>
    <row r="31" spans="1:11">
      <c r="A31" s="9"/>
      <c r="B31" s="10">
        <v>3</v>
      </c>
      <c r="C31" s="11">
        <v>9.5</v>
      </c>
      <c r="D31" s="11" t="s">
        <v>27</v>
      </c>
      <c r="E31" s="11">
        <v>2</v>
      </c>
      <c r="F31" s="11">
        <v>150.590870946183</v>
      </c>
    </row>
    <row r="32" spans="1:11">
      <c r="A32" s="9"/>
      <c r="B32" s="10">
        <v>4</v>
      </c>
      <c r="C32" s="11">
        <v>9.8000000000000007</v>
      </c>
      <c r="D32" s="11" t="s">
        <v>27</v>
      </c>
      <c r="E32" s="11">
        <v>2</v>
      </c>
      <c r="F32" s="11">
        <v>150.5908709461826</v>
      </c>
    </row>
    <row r="33" spans="1:6">
      <c r="A33" s="16" t="s">
        <v>28</v>
      </c>
      <c r="B33">
        <v>2</v>
      </c>
      <c r="C33" s="18">
        <v>10</v>
      </c>
      <c r="D33" s="11" t="s">
        <v>27</v>
      </c>
      <c r="E33" s="18">
        <v>2</v>
      </c>
      <c r="F33">
        <v>82.11166839194307</v>
      </c>
    </row>
    <row r="43" spans="1:6" ht="16" thickBot="1"/>
    <row r="44" spans="1:6">
      <c r="A44" s="57" t="s">
        <v>98</v>
      </c>
      <c r="B44" s="58" t="s">
        <v>99</v>
      </c>
      <c r="C44" s="59"/>
      <c r="D44" s="60"/>
      <c r="E44" s="61"/>
      <c r="F44" t="s">
        <v>100</v>
      </c>
    </row>
    <row r="45" spans="1:6">
      <c r="A45" s="62"/>
      <c r="B45" s="61"/>
      <c r="C45" s="61"/>
      <c r="D45" s="63"/>
      <c r="E45" s="61"/>
      <c r="F45" t="s">
        <v>101</v>
      </c>
    </row>
    <row r="46" spans="1:6">
      <c r="A46" s="62"/>
      <c r="B46" s="61" t="s">
        <v>73</v>
      </c>
      <c r="C46" s="61" t="s">
        <v>102</v>
      </c>
      <c r="D46" s="63"/>
      <c r="E46" s="61"/>
    </row>
    <row r="47" spans="1:6">
      <c r="A47" s="64" t="s">
        <v>103</v>
      </c>
      <c r="B47" s="65" t="s">
        <v>56</v>
      </c>
      <c r="C47" s="66">
        <v>1.9099999999999999E-14</v>
      </c>
      <c r="D47" s="67" t="s">
        <v>104</v>
      </c>
      <c r="E47" s="65"/>
    </row>
    <row r="48" spans="1:6">
      <c r="A48" s="62"/>
      <c r="B48" s="65" t="s">
        <v>55</v>
      </c>
      <c r="C48" s="66">
        <v>1.85E-14</v>
      </c>
      <c r="D48" s="67" t="s">
        <v>104</v>
      </c>
      <c r="E48" s="65"/>
    </row>
    <row r="49" spans="1:5" ht="16" thickBot="1">
      <c r="A49" s="68"/>
      <c r="B49" s="69" t="s">
        <v>52</v>
      </c>
      <c r="C49" s="70">
        <v>1.8600000000000001E-14</v>
      </c>
      <c r="D49" s="71" t="s">
        <v>104</v>
      </c>
      <c r="E49" s="65"/>
    </row>
    <row r="50" spans="1:5">
      <c r="A50" s="72"/>
      <c r="B50" s="72"/>
      <c r="C50" s="72"/>
      <c r="D50" s="72"/>
      <c r="E50" s="72"/>
    </row>
  </sheetData>
  <mergeCells count="4">
    <mergeCell ref="H1:J1"/>
    <mergeCell ref="N1:O1"/>
    <mergeCell ref="P1:R1"/>
    <mergeCell ref="Q2:S2"/>
  </mergeCells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pane xSplit="4" ySplit="2" topLeftCell="E5" activePane="bottomRight" state="frozenSplit"/>
      <selection pane="topRight" activeCell="B1" sqref="B1"/>
      <selection pane="bottomLeft" activeCell="A8" sqref="A8"/>
      <selection pane="bottomRight" activeCell="X11" sqref="X11"/>
    </sheetView>
  </sheetViews>
  <sheetFormatPr baseColWidth="10" defaultRowHeight="15" x14ac:dyDescent="0"/>
  <cols>
    <col min="1" max="1" width="20.83203125" bestFit="1" customWidth="1"/>
    <col min="2" max="2" width="6" style="26" bestFit="1" customWidth="1"/>
    <col min="3" max="3" width="11" style="48" bestFit="1" customWidth="1"/>
    <col min="4" max="4" width="23.5" bestFit="1" customWidth="1"/>
    <col min="5" max="6" width="6.1640625" customWidth="1"/>
    <col min="7" max="7" width="8.1640625" customWidth="1"/>
    <col min="8" max="8" width="9.6640625" customWidth="1"/>
    <col min="9" max="11" width="11" bestFit="1" customWidth="1"/>
    <col min="12" max="12" width="11.5" customWidth="1"/>
    <col min="13" max="13" width="7.83203125" customWidth="1"/>
    <col min="14" max="14" width="9.5" customWidth="1"/>
    <col min="17" max="18" width="9.5" customWidth="1"/>
    <col min="19" max="20" width="6.5" customWidth="1"/>
    <col min="21" max="21" width="6.1640625" customWidth="1"/>
    <col min="22" max="22" width="8.6640625" customWidth="1"/>
    <col min="23" max="23" width="7.33203125" customWidth="1"/>
    <col min="24" max="24" width="7.83203125" customWidth="1"/>
  </cols>
  <sheetData>
    <row r="1" spans="1:26" s="1" customFormat="1" ht="43" customHeight="1">
      <c r="A1" s="1" t="s">
        <v>0</v>
      </c>
      <c r="B1" s="26" t="s">
        <v>1</v>
      </c>
      <c r="C1" s="29" t="s">
        <v>2</v>
      </c>
      <c r="E1" s="83" t="s">
        <v>14</v>
      </c>
      <c r="F1" s="83" t="s">
        <v>7</v>
      </c>
      <c r="G1" s="84" t="s">
        <v>33</v>
      </c>
      <c r="H1" s="84"/>
      <c r="I1" s="83" t="s">
        <v>15</v>
      </c>
      <c r="J1" s="83"/>
      <c r="K1" s="83"/>
      <c r="L1" s="83"/>
      <c r="N1" s="30" t="s">
        <v>33</v>
      </c>
      <c r="P1" s="1" t="s">
        <v>34</v>
      </c>
      <c r="Q1" s="83" t="s">
        <v>16</v>
      </c>
      <c r="R1" s="83"/>
      <c r="S1" s="83" t="s">
        <v>3</v>
      </c>
      <c r="T1" s="83"/>
      <c r="U1" s="83" t="s">
        <v>4</v>
      </c>
      <c r="V1" s="83" t="s">
        <v>17</v>
      </c>
      <c r="W1" s="83" t="s">
        <v>5</v>
      </c>
      <c r="X1" s="83" t="s">
        <v>35</v>
      </c>
    </row>
    <row r="2" spans="1:26" s="1" customFormat="1" ht="30">
      <c r="B2" s="26"/>
      <c r="C2" s="29" t="s">
        <v>6</v>
      </c>
      <c r="D2" s="1" t="s">
        <v>36</v>
      </c>
      <c r="E2" s="83"/>
      <c r="F2" s="83"/>
      <c r="G2" s="1" t="s">
        <v>37</v>
      </c>
      <c r="H2" s="1" t="s">
        <v>38</v>
      </c>
      <c r="I2" s="1" t="s">
        <v>8</v>
      </c>
      <c r="J2" s="1" t="s">
        <v>9</v>
      </c>
      <c r="L2" s="1" t="s">
        <v>11</v>
      </c>
      <c r="M2" s="31" t="s">
        <v>39</v>
      </c>
      <c r="N2" s="1" t="s">
        <v>40</v>
      </c>
      <c r="Q2" s="1" t="s">
        <v>12</v>
      </c>
      <c r="R2" s="1" t="s">
        <v>13</v>
      </c>
      <c r="S2" s="1" t="s">
        <v>12</v>
      </c>
      <c r="T2" s="1" t="s">
        <v>13</v>
      </c>
      <c r="U2" s="83"/>
      <c r="V2" s="83"/>
      <c r="W2" s="83"/>
      <c r="X2" s="83"/>
      <c r="Y2" s="1" t="s">
        <v>117</v>
      </c>
      <c r="Z2" s="1" t="s">
        <v>60</v>
      </c>
    </row>
    <row r="3" spans="1:26" s="18" customFormat="1">
      <c r="A3" s="16">
        <v>41514</v>
      </c>
      <c r="B3" s="32">
        <v>1</v>
      </c>
      <c r="C3" s="33">
        <v>9.4</v>
      </c>
      <c r="D3" s="18" t="s">
        <v>41</v>
      </c>
      <c r="E3" s="18">
        <v>1</v>
      </c>
      <c r="F3" s="18">
        <v>93.09</v>
      </c>
      <c r="G3" s="19"/>
      <c r="I3" s="18">
        <v>766283514.60000014</v>
      </c>
      <c r="J3" s="18">
        <v>35451136.329999983</v>
      </c>
      <c r="K3" s="19">
        <v>6257797.8699999992</v>
      </c>
      <c r="L3" s="18">
        <v>5554956.5199999968</v>
      </c>
      <c r="M3" s="34">
        <v>856111.64044943824</v>
      </c>
      <c r="N3" s="18">
        <v>8.1674534035540934E-4</v>
      </c>
      <c r="P3" s="18">
        <f>I3/(C3*M3)</f>
        <v>95.220668634982516</v>
      </c>
      <c r="Q3" s="18">
        <f t="shared" ref="Q3:Q11" si="0">K3/(I3*F3*C3)</f>
        <v>9.3325680366105684E-6</v>
      </c>
      <c r="R3" s="18">
        <f t="shared" ref="R3:R11" si="1">L3/(I3*F3*C3)</f>
        <v>8.28438545639913E-6</v>
      </c>
      <c r="S3" s="18">
        <f t="shared" ref="S3:S11" si="2">Q3*M3</f>
        <v>7.9897201314286663</v>
      </c>
      <c r="T3" s="18">
        <f t="shared" ref="T3:T11" si="3">R3*M3</f>
        <v>7.0923588231933277</v>
      </c>
      <c r="U3" s="18">
        <f>Q3/R3</f>
        <v>1.1265250857445059</v>
      </c>
      <c r="V3" s="18">
        <f>Q3+R3</f>
        <v>1.7616953493009698E-5</v>
      </c>
      <c r="W3" s="18">
        <f>S3+T3</f>
        <v>15.082078954621995</v>
      </c>
      <c r="Y3" s="18">
        <f>S3*100/(T3+S3)</f>
        <v>52.974925774275754</v>
      </c>
      <c r="Z3" s="18">
        <f t="shared" ref="Z3:Z11" si="4">T3*100/(S3+T3)</f>
        <v>47.025074225724239</v>
      </c>
    </row>
    <row r="4" spans="1:26" s="18" customFormat="1">
      <c r="A4" s="16">
        <v>41544</v>
      </c>
      <c r="B4" s="32">
        <v>1</v>
      </c>
      <c r="C4" s="33">
        <v>9.1999999999999993</v>
      </c>
      <c r="D4" s="18" t="s">
        <v>41</v>
      </c>
      <c r="E4" s="18">
        <v>2</v>
      </c>
      <c r="F4" s="18">
        <v>188.1</v>
      </c>
      <c r="G4" s="18">
        <v>2.3360299588903741E-4</v>
      </c>
      <c r="H4" s="18">
        <v>1.1525578911330933E-3</v>
      </c>
      <c r="I4" s="18">
        <v>492018900.40000015</v>
      </c>
      <c r="J4" s="34">
        <v>27139279.15000001</v>
      </c>
      <c r="K4" s="18">
        <v>18333328</v>
      </c>
      <c r="L4" s="18">
        <v>23351494</v>
      </c>
      <c r="M4" s="34">
        <v>411226.64197530865</v>
      </c>
      <c r="N4" s="18">
        <v>3.3919104190994242E-3</v>
      </c>
      <c r="P4" s="18">
        <f t="shared" ref="P4:P11" si="5">I4/(C4*M4)</f>
        <v>130.05070635496597</v>
      </c>
      <c r="Q4" s="18">
        <f t="shared" si="0"/>
        <v>2.1531927035866933E-5</v>
      </c>
      <c r="R4" s="18">
        <f t="shared" si="1"/>
        <v>2.7425607886712354E-5</v>
      </c>
      <c r="S4" s="18">
        <f t="shared" si="2"/>
        <v>8.8545020502169205</v>
      </c>
      <c r="T4" s="18">
        <f t="shared" si="3"/>
        <v>11.278140635384263</v>
      </c>
      <c r="U4" s="18">
        <f t="shared" ref="U4:U11" si="6">Q4/R4</f>
        <v>0.78510300026199609</v>
      </c>
      <c r="V4" s="18">
        <f>Q4+R4</f>
        <v>4.8957534922579287E-5</v>
      </c>
      <c r="W4" s="18">
        <f t="shared" ref="W4:W11" si="7">S4+T4</f>
        <v>20.132642685601184</v>
      </c>
      <c r="Y4" s="18">
        <f t="shared" ref="Y4:Y11" si="8">S4*100/(T4+S4)</f>
        <v>43.980823523727651</v>
      </c>
      <c r="Z4" s="18">
        <f t="shared" si="4"/>
        <v>56.019176476272349</v>
      </c>
    </row>
    <row r="5" spans="1:26" s="18" customFormat="1">
      <c r="A5" s="16">
        <v>41555</v>
      </c>
      <c r="B5" s="35">
        <v>1</v>
      </c>
      <c r="C5" s="33">
        <v>9.4</v>
      </c>
      <c r="D5" s="18" t="s">
        <v>41</v>
      </c>
      <c r="E5" s="18">
        <v>1</v>
      </c>
      <c r="F5" s="18">
        <v>102.1</v>
      </c>
      <c r="I5" s="18">
        <v>174092212.47</v>
      </c>
      <c r="J5" s="18">
        <v>9849350.2500000037</v>
      </c>
      <c r="K5" s="18">
        <v>10198337.030000001</v>
      </c>
      <c r="L5" s="18">
        <v>4574487</v>
      </c>
      <c r="M5" s="34">
        <v>377640.18666666665</v>
      </c>
      <c r="N5" s="18">
        <v>2.1357372563225361E-3</v>
      </c>
      <c r="P5" s="18">
        <f t="shared" si="5"/>
        <v>49.042577535462108</v>
      </c>
      <c r="Q5" s="18">
        <f t="shared" si="0"/>
        <v>6.1037455399462083E-5</v>
      </c>
      <c r="R5" s="18">
        <f t="shared" si="1"/>
        <v>2.7378487827629587E-5</v>
      </c>
      <c r="S5" s="18">
        <f t="shared" si="2"/>
        <v>23.0501960507112</v>
      </c>
      <c r="T5" s="18">
        <f t="shared" si="3"/>
        <v>10.339217253877099</v>
      </c>
      <c r="U5" s="18">
        <f t="shared" si="6"/>
        <v>2.2293946905959077</v>
      </c>
      <c r="V5" s="18">
        <f t="shared" ref="V5:V11" si="9">Q5+R5</f>
        <v>8.8415943227091674E-5</v>
      </c>
      <c r="W5" s="18">
        <f t="shared" si="7"/>
        <v>33.389413304588302</v>
      </c>
      <c r="Y5" s="18">
        <f t="shared" si="8"/>
        <v>69.034444661966234</v>
      </c>
      <c r="Z5" s="18">
        <f t="shared" si="4"/>
        <v>30.965555338033759</v>
      </c>
    </row>
    <row r="6" spans="1:26" s="18" customFormat="1">
      <c r="A6" s="18" t="s">
        <v>42</v>
      </c>
      <c r="B6" s="32">
        <v>1</v>
      </c>
      <c r="C6" s="33">
        <v>9.4</v>
      </c>
      <c r="D6" s="18" t="s">
        <v>41</v>
      </c>
      <c r="E6" s="18">
        <v>1</v>
      </c>
      <c r="F6" s="18">
        <v>198.6</v>
      </c>
      <c r="I6" s="18">
        <v>259303821.07999995</v>
      </c>
      <c r="J6" s="18">
        <v>14496731.270000001</v>
      </c>
      <c r="K6" s="18">
        <v>12998881.65</v>
      </c>
      <c r="L6" s="18">
        <v>5350037.0499999989</v>
      </c>
      <c r="M6" s="34">
        <v>299863.06749999989</v>
      </c>
      <c r="P6" s="18">
        <f>I6/(C6*M6)</f>
        <v>91.993699360295736</v>
      </c>
      <c r="Q6" s="18">
        <f t="shared" si="0"/>
        <v>2.6852824617895838E-5</v>
      </c>
      <c r="R6" s="18">
        <f t="shared" si="1"/>
        <v>1.1051997431093988E-5</v>
      </c>
      <c r="S6" s="18">
        <f t="shared" si="2"/>
        <v>8.0521703609617585</v>
      </c>
      <c r="T6" s="18">
        <f t="shared" si="3"/>
        <v>3.3140858516899621</v>
      </c>
      <c r="U6" s="18">
        <f>Q6/R6</f>
        <v>2.4296806785665166</v>
      </c>
      <c r="V6" s="18">
        <f>Q6+R6</f>
        <v>3.7904822048989828E-5</v>
      </c>
      <c r="W6" s="18">
        <f>S6+T6</f>
        <v>11.36625621265172</v>
      </c>
      <c r="Y6" s="18">
        <f t="shared" si="8"/>
        <v>70.842766609456945</v>
      </c>
      <c r="Z6" s="18">
        <f t="shared" si="4"/>
        <v>29.157233390543055</v>
      </c>
    </row>
    <row r="7" spans="1:26">
      <c r="A7" s="3">
        <v>41558</v>
      </c>
      <c r="B7" s="27">
        <v>3</v>
      </c>
      <c r="C7" s="36">
        <v>9.1999999999999993</v>
      </c>
      <c r="D7" s="18" t="s">
        <v>41</v>
      </c>
      <c r="E7">
        <v>2</v>
      </c>
      <c r="F7">
        <v>192</v>
      </c>
      <c r="I7">
        <v>29708296.309999991</v>
      </c>
      <c r="J7" s="14">
        <v>1679936.0999999994</v>
      </c>
      <c r="K7" s="14">
        <v>1253312.0799999998</v>
      </c>
      <c r="L7">
        <v>809666.76999999967</v>
      </c>
      <c r="M7" s="14">
        <v>346920.45</v>
      </c>
      <c r="O7" t="s">
        <v>43</v>
      </c>
      <c r="P7" s="18">
        <f>I7/(C7*M7)</f>
        <v>9.3080780979942332</v>
      </c>
      <c r="Q7" s="18">
        <f t="shared" si="0"/>
        <v>2.3883194895907564E-5</v>
      </c>
      <c r="R7" s="18">
        <f t="shared" si="1"/>
        <v>1.5429061585882072E-5</v>
      </c>
      <c r="S7" s="18">
        <f t="shared" si="2"/>
        <v>8.285568720725955</v>
      </c>
      <c r="T7" s="18">
        <f t="shared" si="3"/>
        <v>5.3526569884519226</v>
      </c>
      <c r="U7" s="18">
        <f>Q7/R7</f>
        <v>1.547935677291042</v>
      </c>
      <c r="V7" s="18">
        <f>Q7+R7</f>
        <v>3.9312256481789636E-5</v>
      </c>
      <c r="W7" s="18">
        <f>S7+T7</f>
        <v>13.638225709177878</v>
      </c>
      <c r="X7" s="18"/>
      <c r="Y7" s="18">
        <f t="shared" si="8"/>
        <v>60.752541403902427</v>
      </c>
      <c r="Z7" s="18">
        <f t="shared" si="4"/>
        <v>39.247458596097573</v>
      </c>
    </row>
    <row r="8" spans="1:26" s="18" customFormat="1">
      <c r="A8" s="16">
        <v>41754</v>
      </c>
      <c r="B8" s="32">
        <v>6</v>
      </c>
      <c r="C8" s="37">
        <v>9.9</v>
      </c>
      <c r="D8" s="18" t="s">
        <v>41</v>
      </c>
      <c r="E8" s="18" t="s">
        <v>44</v>
      </c>
      <c r="F8" s="38">
        <v>62.65</v>
      </c>
      <c r="I8" s="18">
        <v>573945953.2099998</v>
      </c>
      <c r="J8" s="18">
        <v>25752930.180000015</v>
      </c>
      <c r="K8" s="34">
        <v>3729190.38</v>
      </c>
      <c r="L8" s="34">
        <v>1329174.58</v>
      </c>
      <c r="M8" s="34">
        <v>309435.4222222222</v>
      </c>
      <c r="N8" s="18">
        <v>4.430194183510005E-4</v>
      </c>
      <c r="P8" s="18">
        <f>I8/(C8*M8)</f>
        <v>187.35521063405051</v>
      </c>
      <c r="Q8" s="18">
        <f t="shared" si="0"/>
        <v>1.0475802140774834E-5</v>
      </c>
      <c r="R8" s="18">
        <f t="shared" si="1"/>
        <v>3.7338318754934393E-6</v>
      </c>
      <c r="S8" s="18">
        <f t="shared" si="2"/>
        <v>3.2415842585471197</v>
      </c>
      <c r="T8" s="18">
        <f t="shared" si="3"/>
        <v>1.1553798429001041</v>
      </c>
      <c r="U8" s="18">
        <f>Q8/R8</f>
        <v>2.8056437702863679</v>
      </c>
      <c r="V8" s="18">
        <f>Q8+R8</f>
        <v>1.4209634016268274E-5</v>
      </c>
      <c r="W8" s="18">
        <f>S8+T8</f>
        <v>4.3969641014472236</v>
      </c>
      <c r="Y8" s="18">
        <f t="shared" si="8"/>
        <v>73.723236846081591</v>
      </c>
      <c r="Z8" s="18">
        <f t="shared" si="4"/>
        <v>26.27676315391842</v>
      </c>
    </row>
    <row r="9" spans="1:26" s="21" customFormat="1">
      <c r="A9" s="16">
        <v>41555</v>
      </c>
      <c r="B9" s="39">
        <v>5</v>
      </c>
      <c r="C9" s="40">
        <v>9.6</v>
      </c>
      <c r="D9" s="21" t="s">
        <v>45</v>
      </c>
      <c r="E9" s="21">
        <v>10</v>
      </c>
      <c r="F9" s="21">
        <v>198.1</v>
      </c>
      <c r="H9" s="21">
        <v>3.0392573717656618E-4</v>
      </c>
      <c r="I9" s="21">
        <v>532376100.12999988</v>
      </c>
      <c r="J9" s="21">
        <v>27426673.359999985</v>
      </c>
      <c r="K9" s="21">
        <v>15810295.370000003</v>
      </c>
      <c r="L9" s="21">
        <v>4447857</v>
      </c>
      <c r="M9" s="41">
        <v>359946.68131868134</v>
      </c>
      <c r="N9" s="21">
        <v>1.3550079906774247E-3</v>
      </c>
      <c r="P9" s="18">
        <f t="shared" si="5"/>
        <v>154.06682889914862</v>
      </c>
      <c r="Q9" s="21">
        <f t="shared" si="0"/>
        <v>1.5615853443643754E-5</v>
      </c>
      <c r="R9" s="21">
        <f t="shared" si="1"/>
        <v>4.3931553095509925E-6</v>
      </c>
      <c r="S9" s="21">
        <f t="shared" si="2"/>
        <v>5.6208746229984712</v>
      </c>
      <c r="T9" s="21">
        <f t="shared" si="3"/>
        <v>1.581301674190424</v>
      </c>
      <c r="U9" s="21">
        <f t="shared" si="6"/>
        <v>3.5545871573658956</v>
      </c>
      <c r="V9" s="21">
        <f t="shared" si="9"/>
        <v>2.0009008753194747E-5</v>
      </c>
      <c r="W9" s="21">
        <f t="shared" si="7"/>
        <v>7.2021762971888954</v>
      </c>
      <c r="X9">
        <f>U9*100/U5</f>
        <v>159.44180599155234</v>
      </c>
      <c r="Y9" s="18">
        <f t="shared" si="8"/>
        <v>78.044113210507959</v>
      </c>
      <c r="Z9" s="18">
        <f t="shared" si="4"/>
        <v>21.955886789492045</v>
      </c>
    </row>
    <row r="10" spans="1:26" s="21" customFormat="1">
      <c r="A10" s="18" t="s">
        <v>42</v>
      </c>
      <c r="B10" s="42">
        <v>3</v>
      </c>
      <c r="C10" s="40">
        <v>10</v>
      </c>
      <c r="D10" s="21" t="s">
        <v>45</v>
      </c>
      <c r="E10" s="21">
        <v>3</v>
      </c>
      <c r="F10" s="21">
        <v>152.70617824884297</v>
      </c>
      <c r="G10" s="23"/>
      <c r="I10" s="21">
        <v>552455915.92000008</v>
      </c>
      <c r="J10" s="21">
        <v>29261613.819999993</v>
      </c>
      <c r="K10" s="23">
        <v>20541803.789999995</v>
      </c>
      <c r="L10" s="21">
        <v>5234912</v>
      </c>
      <c r="M10" s="41">
        <v>326397.57639999985</v>
      </c>
      <c r="P10" s="18">
        <f t="shared" si="5"/>
        <v>169.25858396784355</v>
      </c>
      <c r="Q10" s="21">
        <f t="shared" si="0"/>
        <v>2.4349179979344413E-5</v>
      </c>
      <c r="R10" s="21">
        <f t="shared" si="1"/>
        <v>6.2051909251553538E-6</v>
      </c>
      <c r="S10" s="21">
        <f t="shared" si="2"/>
        <v>7.947513332585415</v>
      </c>
      <c r="T10" s="21">
        <f t="shared" si="3"/>
        <v>2.0253592790699804</v>
      </c>
      <c r="U10" s="21">
        <f t="shared" si="6"/>
        <v>3.924001738711175</v>
      </c>
      <c r="V10" s="21">
        <f t="shared" si="9"/>
        <v>3.0554370904499767E-5</v>
      </c>
      <c r="W10" s="21">
        <f t="shared" si="7"/>
        <v>9.9728726116553954</v>
      </c>
      <c r="X10" s="21">
        <f>U10*100/U6</f>
        <v>161.50277578970955</v>
      </c>
      <c r="Y10" s="18">
        <f t="shared" si="8"/>
        <v>79.691315050962118</v>
      </c>
      <c r="Z10" s="18">
        <f t="shared" si="4"/>
        <v>20.308684949037882</v>
      </c>
    </row>
    <row r="11" spans="1:26" s="21" customFormat="1">
      <c r="A11" s="16">
        <v>41754</v>
      </c>
      <c r="B11" s="42">
        <v>7</v>
      </c>
      <c r="C11" s="43">
        <v>10</v>
      </c>
      <c r="D11" s="21" t="s">
        <v>45</v>
      </c>
      <c r="E11" s="21" t="s">
        <v>44</v>
      </c>
      <c r="F11" s="44">
        <v>62.65</v>
      </c>
      <c r="I11" s="21">
        <v>371154627.57999998</v>
      </c>
      <c r="J11" s="21">
        <v>17871705.640000004</v>
      </c>
      <c r="K11" s="41">
        <v>2408980.35</v>
      </c>
      <c r="L11" s="41">
        <v>504323</v>
      </c>
      <c r="M11" s="41">
        <v>302612</v>
      </c>
      <c r="N11" s="21">
        <v>2.5429666139618055E-4</v>
      </c>
      <c r="P11" s="18">
        <f t="shared" si="5"/>
        <v>122.65033362193171</v>
      </c>
      <c r="Q11" s="21">
        <f t="shared" si="0"/>
        <v>1.0359941484590254E-5</v>
      </c>
      <c r="R11" s="21">
        <f t="shared" si="1"/>
        <v>2.1688664954585496E-6</v>
      </c>
      <c r="S11" s="21">
        <f t="shared" si="2"/>
        <v>3.1350426125348259</v>
      </c>
      <c r="T11" s="21">
        <f t="shared" si="3"/>
        <v>0.65632502792370262</v>
      </c>
      <c r="U11" s="21">
        <f t="shared" si="6"/>
        <v>4.7766616830880215</v>
      </c>
      <c r="V11" s="21">
        <f t="shared" si="9"/>
        <v>1.2528807980048803E-5</v>
      </c>
      <c r="W11" s="21">
        <f t="shared" si="7"/>
        <v>3.7913676404585286</v>
      </c>
      <c r="X11">
        <f>U11*100/U8</f>
        <v>170.25189490112905</v>
      </c>
      <c r="Y11" s="18">
        <f t="shared" si="8"/>
        <v>82.688963715364551</v>
      </c>
      <c r="Z11" s="18">
        <f t="shared" si="4"/>
        <v>17.311036284635446</v>
      </c>
    </row>
    <row r="12" spans="1:26">
      <c r="A12" s="9"/>
      <c r="B12" s="45"/>
      <c r="C12" s="46"/>
      <c r="D12" s="11"/>
      <c r="E12" s="18"/>
      <c r="F12" s="47"/>
      <c r="G12" s="11"/>
      <c r="H12" s="11"/>
      <c r="K12" s="14"/>
      <c r="L12" s="14"/>
      <c r="M12" s="28"/>
      <c r="Q12" s="11"/>
      <c r="R12" s="11"/>
      <c r="S12" s="11"/>
      <c r="T12" s="11"/>
      <c r="U12" s="11"/>
      <c r="V12" s="11"/>
      <c r="W12" s="11"/>
      <c r="X12" s="11"/>
    </row>
    <row r="13" spans="1:26">
      <c r="O13" t="s">
        <v>30</v>
      </c>
    </row>
    <row r="14" spans="1:26" ht="30" customHeight="1">
      <c r="O14" t="s">
        <v>19</v>
      </c>
      <c r="P14">
        <f t="shared" ref="P14:W14" si="10">AVERAGE(P3,P4,P5,P6,P7,P8)</f>
        <v>93.828490102958497</v>
      </c>
      <c r="Q14">
        <f t="shared" si="10"/>
        <v>2.5518962021086306E-5</v>
      </c>
      <c r="R14">
        <f t="shared" si="10"/>
        <v>1.5550562010535097E-5</v>
      </c>
      <c r="S14">
        <f t="shared" si="10"/>
        <v>9.9122902620986029</v>
      </c>
      <c r="T14">
        <f t="shared" si="10"/>
        <v>6.4219732325827792</v>
      </c>
      <c r="U14">
        <f t="shared" si="10"/>
        <v>1.8207138171243893</v>
      </c>
      <c r="V14">
        <f t="shared" si="10"/>
        <v>4.1069524031621396E-5</v>
      </c>
      <c r="W14">
        <f t="shared" si="10"/>
        <v>16.334263494681384</v>
      </c>
      <c r="Y14">
        <f>AVERAGE(Y3,Y4,Y5,Y6,Y7,Y8)</f>
        <v>61.884789803235094</v>
      </c>
      <c r="Z14">
        <f>AVERAGE(Z3,Z4,Z5,Z6,Z7,Z8)</f>
        <v>38.115210196764899</v>
      </c>
    </row>
    <row r="15" spans="1:26">
      <c r="P15">
        <f t="shared" ref="P15:W15" si="11">STDEV(P3,P4,P5,P6,P7,P8)/SQRT(COUNT(P3,P4,P5,P6,P7,P8))</f>
        <v>25.307494958104755</v>
      </c>
      <c r="Q15">
        <f t="shared" si="11"/>
        <v>7.6816030288027668E-6</v>
      </c>
      <c r="R15">
        <f t="shared" si="11"/>
        <v>4.0562742433785004E-6</v>
      </c>
      <c r="S15">
        <f t="shared" si="11"/>
        <v>2.7569569451636924</v>
      </c>
      <c r="T15">
        <f t="shared" si="11"/>
        <v>1.6115829334438065</v>
      </c>
      <c r="U15">
        <f t="shared" si="11"/>
        <v>0.32335446905111853</v>
      </c>
      <c r="V15">
        <f t="shared" si="11"/>
        <v>1.0936916400940829E-5</v>
      </c>
      <c r="W15">
        <f t="shared" si="11"/>
        <v>4.0055071195277128</v>
      </c>
      <c r="Y15">
        <f>STDEV(Y3,Y4,Y5,Y6,Y7,Y8)/SQRT(COUNT(Y3,Y4,Y5,Y6,Y7,Y8))</f>
        <v>4.735438780923233</v>
      </c>
      <c r="Z15">
        <f>STDEV(Z3,Z4,Z5,Z6,Z7,Z8)/SQRT(COUNT(Z3,Z4,Z5,Z6,Z7,Z8))</f>
        <v>4.735438780923201</v>
      </c>
    </row>
    <row r="16" spans="1:26" ht="15" customHeight="1"/>
    <row r="18" spans="15:26">
      <c r="O18" t="s">
        <v>46</v>
      </c>
      <c r="P18">
        <f>AVERAGE(P9,P10,P11)</f>
        <v>148.65858216297462</v>
      </c>
      <c r="Q18">
        <f t="shared" ref="Q18:X18" si="12">AVERAGE(Q9,Q10,Q11)</f>
        <v>1.6774991635859475E-5</v>
      </c>
      <c r="R18">
        <f t="shared" si="12"/>
        <v>4.255737576721632E-6</v>
      </c>
      <c r="S18">
        <f t="shared" si="12"/>
        <v>5.5678101893729037</v>
      </c>
      <c r="T18">
        <f t="shared" si="12"/>
        <v>1.4209953270613689</v>
      </c>
      <c r="U18">
        <f t="shared" si="12"/>
        <v>4.085083526388364</v>
      </c>
      <c r="V18">
        <f t="shared" si="12"/>
        <v>2.1030729212581103E-5</v>
      </c>
      <c r="W18">
        <f t="shared" si="12"/>
        <v>6.9888055164342724</v>
      </c>
      <c r="X18">
        <f t="shared" si="12"/>
        <v>163.73215889413032</v>
      </c>
      <c r="Y18">
        <f>AVERAGE(Y9,Y10,Y11)</f>
        <v>80.141463992278204</v>
      </c>
      <c r="Z18">
        <f>AVERAGE(Z9,Z10,Z11)</f>
        <v>19.858536007721792</v>
      </c>
    </row>
    <row r="19" spans="15:26">
      <c r="P19">
        <f>STDEV(P9,P10,P11)/SQRT(COUNT(P9,P10,P11))</f>
        <v>13.723691190131831</v>
      </c>
      <c r="Q19">
        <f t="shared" ref="Q19:X19" si="13">STDEV(Q9,Q10,Q11)/SQRT(COUNT(Q9,Q10,Q11))</f>
        <v>4.0797221893681171E-6</v>
      </c>
      <c r="R19">
        <f t="shared" si="13"/>
        <v>1.1672105566140411E-6</v>
      </c>
      <c r="S19">
        <f t="shared" si="13"/>
        <v>1.3894939706505944</v>
      </c>
      <c r="T19">
        <f t="shared" si="13"/>
        <v>0.40325231509990844</v>
      </c>
      <c r="U19">
        <f t="shared" si="13"/>
        <v>0.36185956914512996</v>
      </c>
      <c r="V19">
        <f t="shared" si="13"/>
        <v>5.2285486899228482E-6</v>
      </c>
      <c r="W19">
        <f t="shared" si="13"/>
        <v>1.7876330947925514</v>
      </c>
      <c r="X19">
        <f t="shared" si="13"/>
        <v>3.3137148000366552</v>
      </c>
      <c r="Y19">
        <f>STDEV(Y9,Y10,Y11)/SQRT(COUNT(Y9,Y10,Y11))</f>
        <v>1.3596120286246651</v>
      </c>
      <c r="Z19">
        <f>STDEV(Z9,Z10,Z11)/SQRT(COUNT(Z9,Z10,Z11))</f>
        <v>1.3596120286246676</v>
      </c>
    </row>
    <row r="21" spans="15:26">
      <c r="O21" t="s">
        <v>47</v>
      </c>
      <c r="Q21">
        <f>_xlfn.T.TEST(Q3:Q8,Q9:Q11,1,2)</f>
        <v>0.23700101179245886</v>
      </c>
      <c r="R21">
        <f>_xlfn.T.TEST(R3:R8,R9:R11,1,2)</f>
        <v>5.0586931836066246E-2</v>
      </c>
      <c r="S21">
        <f>_xlfn.T.TEST(S3:S8,S9:S11,1,3)</f>
        <v>0.10178859223016709</v>
      </c>
      <c r="T21">
        <f>_xlfn.T.TEST(T3:T8,T9:T11,1,2)</f>
        <v>3.6571803661424103E-2</v>
      </c>
      <c r="U21">
        <f>_xlfn.T.TEST(U3:U8,U9:U11,1,2)</f>
        <v>1.832310852323158E-3</v>
      </c>
      <c r="V21">
        <f>_xlfn.T.TEST(V3:V8,V9:V11,1,3)</f>
        <v>7.219367075256107E-2</v>
      </c>
      <c r="W21">
        <f>_xlfn.T.TEST(W3:W8,W9:W11,1,2)</f>
        <v>8.1011056643610246E-2</v>
      </c>
    </row>
    <row r="23" spans="15:26">
      <c r="S23" t="s">
        <v>48</v>
      </c>
      <c r="T23" t="s">
        <v>49</v>
      </c>
      <c r="U23" t="s">
        <v>50</v>
      </c>
    </row>
  </sheetData>
  <mergeCells count="10">
    <mergeCell ref="U1:U2"/>
    <mergeCell ref="V1:V2"/>
    <mergeCell ref="W1:W2"/>
    <mergeCell ref="X1:X2"/>
    <mergeCell ref="E1:E2"/>
    <mergeCell ref="F1:F2"/>
    <mergeCell ref="G1:H1"/>
    <mergeCell ref="I1:L1"/>
    <mergeCell ref="Q1:R1"/>
    <mergeCell ref="S1:T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pane xSplit="4" ySplit="2" topLeftCell="L3" activePane="bottomRight" state="frozenSplit"/>
      <selection pane="topRight" activeCell="B1" sqref="B1"/>
      <selection pane="bottomLeft" activeCell="A8" sqref="A8"/>
      <selection pane="bottomRight" activeCell="U3" sqref="U3:U5"/>
    </sheetView>
  </sheetViews>
  <sheetFormatPr baseColWidth="10" defaultRowHeight="15" x14ac:dyDescent="0"/>
  <cols>
    <col min="1" max="1" width="15.5" bestFit="1" customWidth="1"/>
    <col min="2" max="2" width="5.83203125" style="1" bestFit="1" customWidth="1"/>
    <col min="5" max="5" width="6.1640625" customWidth="1"/>
    <col min="6" max="7" width="7.33203125" customWidth="1"/>
    <col min="8" max="8" width="8.1640625" customWidth="1"/>
    <col min="9" max="9" width="9.6640625" customWidth="1"/>
    <col min="13" max="13" width="11.5" customWidth="1"/>
    <col min="17" max="18" width="12.1640625" bestFit="1" customWidth="1"/>
  </cols>
  <sheetData>
    <row r="1" spans="1:26" s="1" customFormat="1" ht="33" customHeight="1">
      <c r="A1" s="1" t="s">
        <v>0</v>
      </c>
      <c r="B1" s="1" t="s">
        <v>1</v>
      </c>
      <c r="C1" s="1" t="s">
        <v>2</v>
      </c>
      <c r="E1" s="83" t="s">
        <v>14</v>
      </c>
      <c r="F1" s="2"/>
      <c r="G1" s="83" t="s">
        <v>20</v>
      </c>
      <c r="H1" s="83" t="s">
        <v>15</v>
      </c>
      <c r="I1" s="83"/>
      <c r="J1" s="83"/>
      <c r="K1" s="83"/>
      <c r="L1" s="83"/>
      <c r="M1" s="83"/>
      <c r="N1" s="83"/>
      <c r="O1" s="83"/>
      <c r="Q1" s="83" t="s">
        <v>16</v>
      </c>
      <c r="R1" s="83"/>
      <c r="S1" s="83" t="s">
        <v>3</v>
      </c>
      <c r="T1" s="83"/>
      <c r="U1" s="83" t="s">
        <v>4</v>
      </c>
      <c r="V1" s="83" t="s">
        <v>17</v>
      </c>
      <c r="W1" s="83" t="s">
        <v>5</v>
      </c>
    </row>
    <row r="2" spans="1:26" s="1" customFormat="1" ht="45">
      <c r="C2" s="1" t="s">
        <v>6</v>
      </c>
      <c r="D2" s="1" t="s">
        <v>18</v>
      </c>
      <c r="E2" s="83"/>
      <c r="F2" s="1" t="s">
        <v>7</v>
      </c>
      <c r="G2" s="83"/>
      <c r="H2" s="1" t="s">
        <v>22</v>
      </c>
      <c r="I2" s="1" t="s">
        <v>23</v>
      </c>
      <c r="J2" s="1" t="s">
        <v>8</v>
      </c>
      <c r="K2" s="1" t="s">
        <v>24</v>
      </c>
      <c r="L2" s="1" t="s">
        <v>9</v>
      </c>
      <c r="M2" s="1" t="s">
        <v>10</v>
      </c>
      <c r="N2" s="1" t="s">
        <v>11</v>
      </c>
      <c r="O2" s="1" t="s">
        <v>25</v>
      </c>
      <c r="Q2" s="1" t="s">
        <v>12</v>
      </c>
      <c r="R2" s="1" t="s">
        <v>13</v>
      </c>
      <c r="S2" s="1" t="s">
        <v>12</v>
      </c>
      <c r="T2" s="1" t="s">
        <v>13</v>
      </c>
      <c r="U2" s="83"/>
      <c r="V2" s="83"/>
      <c r="W2" s="83"/>
      <c r="Y2" s="1" t="s">
        <v>60</v>
      </c>
    </row>
    <row r="3" spans="1:26" s="18" customFormat="1">
      <c r="A3" s="16">
        <v>41817</v>
      </c>
      <c r="B3" s="17">
        <v>1</v>
      </c>
      <c r="C3" s="18">
        <v>10.1</v>
      </c>
      <c r="D3" s="18" t="s">
        <v>19</v>
      </c>
      <c r="E3" s="18">
        <v>1</v>
      </c>
      <c r="F3" s="18">
        <v>96.319567076422288</v>
      </c>
      <c r="G3" s="18" t="s">
        <v>21</v>
      </c>
      <c r="H3" s="19"/>
      <c r="J3">
        <v>102865888</v>
      </c>
      <c r="K3">
        <v>480086.84</v>
      </c>
      <c r="L3">
        <v>4713779</v>
      </c>
      <c r="M3">
        <v>1696573.63</v>
      </c>
      <c r="N3">
        <v>1624224.25</v>
      </c>
      <c r="O3">
        <v>106893.26056338029</v>
      </c>
      <c r="Q3" s="18">
        <f t="shared" ref="Q3:Q8" si="0">L3/(J3*F3*C3)</f>
        <v>4.7104450519961853E-5</v>
      </c>
      <c r="R3" s="18">
        <f t="shared" ref="R3:R8" si="1">M3/(J3*F3*C3)</f>
        <v>1.6953736823004867E-5</v>
      </c>
      <c r="S3" s="18">
        <f t="shared" ref="S3:S8" si="2">Q3*N3</f>
        <v>76.508190817447158</v>
      </c>
      <c r="T3" s="18">
        <f t="shared" ref="T3:T8" si="3">R3*N3</f>
        <v>27.536670476042463</v>
      </c>
      <c r="U3" s="18">
        <f t="shared" ref="U3:U8" si="4">Q3/R3</f>
        <v>2.7784110967232234</v>
      </c>
      <c r="V3" s="18">
        <f t="shared" ref="V3:V8" si="5">Q3+R3</f>
        <v>6.4058187342966717E-5</v>
      </c>
      <c r="W3" s="18">
        <f t="shared" ref="W3:W8" si="6">S3+T3</f>
        <v>104.04486129348962</v>
      </c>
      <c r="Y3" s="18">
        <f t="shared" ref="Y3:Y8" si="7">T3*100/(S3+T3)</f>
        <v>26.466151363657506</v>
      </c>
    </row>
    <row r="4" spans="1:26" s="18" customFormat="1">
      <c r="A4" s="16"/>
      <c r="B4" s="17">
        <v>2</v>
      </c>
      <c r="C4" s="18">
        <v>10</v>
      </c>
      <c r="D4" s="18" t="s">
        <v>19</v>
      </c>
      <c r="E4" s="18">
        <v>1</v>
      </c>
      <c r="F4" s="18">
        <v>96.319567076422288</v>
      </c>
      <c r="G4" s="18" t="s">
        <v>21</v>
      </c>
      <c r="J4" s="18">
        <v>143710832</v>
      </c>
      <c r="K4" s="18">
        <v>707770.63</v>
      </c>
      <c r="L4" s="18">
        <v>6841594.5</v>
      </c>
      <c r="M4" s="18">
        <v>1210927.1299999999</v>
      </c>
      <c r="N4" s="18">
        <v>1618026.75</v>
      </c>
      <c r="O4" s="18">
        <v>110893.03333333334</v>
      </c>
      <c r="Q4" s="18">
        <f t="shared" si="0"/>
        <v>4.9425754132296759E-5</v>
      </c>
      <c r="R4" s="18">
        <f t="shared" si="1"/>
        <v>8.7481049336536597E-6</v>
      </c>
      <c r="S4" s="18">
        <f t="shared" si="2"/>
        <v>79.97219232497919</v>
      </c>
      <c r="T4" s="18">
        <f t="shared" si="3"/>
        <v>14.154667794458597</v>
      </c>
      <c r="U4" s="18">
        <f t="shared" si="4"/>
        <v>5.6498812608154232</v>
      </c>
      <c r="V4" s="18">
        <f t="shared" si="5"/>
        <v>5.8173859065950416E-5</v>
      </c>
      <c r="W4" s="18">
        <f t="shared" si="6"/>
        <v>94.126860119437794</v>
      </c>
      <c r="Y4" s="18">
        <f t="shared" si="7"/>
        <v>15.037862493763953</v>
      </c>
    </row>
    <row r="5" spans="1:26" s="18" customFormat="1">
      <c r="A5" s="16" t="s">
        <v>28</v>
      </c>
      <c r="B5" s="18">
        <v>1</v>
      </c>
      <c r="C5" s="18">
        <v>9.8000000000000007</v>
      </c>
      <c r="D5" s="18" t="s">
        <v>19</v>
      </c>
      <c r="E5" s="18">
        <v>1</v>
      </c>
      <c r="F5" s="18">
        <v>114.46925583409345</v>
      </c>
      <c r="G5" s="18" t="s">
        <v>21</v>
      </c>
      <c r="I5">
        <v>42286.34</v>
      </c>
      <c r="J5">
        <v>114467224</v>
      </c>
      <c r="K5">
        <v>522772.63</v>
      </c>
      <c r="L5">
        <v>6145262</v>
      </c>
      <c r="M5">
        <v>2405045.5</v>
      </c>
      <c r="N5">
        <v>4517323.5</v>
      </c>
      <c r="O5" s="18">
        <v>103997.27857142857</v>
      </c>
      <c r="Q5" s="18">
        <f>L5/(J5*F5*C5)</f>
        <v>4.7856872954887579E-5</v>
      </c>
      <c r="R5" s="18">
        <f>M5/(J5*F5*C5)</f>
        <v>1.8729544313037276E-5</v>
      </c>
      <c r="S5" s="18">
        <f t="shared" si="2"/>
        <v>216.18497683562811</v>
      </c>
      <c r="T5" s="18">
        <f t="shared" si="3"/>
        <v>84.607410669574648</v>
      </c>
      <c r="U5" s="18">
        <f>Q5/R5</f>
        <v>2.5551541540482288</v>
      </c>
      <c r="V5" s="18">
        <f>Q5+R5</f>
        <v>6.6586417267924859E-5</v>
      </c>
      <c r="W5" s="18">
        <f t="shared" si="6"/>
        <v>300.79238750520278</v>
      </c>
      <c r="Y5" s="18">
        <f t="shared" si="7"/>
        <v>28.128175507138195</v>
      </c>
    </row>
    <row r="6" spans="1:26" s="11" customFormat="1">
      <c r="A6" s="9"/>
      <c r="B6" s="10">
        <v>3</v>
      </c>
      <c r="C6" s="11">
        <v>9.5</v>
      </c>
      <c r="D6" s="11" t="s">
        <v>27</v>
      </c>
      <c r="E6" s="11">
        <v>2</v>
      </c>
      <c r="F6" s="11">
        <v>150.590870946183</v>
      </c>
      <c r="G6" s="11" t="s">
        <v>26</v>
      </c>
      <c r="J6" s="11">
        <v>107968613.65999998</v>
      </c>
      <c r="K6" s="28">
        <v>424824.00999999995</v>
      </c>
      <c r="L6" s="11">
        <v>5371924.6300000027</v>
      </c>
      <c r="M6" s="11">
        <v>2325836.9500000002</v>
      </c>
      <c r="N6" s="11">
        <v>1966798</v>
      </c>
      <c r="O6" s="11">
        <v>110612.05297297299</v>
      </c>
      <c r="Q6" s="11">
        <f t="shared" si="0"/>
        <v>3.4778443023572015E-5</v>
      </c>
      <c r="R6" s="11">
        <f t="shared" si="1"/>
        <v>1.5057729476687294E-5</v>
      </c>
      <c r="S6" s="11">
        <f t="shared" si="2"/>
        <v>68.402172181875386</v>
      </c>
      <c r="T6" s="11">
        <f t="shared" si="3"/>
        <v>29.615512219289617</v>
      </c>
      <c r="U6" s="11">
        <f t="shared" si="4"/>
        <v>2.3096737843123534</v>
      </c>
      <c r="V6" s="11">
        <f t="shared" si="5"/>
        <v>4.9836172500259311E-5</v>
      </c>
      <c r="W6" s="11">
        <f t="shared" si="6"/>
        <v>98.017684401164999</v>
      </c>
      <c r="X6" s="21">
        <f>U6*100/U3</f>
        <v>83.129303184698443</v>
      </c>
      <c r="Y6" s="18">
        <f t="shared" si="7"/>
        <v>30.214458136023481</v>
      </c>
    </row>
    <row r="7" spans="1:26" s="11" customFormat="1">
      <c r="A7" s="9"/>
      <c r="B7" s="10">
        <v>4</v>
      </c>
      <c r="C7" s="11">
        <v>9.8000000000000007</v>
      </c>
      <c r="D7" s="11" t="s">
        <v>27</v>
      </c>
      <c r="E7" s="11">
        <v>2</v>
      </c>
      <c r="F7" s="11">
        <v>150.5908709461826</v>
      </c>
      <c r="G7" s="11" t="s">
        <v>21</v>
      </c>
      <c r="I7" s="11">
        <v>37357.72</v>
      </c>
      <c r="J7" s="11">
        <v>66312732</v>
      </c>
      <c r="K7" s="11">
        <v>393122.22</v>
      </c>
      <c r="L7" s="11">
        <v>3488027.25</v>
      </c>
      <c r="M7" s="11">
        <v>1882233.38</v>
      </c>
      <c r="N7" s="11">
        <v>1051060.3799999999</v>
      </c>
      <c r="O7" s="11">
        <v>111593.58241758242</v>
      </c>
      <c r="Q7" s="11">
        <f t="shared" si="0"/>
        <v>3.5641685013702554E-5</v>
      </c>
      <c r="R7" s="11">
        <f t="shared" si="1"/>
        <v>1.9233212484861378E-5</v>
      </c>
      <c r="S7" s="11">
        <f t="shared" si="2"/>
        <v>37.461562994342508</v>
      </c>
      <c r="T7" s="11">
        <f t="shared" si="3"/>
        <v>20.215267622959143</v>
      </c>
      <c r="U7" s="11">
        <f t="shared" si="4"/>
        <v>1.8531321817276454</v>
      </c>
      <c r="V7" s="11">
        <f t="shared" si="5"/>
        <v>5.4874897498563929E-5</v>
      </c>
      <c r="W7" s="11">
        <f t="shared" si="6"/>
        <v>57.676830617301647</v>
      </c>
      <c r="X7" s="21">
        <f>U7*100/U4</f>
        <v>32.799488983600178</v>
      </c>
      <c r="Y7" s="18">
        <f t="shared" si="7"/>
        <v>35.049199837438806</v>
      </c>
    </row>
    <row r="8" spans="1:26" s="11" customFormat="1">
      <c r="A8" s="16" t="s">
        <v>28</v>
      </c>
      <c r="B8">
        <v>2</v>
      </c>
      <c r="C8" s="18">
        <v>10</v>
      </c>
      <c r="D8" s="11" t="s">
        <v>27</v>
      </c>
      <c r="E8" s="18">
        <v>2</v>
      </c>
      <c r="F8">
        <v>82.11166839194307</v>
      </c>
      <c r="G8" s="18" t="s">
        <v>26</v>
      </c>
      <c r="I8"/>
      <c r="J8">
        <v>82397859.980000004</v>
      </c>
      <c r="K8">
        <v>413399.63000000012</v>
      </c>
      <c r="L8">
        <v>4299189.6399999987</v>
      </c>
      <c r="M8">
        <v>1154541</v>
      </c>
      <c r="N8">
        <v>2072655.83</v>
      </c>
      <c r="O8" s="11">
        <v>108402.92499999999</v>
      </c>
      <c r="Q8" s="11">
        <f t="shared" si="0"/>
        <v>6.3542718889809995E-5</v>
      </c>
      <c r="R8" s="11">
        <f t="shared" si="1"/>
        <v>1.7064302892616792E-5</v>
      </c>
      <c r="S8" s="11">
        <f t="shared" si="2"/>
        <v>131.70218676101581</v>
      </c>
      <c r="T8" s="11">
        <f t="shared" si="3"/>
        <v>35.368426875268057</v>
      </c>
      <c r="U8" s="11">
        <f t="shared" si="4"/>
        <v>3.7237219293208286</v>
      </c>
      <c r="V8" s="11">
        <f t="shared" si="5"/>
        <v>8.0607021782426783E-5</v>
      </c>
      <c r="W8" s="11">
        <f t="shared" si="6"/>
        <v>167.07061363628387</v>
      </c>
      <c r="X8" s="21">
        <f>U8*100/U5</f>
        <v>145.73374852633424</v>
      </c>
      <c r="Y8" s="18">
        <f t="shared" si="7"/>
        <v>21.169747393318278</v>
      </c>
    </row>
    <row r="9" spans="1:26" s="11" customFormat="1" ht="15" customHeight="1">
      <c r="A9" s="9"/>
      <c r="B9"/>
      <c r="D9"/>
      <c r="E9"/>
      <c r="F9"/>
      <c r="G9"/>
      <c r="H9" s="12"/>
      <c r="N9"/>
      <c r="Q9"/>
      <c r="R9"/>
      <c r="S9"/>
      <c r="T9"/>
      <c r="U9"/>
      <c r="V9"/>
      <c r="W9"/>
    </row>
    <row r="10" spans="1:26" s="11" customFormat="1" ht="15" customHeight="1">
      <c r="A10" s="9"/>
      <c r="B10"/>
      <c r="D10"/>
      <c r="E10"/>
      <c r="F10"/>
      <c r="G10"/>
      <c r="H10" s="12"/>
      <c r="N10"/>
      <c r="Q10"/>
      <c r="R10"/>
      <c r="S10"/>
      <c r="T10"/>
      <c r="U10"/>
      <c r="V10"/>
      <c r="W10"/>
    </row>
    <row r="11" spans="1:26" s="21" customFormat="1">
      <c r="A11" s="20"/>
      <c r="O11" s="18" t="s">
        <v>29</v>
      </c>
      <c r="P11" s="18" t="s">
        <v>30</v>
      </c>
      <c r="Q11" s="18">
        <f t="shared" ref="Q11:W11" si="8">AVERAGE(Q3:Q5)</f>
        <v>4.8129025869048731E-5</v>
      </c>
      <c r="R11" s="18">
        <f t="shared" si="8"/>
        <v>1.4810462023231936E-5</v>
      </c>
      <c r="S11" s="18">
        <f t="shared" si="8"/>
        <v>124.22178665935148</v>
      </c>
      <c r="T11" s="18">
        <f t="shared" si="8"/>
        <v>42.099582980025239</v>
      </c>
      <c r="U11" s="18">
        <f t="shared" si="8"/>
        <v>3.6611488371956251</v>
      </c>
      <c r="V11" s="18">
        <f t="shared" si="8"/>
        <v>6.2939487892280655E-5</v>
      </c>
      <c r="W11" s="18">
        <f t="shared" si="8"/>
        <v>166.32136963937674</v>
      </c>
      <c r="X11" s="18"/>
      <c r="Y11" s="18">
        <f>AVERAGE(Y3:Y5)</f>
        <v>23.210729788186551</v>
      </c>
      <c r="Z11" s="21">
        <f>T11*100/(S11+T11)</f>
        <v>25.312191134132011</v>
      </c>
    </row>
    <row r="12" spans="1:26" s="18" customFormat="1">
      <c r="B12" s="17"/>
      <c r="P12" s="18" t="s">
        <v>31</v>
      </c>
      <c r="Q12" s="18">
        <f t="shared" ref="Q12:W12" si="9">STDEV(Q3:Q5)/SQRT(COUNT(Q3:Q5))</f>
        <v>6.8377945315590756E-7</v>
      </c>
      <c r="R12" s="18">
        <f t="shared" si="9"/>
        <v>3.0742209404218053E-6</v>
      </c>
      <c r="S12" s="18">
        <f t="shared" si="9"/>
        <v>45.992467090309354</v>
      </c>
      <c r="T12" s="18">
        <f t="shared" si="9"/>
        <v>21.602129988389237</v>
      </c>
      <c r="U12" s="18">
        <f t="shared" si="9"/>
        <v>0.99645260887153331</v>
      </c>
      <c r="V12" s="18">
        <f t="shared" si="9"/>
        <v>2.4920808053462628E-6</v>
      </c>
      <c r="W12" s="18">
        <f t="shared" si="9"/>
        <v>67.296440399240552</v>
      </c>
      <c r="Y12" s="18">
        <f>STDEV(Y3:Y5)/SQRT(COUNT(Y3:Y5))</f>
        <v>4.1145028424894114</v>
      </c>
    </row>
    <row r="13" spans="1:26">
      <c r="B13" s="4"/>
      <c r="C13" s="11"/>
      <c r="N13" s="14"/>
    </row>
    <row r="14" spans="1:26" s="21" customFormat="1">
      <c r="B14" s="22"/>
      <c r="H14" s="23"/>
      <c r="L14" s="23"/>
      <c r="O14" s="21" t="s">
        <v>27</v>
      </c>
      <c r="P14" s="21" t="s">
        <v>30</v>
      </c>
      <c r="Q14" s="18">
        <f t="shared" ref="Q14:X14" si="10">AVERAGE(Q6:Q8)</f>
        <v>4.4654282309028188E-5</v>
      </c>
      <c r="R14" s="18">
        <f t="shared" si="10"/>
        <v>1.7118414951388487E-5</v>
      </c>
      <c r="S14" s="18">
        <f t="shared" si="10"/>
        <v>79.18864064574457</v>
      </c>
      <c r="T14" s="18">
        <f t="shared" si="10"/>
        <v>28.399735572505605</v>
      </c>
      <c r="U14" s="18">
        <f t="shared" si="10"/>
        <v>2.6288426317869424</v>
      </c>
      <c r="V14" s="18">
        <f t="shared" si="10"/>
        <v>6.1772697260416672E-5</v>
      </c>
      <c r="W14" s="18">
        <f t="shared" si="10"/>
        <v>107.58837621825016</v>
      </c>
      <c r="X14" s="21">
        <f t="shared" si="10"/>
        <v>87.220846898210951</v>
      </c>
      <c r="Y14" s="18">
        <f>AVERAGE(Y6:Y8)</f>
        <v>28.811135122260186</v>
      </c>
    </row>
    <row r="15" spans="1:26">
      <c r="A15" s="3"/>
      <c r="B15" s="4"/>
      <c r="D15" s="18"/>
      <c r="P15" t="s">
        <v>32</v>
      </c>
      <c r="Q15" s="18">
        <f t="shared" ref="Q15:X15" si="11">STDEV(Q6:Q8)/SQRT(COUNT(Q6:Q8))</f>
        <v>9.447505385603888E-6</v>
      </c>
      <c r="R15" s="18">
        <f t="shared" si="11"/>
        <v>1.2056617372582866E-6</v>
      </c>
      <c r="S15" s="18">
        <f t="shared" si="11"/>
        <v>27.734363272689055</v>
      </c>
      <c r="T15" s="18">
        <f t="shared" si="11"/>
        <v>4.4163764737096285</v>
      </c>
      <c r="U15" s="18">
        <f t="shared" si="11"/>
        <v>0.56308023876083513</v>
      </c>
      <c r="V15" s="18">
        <f t="shared" si="11"/>
        <v>9.5288338312798179E-6</v>
      </c>
      <c r="W15" s="18">
        <f t="shared" si="11"/>
        <v>31.939779519142277</v>
      </c>
      <c r="X15" s="18">
        <f t="shared" si="11"/>
        <v>32.665436841234758</v>
      </c>
      <c r="Y15" s="18">
        <f>STDEV(Y6:Y8)/SQRT(COUNT(Y6:Y8))</f>
        <v>4.0676277545136399</v>
      </c>
    </row>
    <row r="16" spans="1:26">
      <c r="B16" s="4"/>
      <c r="D16" s="15"/>
      <c r="E16" s="1"/>
      <c r="F16" s="1"/>
      <c r="G16" s="1"/>
    </row>
    <row r="17" spans="1:24">
      <c r="B17" s="4"/>
      <c r="E17" s="1"/>
      <c r="F17" s="1"/>
      <c r="G17" s="1"/>
      <c r="P17" t="s">
        <v>47</v>
      </c>
      <c r="Q17">
        <f t="shared" ref="Q17:W17" si="12">_xlfn.T.TEST(Q3:Q5,Q6:Q8,1,2)</f>
        <v>0.36616187348527374</v>
      </c>
      <c r="R17">
        <f t="shared" si="12"/>
        <v>0.26155472132616503</v>
      </c>
      <c r="S17">
        <f t="shared" si="12"/>
        <v>0.22446990536960756</v>
      </c>
      <c r="T17">
        <f t="shared" si="12"/>
        <v>0.28401736968881086</v>
      </c>
      <c r="U17">
        <f t="shared" si="12"/>
        <v>0.20904485530969888</v>
      </c>
      <c r="V17">
        <f t="shared" si="12"/>
        <v>0.45570538395630017</v>
      </c>
      <c r="W17">
        <f t="shared" si="12"/>
        <v>0.23726601947223544</v>
      </c>
      <c r="X17" t="e">
        <f>_xlfn.T.TEST(X3:X6,X7:X8,1,2)</f>
        <v>#DIV/0!</v>
      </c>
    </row>
    <row r="18" spans="1:24">
      <c r="B18" s="4"/>
      <c r="E18" s="1"/>
      <c r="F18" s="1"/>
      <c r="G18" s="1"/>
      <c r="Q18" s="21"/>
      <c r="R18" s="21"/>
      <c r="S18" s="21"/>
      <c r="T18" s="21"/>
      <c r="U18" s="21"/>
      <c r="V18" s="21"/>
      <c r="W18" s="21"/>
    </row>
    <row r="19" spans="1:24">
      <c r="A19" s="3"/>
      <c r="B19" s="4"/>
      <c r="H19" s="5"/>
    </row>
    <row r="20" spans="1:24">
      <c r="B20" s="85"/>
      <c r="C20" s="2"/>
    </row>
    <row r="21" spans="1:24">
      <c r="A21" s="3"/>
      <c r="B21" s="85"/>
      <c r="C21" s="2"/>
    </row>
    <row r="22" spans="1:24">
      <c r="B22" s="85"/>
      <c r="C22" s="2"/>
    </row>
    <row r="23" spans="1:24">
      <c r="A23" s="13"/>
      <c r="B23" s="85"/>
      <c r="C23" s="2"/>
    </row>
    <row r="24" spans="1:24">
      <c r="A24" s="3"/>
      <c r="B24" s="85"/>
      <c r="C24" s="2"/>
      <c r="D24" s="86"/>
      <c r="E24" s="6"/>
      <c r="F24" s="6"/>
      <c r="G24" s="25"/>
      <c r="H24" s="7"/>
      <c r="J24" s="8"/>
      <c r="L24" s="7"/>
    </row>
    <row r="25" spans="1:24">
      <c r="A25" s="3"/>
      <c r="B25" s="85"/>
      <c r="C25" s="2"/>
      <c r="D25" s="86"/>
      <c r="E25" s="6"/>
      <c r="F25" s="6"/>
      <c r="G25" s="25"/>
      <c r="H25" s="7"/>
      <c r="L25" s="7"/>
    </row>
    <row r="26" spans="1:24">
      <c r="B26" s="85"/>
      <c r="C26" s="2"/>
      <c r="D26" s="1"/>
      <c r="E26" s="1"/>
      <c r="F26" s="1"/>
      <c r="G26" s="1"/>
    </row>
    <row r="27" spans="1:24">
      <c r="A27" s="3"/>
    </row>
    <row r="28" spans="1:24">
      <c r="B28" s="85"/>
      <c r="C28" s="2"/>
    </row>
    <row r="29" spans="1:24">
      <c r="A29" s="3"/>
      <c r="B29" s="85"/>
      <c r="C29" s="2"/>
    </row>
    <row r="30" spans="1:24">
      <c r="B30" s="85"/>
      <c r="C30" s="2"/>
    </row>
    <row r="31" spans="1:24">
      <c r="A31" s="3"/>
      <c r="B31" s="85"/>
      <c r="C31" s="2"/>
    </row>
  </sheetData>
  <mergeCells count="11">
    <mergeCell ref="U1:U2"/>
    <mergeCell ref="V1:V2"/>
    <mergeCell ref="E1:E2"/>
    <mergeCell ref="W1:W2"/>
    <mergeCell ref="H1:O1"/>
    <mergeCell ref="G1:G2"/>
    <mergeCell ref="B20:B26"/>
    <mergeCell ref="D24:D25"/>
    <mergeCell ref="B28:B31"/>
    <mergeCell ref="Q1:R1"/>
    <mergeCell ref="S1:T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pane xSplit="4" ySplit="2" topLeftCell="L3" activePane="bottomRight" state="frozenSplit"/>
      <selection pane="topRight" activeCell="B1" sqref="B1"/>
      <selection pane="bottomLeft" activeCell="A8" sqref="A8"/>
      <selection pane="bottomRight" activeCell="X14" sqref="X14"/>
    </sheetView>
  </sheetViews>
  <sheetFormatPr baseColWidth="10" defaultRowHeight="15" x14ac:dyDescent="0"/>
  <cols>
    <col min="1" max="1" width="15.5" bestFit="1" customWidth="1"/>
    <col min="2" max="2" width="5.83203125" style="1" bestFit="1" customWidth="1"/>
    <col min="5" max="5" width="6.1640625" customWidth="1"/>
    <col min="6" max="7" width="7.33203125" customWidth="1"/>
    <col min="8" max="8" width="8.1640625" customWidth="1"/>
    <col min="9" max="9" width="9.6640625" customWidth="1"/>
    <col min="13" max="13" width="11.5" customWidth="1"/>
    <col min="17" max="17" width="12.1640625" bestFit="1" customWidth="1"/>
  </cols>
  <sheetData>
    <row r="1" spans="1:25" s="1" customFormat="1" ht="33" customHeight="1">
      <c r="A1" s="1" t="s">
        <v>0</v>
      </c>
      <c r="B1" s="1" t="s">
        <v>1</v>
      </c>
      <c r="C1" s="1" t="s">
        <v>2</v>
      </c>
      <c r="E1" s="83" t="s">
        <v>14</v>
      </c>
      <c r="F1" s="24"/>
      <c r="G1" s="83" t="s">
        <v>20</v>
      </c>
      <c r="H1" s="83" t="s">
        <v>15</v>
      </c>
      <c r="I1" s="83"/>
      <c r="J1" s="83"/>
      <c r="K1" s="83"/>
      <c r="L1" s="83"/>
      <c r="M1" s="83"/>
      <c r="N1" s="83"/>
      <c r="O1" s="83"/>
      <c r="Q1" s="83" t="s">
        <v>16</v>
      </c>
      <c r="R1" s="83"/>
      <c r="S1" s="83" t="s">
        <v>3</v>
      </c>
      <c r="T1" s="83"/>
      <c r="U1" s="83" t="s">
        <v>4</v>
      </c>
      <c r="V1" s="83" t="s">
        <v>17</v>
      </c>
      <c r="W1" s="83" t="s">
        <v>5</v>
      </c>
    </row>
    <row r="2" spans="1:25" s="1" customFormat="1" ht="45">
      <c r="C2" s="1" t="s">
        <v>6</v>
      </c>
      <c r="D2" s="1" t="s">
        <v>18</v>
      </c>
      <c r="E2" s="83"/>
      <c r="F2" s="1" t="s">
        <v>7</v>
      </c>
      <c r="G2" s="83"/>
      <c r="H2" s="1" t="s">
        <v>22</v>
      </c>
      <c r="I2" s="1" t="s">
        <v>23</v>
      </c>
      <c r="J2" s="1" t="s">
        <v>8</v>
      </c>
      <c r="K2" s="1" t="s">
        <v>24</v>
      </c>
      <c r="L2" s="1" t="s">
        <v>9</v>
      </c>
      <c r="M2" s="1" t="s">
        <v>10</v>
      </c>
      <c r="N2" s="1" t="s">
        <v>11</v>
      </c>
      <c r="O2" s="1" t="s">
        <v>25</v>
      </c>
      <c r="Q2" s="1" t="s">
        <v>12</v>
      </c>
      <c r="R2" s="1" t="s">
        <v>13</v>
      </c>
      <c r="S2" s="1" t="s">
        <v>12</v>
      </c>
      <c r="T2" s="1" t="s">
        <v>13</v>
      </c>
      <c r="U2" s="83"/>
      <c r="V2" s="83"/>
      <c r="W2" s="83"/>
      <c r="Y2" s="1" t="s">
        <v>60</v>
      </c>
    </row>
    <row r="3" spans="1:25" s="18" customFormat="1">
      <c r="A3" s="16">
        <v>41817</v>
      </c>
      <c r="B3" s="17">
        <v>1</v>
      </c>
      <c r="C3" s="18">
        <v>10.6</v>
      </c>
      <c r="D3" s="18" t="s">
        <v>19</v>
      </c>
      <c r="E3" s="18">
        <v>1</v>
      </c>
      <c r="F3" s="18">
        <v>61.005976102893385</v>
      </c>
      <c r="G3" s="18" t="s">
        <v>21</v>
      </c>
      <c r="H3" s="19"/>
      <c r="J3">
        <v>94149032</v>
      </c>
      <c r="K3">
        <v>127038.86</v>
      </c>
      <c r="L3">
        <v>4788426.5</v>
      </c>
      <c r="M3">
        <v>1120602.8799999999</v>
      </c>
      <c r="N3">
        <v>859639.56</v>
      </c>
      <c r="O3">
        <v>110319.48630136986</v>
      </c>
      <c r="Q3" s="18">
        <f t="shared" ref="Q3:Q8" si="0">L3/(J3*F3*C3)</f>
        <v>7.8649998904427082E-5</v>
      </c>
      <c r="R3" s="18">
        <f t="shared" ref="R3:R8" si="1">M3/(J3*F3*C3)</f>
        <v>1.8405924218383185E-5</v>
      </c>
      <c r="S3" s="18">
        <f t="shared" ref="S3:S8" si="2">Q3*N3</f>
        <v>67.610650452202179</v>
      </c>
      <c r="T3" s="18">
        <f t="shared" ref="T3:T8" si="3">R3*N3</f>
        <v>15.822460596484266</v>
      </c>
      <c r="U3" s="18">
        <f t="shared" ref="U3:U8" si="4">S3/T3</f>
        <v>4.2730806652933104</v>
      </c>
      <c r="V3" s="18">
        <f t="shared" ref="V3:V8" si="5">Q3+R3</f>
        <v>9.705592312281026E-5</v>
      </c>
      <c r="W3" s="18">
        <f t="shared" ref="W3:W8" si="6">S3+T3</f>
        <v>83.433111048686442</v>
      </c>
      <c r="Y3" s="18">
        <f t="shared" ref="Y3:Y8" si="7">T3*100/(S3+T3)</f>
        <v>18.96424620586334</v>
      </c>
    </row>
    <row r="4" spans="1:25" s="18" customFormat="1">
      <c r="A4" s="16"/>
      <c r="B4" s="17">
        <v>2</v>
      </c>
      <c r="C4" s="18">
        <v>10.3</v>
      </c>
      <c r="D4" s="18" t="s">
        <v>19</v>
      </c>
      <c r="E4" s="18">
        <v>1</v>
      </c>
      <c r="F4" s="18">
        <v>61.005976102893385</v>
      </c>
      <c r="G4" s="18" t="s">
        <v>26</v>
      </c>
      <c r="J4" s="18">
        <v>91217347.729999959</v>
      </c>
      <c r="K4" s="18">
        <v>107365.72999999998</v>
      </c>
      <c r="L4" s="18">
        <v>4568247.5199999986</v>
      </c>
      <c r="M4" s="18">
        <v>826846.53</v>
      </c>
      <c r="N4" s="18">
        <v>866054.63</v>
      </c>
      <c r="O4" s="18">
        <v>108765.2853125</v>
      </c>
      <c r="Q4" s="18">
        <f t="shared" si="0"/>
        <v>7.9700781849177156E-5</v>
      </c>
      <c r="R4" s="18">
        <f t="shared" si="1"/>
        <v>1.4425732104437096E-5</v>
      </c>
      <c r="S4" s="18">
        <f t="shared" si="2"/>
        <v>69.025231135099844</v>
      </c>
      <c r="T4" s="18">
        <f t="shared" si="3"/>
        <v>12.493472080187392</v>
      </c>
      <c r="U4" s="18">
        <f t="shared" si="4"/>
        <v>5.5249037811164277</v>
      </c>
      <c r="V4" s="18">
        <f t="shared" si="5"/>
        <v>9.4126513953614245E-5</v>
      </c>
      <c r="W4" s="18">
        <f t="shared" si="6"/>
        <v>81.518703215287232</v>
      </c>
      <c r="Y4" s="18">
        <f t="shared" si="7"/>
        <v>15.32589649665144</v>
      </c>
    </row>
    <row r="5" spans="1:25" s="18" customFormat="1">
      <c r="A5" s="16" t="s">
        <v>80</v>
      </c>
      <c r="B5" s="18">
        <v>1</v>
      </c>
      <c r="C5" s="18">
        <v>10.1</v>
      </c>
      <c r="D5" s="18" t="s">
        <v>19</v>
      </c>
      <c r="E5" s="18">
        <v>1</v>
      </c>
      <c r="F5" s="18">
        <v>38.694633392218769</v>
      </c>
      <c r="G5" s="18" t="s">
        <v>21</v>
      </c>
      <c r="J5">
        <v>133507352</v>
      </c>
      <c r="K5">
        <v>215698.22</v>
      </c>
      <c r="L5">
        <v>7331128</v>
      </c>
      <c r="M5">
        <v>1594239.63</v>
      </c>
      <c r="N5">
        <v>1268225.5</v>
      </c>
      <c r="O5" s="18">
        <v>109501.32558139534</v>
      </c>
      <c r="Q5" s="18">
        <f t="shared" si="0"/>
        <v>1.4050555992880514E-4</v>
      </c>
      <c r="R5" s="18">
        <f t="shared" si="1"/>
        <v>3.0554579305373073E-5</v>
      </c>
      <c r="S5" s="18">
        <f t="shared" si="2"/>
        <v>178.19273399348887</v>
      </c>
      <c r="T5" s="18">
        <f t="shared" si="3"/>
        <v>38.75009661684642</v>
      </c>
      <c r="U5" s="18">
        <f t="shared" si="4"/>
        <v>4.5985107019325584</v>
      </c>
      <c r="V5" s="18">
        <f t="shared" si="5"/>
        <v>1.7106013923417823E-4</v>
      </c>
      <c r="W5" s="18">
        <f t="shared" si="6"/>
        <v>216.94283061033531</v>
      </c>
      <c r="Y5" s="18">
        <f t="shared" si="7"/>
        <v>17.861893157671531</v>
      </c>
    </row>
    <row r="6" spans="1:25" s="11" customFormat="1">
      <c r="A6" s="9"/>
      <c r="B6" s="10">
        <v>3</v>
      </c>
      <c r="C6" s="11">
        <v>9.9</v>
      </c>
      <c r="D6" s="11" t="s">
        <v>27</v>
      </c>
      <c r="E6" s="11">
        <v>2</v>
      </c>
      <c r="F6" s="11">
        <v>53.569680674492233</v>
      </c>
      <c r="G6" s="11" t="s">
        <v>21</v>
      </c>
      <c r="J6">
        <v>81455512</v>
      </c>
      <c r="K6">
        <v>138283.78</v>
      </c>
      <c r="L6">
        <v>4129111.25</v>
      </c>
      <c r="M6">
        <v>607818.25</v>
      </c>
      <c r="N6">
        <v>994789.38</v>
      </c>
      <c r="O6" s="18">
        <v>104018.75294117647</v>
      </c>
      <c r="Q6" s="11">
        <f t="shared" si="0"/>
        <v>9.5583263408634636E-5</v>
      </c>
      <c r="R6" s="11">
        <f t="shared" si="1"/>
        <v>1.4070159018923344E-5</v>
      </c>
      <c r="S6" s="11">
        <f t="shared" si="2"/>
        <v>95.08521534465234</v>
      </c>
      <c r="T6" s="11">
        <f t="shared" si="3"/>
        <v>13.996844766936162</v>
      </c>
      <c r="U6" s="18">
        <f t="shared" si="4"/>
        <v>6.7933321350584652</v>
      </c>
      <c r="V6" s="11">
        <f t="shared" si="5"/>
        <v>1.0965342242755798E-4</v>
      </c>
      <c r="W6" s="11">
        <f t="shared" si="6"/>
        <v>109.0820601115885</v>
      </c>
      <c r="X6">
        <f>AVERAGE(U6:U7)*100/AVERAGE(U3:U4)</f>
        <v>104.26919577066217</v>
      </c>
      <c r="Y6" s="18">
        <f t="shared" si="7"/>
        <v>12.831481870270606</v>
      </c>
    </row>
    <row r="7" spans="1:25" s="11" customFormat="1">
      <c r="A7" s="9"/>
      <c r="B7" s="10">
        <v>4</v>
      </c>
      <c r="C7" s="11">
        <v>9.6999999999999993</v>
      </c>
      <c r="D7" s="11" t="s">
        <v>27</v>
      </c>
      <c r="E7" s="11">
        <v>2</v>
      </c>
      <c r="F7" s="11">
        <v>53.569680674492233</v>
      </c>
      <c r="G7" s="11" t="s">
        <v>26</v>
      </c>
      <c r="J7">
        <v>90846736</v>
      </c>
      <c r="K7">
        <v>204654.47</v>
      </c>
      <c r="L7">
        <v>4807777</v>
      </c>
      <c r="M7">
        <v>1404572.25</v>
      </c>
      <c r="N7">
        <v>689460.56</v>
      </c>
      <c r="O7" s="11">
        <v>103017.62222222223</v>
      </c>
      <c r="Q7" s="11">
        <f t="shared" si="0"/>
        <v>1.0184605125941091E-4</v>
      </c>
      <c r="R7" s="11">
        <f t="shared" si="1"/>
        <v>2.9753904428397183E-5</v>
      </c>
      <c r="S7" s="11">
        <f t="shared" si="2"/>
        <v>70.218835535102158</v>
      </c>
      <c r="T7" s="11">
        <f t="shared" si="3"/>
        <v>20.514143609389205</v>
      </c>
      <c r="U7" s="18">
        <f t="shared" si="4"/>
        <v>3.4229474489475353</v>
      </c>
      <c r="V7" s="11">
        <f t="shared" si="5"/>
        <v>1.3159995568780809E-4</v>
      </c>
      <c r="W7" s="11">
        <f t="shared" si="6"/>
        <v>90.732979144491367</v>
      </c>
      <c r="Y7" s="18">
        <f t="shared" si="7"/>
        <v>22.609357482598067</v>
      </c>
    </row>
    <row r="8" spans="1:25" s="11" customFormat="1">
      <c r="A8" s="16" t="s">
        <v>81</v>
      </c>
      <c r="B8">
        <v>2</v>
      </c>
      <c r="C8" s="18">
        <v>10</v>
      </c>
      <c r="D8" s="11" t="s">
        <v>27</v>
      </c>
      <c r="E8" s="18">
        <v>2</v>
      </c>
      <c r="F8">
        <v>68.270605111251882</v>
      </c>
      <c r="G8" s="18" t="s">
        <v>26</v>
      </c>
      <c r="J8" s="11">
        <v>105174247.72999997</v>
      </c>
      <c r="K8" s="11">
        <v>168203.5400000001</v>
      </c>
      <c r="L8" s="11">
        <v>5324332.7699999986</v>
      </c>
      <c r="M8" s="11">
        <v>946548.88</v>
      </c>
      <c r="N8" s="11">
        <v>664913.39</v>
      </c>
      <c r="O8" s="11">
        <v>113266.97200000001</v>
      </c>
      <c r="Q8" s="11">
        <f t="shared" si="0"/>
        <v>7.4151855770395494E-5</v>
      </c>
      <c r="R8" s="11">
        <f t="shared" si="1"/>
        <v>1.31825637242034E-5</v>
      </c>
      <c r="S8" s="11">
        <f t="shared" si="2"/>
        <v>49.30456179508473</v>
      </c>
      <c r="T8" s="11">
        <f t="shared" si="3"/>
        <v>8.765263134751109</v>
      </c>
      <c r="U8" s="18">
        <f t="shared" si="4"/>
        <v>5.624995055722847</v>
      </c>
      <c r="V8" s="11">
        <f t="shared" si="5"/>
        <v>8.733441949459889E-5</v>
      </c>
      <c r="W8" s="11">
        <f t="shared" si="6"/>
        <v>58.069824929835839</v>
      </c>
      <c r="X8">
        <f>AVERAGE(U8)*100/AVERAGE(U5)</f>
        <v>122.32210427082187</v>
      </c>
      <c r="Y8" s="18">
        <f t="shared" si="7"/>
        <v>15.094350887645922</v>
      </c>
    </row>
    <row r="9" spans="1:25" s="11" customFormat="1" ht="15" customHeight="1">
      <c r="A9" s="9"/>
      <c r="B9"/>
      <c r="D9"/>
      <c r="E9"/>
      <c r="F9"/>
      <c r="G9"/>
      <c r="H9" s="12"/>
      <c r="N9"/>
      <c r="Q9"/>
      <c r="R9"/>
      <c r="S9"/>
      <c r="T9"/>
      <c r="U9"/>
      <c r="V9"/>
      <c r="W9"/>
    </row>
    <row r="10" spans="1:25" s="11" customFormat="1" ht="15" customHeight="1">
      <c r="A10" s="9"/>
      <c r="B10"/>
      <c r="D10"/>
      <c r="E10"/>
      <c r="F10"/>
      <c r="G10"/>
      <c r="H10" s="12"/>
      <c r="N10"/>
      <c r="Q10"/>
      <c r="R10"/>
      <c r="S10"/>
      <c r="T10"/>
      <c r="U10"/>
      <c r="V10"/>
      <c r="W10"/>
    </row>
    <row r="11" spans="1:25" s="18" customFormat="1">
      <c r="B11" s="17"/>
      <c r="O11" s="18" t="s">
        <v>29</v>
      </c>
      <c r="P11" s="18" t="s">
        <v>30</v>
      </c>
      <c r="Q11" s="18">
        <f t="shared" ref="Q11:W11" si="8">AVERAGE(Q3:Q4,Q5)</f>
        <v>9.9618780227469798E-5</v>
      </c>
      <c r="R11" s="18">
        <f t="shared" si="8"/>
        <v>2.1128745209397786E-5</v>
      </c>
      <c r="S11" s="18">
        <f t="shared" si="8"/>
        <v>104.94287186026365</v>
      </c>
      <c r="T11" s="18">
        <f t="shared" si="8"/>
        <v>22.355343097839363</v>
      </c>
      <c r="U11" s="18">
        <f t="shared" si="8"/>
        <v>4.7988317161140985</v>
      </c>
      <c r="V11" s="18">
        <f t="shared" si="8"/>
        <v>1.2074752543686757E-4</v>
      </c>
      <c r="W11" s="18">
        <f t="shared" si="8"/>
        <v>127.298214958103</v>
      </c>
      <c r="Y11" s="18">
        <f>AVERAGE(Y3:Y4,Y5)</f>
        <v>17.384011953395436</v>
      </c>
    </row>
    <row r="12" spans="1:25" s="18" customFormat="1">
      <c r="B12" s="17"/>
      <c r="P12" s="18" t="s">
        <v>31</v>
      </c>
      <c r="Q12" s="18">
        <f t="shared" ref="Q12:W12" si="9">STDEV(Q3:Q4,Q5)/SQRT(COUNT(Q3:Q4,Q5))</f>
        <v>2.0445640138004895E-5</v>
      </c>
      <c r="R12" s="18">
        <f t="shared" si="9"/>
        <v>4.8509532953024597E-6</v>
      </c>
      <c r="S12" s="18">
        <f t="shared" si="9"/>
        <v>36.627207494472728</v>
      </c>
      <c r="T12" s="18">
        <f t="shared" si="9"/>
        <v>8.2535143695913931</v>
      </c>
      <c r="U12" s="18">
        <f t="shared" si="9"/>
        <v>0.37499407100615811</v>
      </c>
      <c r="V12" s="18">
        <f t="shared" si="9"/>
        <v>2.5170516415429009E-5</v>
      </c>
      <c r="W12" s="18">
        <f t="shared" si="9"/>
        <v>44.825714628679684</v>
      </c>
      <c r="Y12" s="18">
        <f>STDEV(Y3:Y4,Y5)/SQRT(COUNT(Y3:Y4,Y5))</f>
        <v>1.0771374077743991</v>
      </c>
    </row>
    <row r="13" spans="1:25">
      <c r="B13" s="4"/>
      <c r="C13" s="11"/>
      <c r="N13" s="14"/>
    </row>
    <row r="14" spans="1:25" s="21" customFormat="1">
      <c r="B14" s="22"/>
      <c r="H14" s="23"/>
      <c r="L14" s="23"/>
      <c r="O14" s="21" t="s">
        <v>27</v>
      </c>
      <c r="P14" s="21" t="s">
        <v>30</v>
      </c>
      <c r="Q14" s="18">
        <f t="shared" ref="Q14:W14" si="10">AVERAGE(Q6:Q7,Q8)</f>
        <v>9.0527056812813686E-5</v>
      </c>
      <c r="R14" s="18">
        <f t="shared" si="10"/>
        <v>1.9002209057174643E-5</v>
      </c>
      <c r="S14" s="18">
        <f t="shared" si="10"/>
        <v>71.536204224946417</v>
      </c>
      <c r="T14" s="18">
        <f t="shared" si="10"/>
        <v>14.425417170358825</v>
      </c>
      <c r="U14" s="18">
        <f t="shared" si="10"/>
        <v>5.2804248799096163</v>
      </c>
      <c r="V14" s="18">
        <f t="shared" si="10"/>
        <v>1.0952926586998833E-4</v>
      </c>
      <c r="W14" s="18">
        <f t="shared" si="10"/>
        <v>85.961621395305244</v>
      </c>
      <c r="X14" s="21">
        <f>AVERAGE(X6:X8)</f>
        <v>113.29565002074202</v>
      </c>
      <c r="Y14" s="18">
        <f>AVERAGE(Y6:Y7,Y8)</f>
        <v>16.845063413504864</v>
      </c>
    </row>
    <row r="15" spans="1:25">
      <c r="A15" s="3"/>
      <c r="B15" s="4"/>
      <c r="D15" s="18"/>
      <c r="P15" t="s">
        <v>32</v>
      </c>
      <c r="Q15" s="18">
        <f t="shared" ref="Q15:W15" si="11">STDEV(Q6:Q7,Q8)/SQRT(COUNT(Q6:Q7,Q8))</f>
        <v>8.3848282590376302E-6</v>
      </c>
      <c r="R15" s="18">
        <f t="shared" si="11"/>
        <v>5.3819504323395129E-6</v>
      </c>
      <c r="S15" s="18">
        <f t="shared" si="11"/>
        <v>13.232140857965511</v>
      </c>
      <c r="T15" s="18">
        <f t="shared" si="11"/>
        <v>3.3983723471962648</v>
      </c>
      <c r="U15" s="18">
        <f t="shared" si="11"/>
        <v>0.98808226507002583</v>
      </c>
      <c r="V15" s="18">
        <f t="shared" si="11"/>
        <v>1.2778510408183592E-5</v>
      </c>
      <c r="W15" s="18">
        <f t="shared" si="11"/>
        <v>14.917958144885324</v>
      </c>
      <c r="X15" s="18">
        <f>STDEV(X6:X8)/SQRT(COUNT(X6:X8))</f>
        <v>9.0264542500798512</v>
      </c>
      <c r="Y15" s="18">
        <f>STDEV(Y6:Y7,Y8)/SQRT(COUNT(Y6:Y7,Y8))</f>
        <v>2.955247233520212</v>
      </c>
    </row>
    <row r="16" spans="1:25">
      <c r="B16" s="4"/>
      <c r="D16" s="15"/>
      <c r="E16" s="1"/>
      <c r="F16" s="1"/>
      <c r="G16" s="1"/>
    </row>
    <row r="17" spans="1:23">
      <c r="B17" s="4"/>
      <c r="E17" s="1"/>
      <c r="F17" s="1"/>
      <c r="G17" s="1"/>
      <c r="P17" t="s">
        <v>47</v>
      </c>
      <c r="Q17">
        <f>_xlfn.T.TEST(Q3:Q5,Q6:Q8,1,2)</f>
        <v>0.35092545776559148</v>
      </c>
      <c r="R17">
        <f t="shared" ref="R17:W17" si="12">_xlfn.T.TEST(R3:R5,R6:R8,1,2)</f>
        <v>0.39186981498327655</v>
      </c>
      <c r="S17">
        <f t="shared" si="12"/>
        <v>0.21967754734529479</v>
      </c>
      <c r="T17">
        <f t="shared" si="12"/>
        <v>0.21225378098275793</v>
      </c>
      <c r="U17">
        <f t="shared" si="12"/>
        <v>0.33612769753747007</v>
      </c>
      <c r="V17">
        <f t="shared" si="12"/>
        <v>0.35567980673675292</v>
      </c>
      <c r="W17">
        <f t="shared" si="12"/>
        <v>0.21548910391797854</v>
      </c>
    </row>
    <row r="18" spans="1:23">
      <c r="B18" s="4"/>
      <c r="E18" s="1"/>
      <c r="F18" s="1"/>
      <c r="G18" s="1"/>
      <c r="Q18" s="21"/>
      <c r="R18" s="21"/>
      <c r="S18" s="21"/>
      <c r="T18" s="21"/>
      <c r="U18" s="21"/>
      <c r="V18" s="21"/>
      <c r="W18" s="21"/>
    </row>
    <row r="19" spans="1:23">
      <c r="A19" s="3"/>
      <c r="B19" s="4"/>
      <c r="H19" s="5"/>
    </row>
    <row r="20" spans="1:23">
      <c r="B20" s="85"/>
      <c r="C20" s="24"/>
    </row>
    <row r="21" spans="1:23">
      <c r="A21" s="3"/>
      <c r="B21" s="85"/>
      <c r="C21" s="24"/>
    </row>
    <row r="22" spans="1:23">
      <c r="B22" s="85"/>
      <c r="C22" s="24"/>
    </row>
    <row r="23" spans="1:23">
      <c r="A23" s="13"/>
      <c r="B23" s="85"/>
      <c r="C23" s="24"/>
    </row>
    <row r="24" spans="1:23">
      <c r="A24" s="3"/>
      <c r="B24" s="85"/>
      <c r="C24" s="24"/>
      <c r="D24" s="86"/>
      <c r="E24" s="25"/>
      <c r="F24" s="25"/>
      <c r="G24" s="25"/>
      <c r="H24" s="7"/>
      <c r="J24" s="8"/>
      <c r="L24" s="7"/>
    </row>
    <row r="25" spans="1:23">
      <c r="A25" s="3"/>
      <c r="B25" s="85"/>
      <c r="C25" s="24"/>
      <c r="D25" s="86"/>
      <c r="E25" s="25"/>
      <c r="F25" s="25"/>
      <c r="G25" s="25"/>
      <c r="H25" s="7"/>
      <c r="L25" s="7"/>
    </row>
    <row r="26" spans="1:23">
      <c r="B26" s="85"/>
      <c r="C26" s="24"/>
      <c r="D26" s="1"/>
      <c r="E26" s="1"/>
      <c r="F26" s="1"/>
      <c r="G26" s="1"/>
    </row>
    <row r="27" spans="1:23">
      <c r="A27" s="3"/>
    </row>
    <row r="28" spans="1:23">
      <c r="B28" s="85"/>
      <c r="C28" s="24"/>
    </row>
    <row r="29" spans="1:23">
      <c r="A29" s="3"/>
      <c r="B29" s="85"/>
      <c r="C29" s="24"/>
    </row>
    <row r="30" spans="1:23">
      <c r="B30" s="85"/>
      <c r="C30" s="24"/>
    </row>
    <row r="31" spans="1:23">
      <c r="A31" s="3"/>
      <c r="B31" s="85"/>
      <c r="C31" s="24"/>
    </row>
  </sheetData>
  <mergeCells count="11">
    <mergeCell ref="V1:V2"/>
    <mergeCell ref="W1:W2"/>
    <mergeCell ref="B20:B26"/>
    <mergeCell ref="D24:D25"/>
    <mergeCell ref="B28:B31"/>
    <mergeCell ref="E1:E2"/>
    <mergeCell ref="G1:G2"/>
    <mergeCell ref="H1:O1"/>
    <mergeCell ref="Q1:R1"/>
    <mergeCell ref="S1:T1"/>
    <mergeCell ref="U1:U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A3" zoomScale="125" zoomScaleNormal="125" zoomScalePageLayoutView="125" workbookViewId="0">
      <selection activeCell="H10" sqref="H10"/>
    </sheetView>
  </sheetViews>
  <sheetFormatPr baseColWidth="10" defaultRowHeight="15" x14ac:dyDescent="0"/>
  <sheetData>
    <row r="1" spans="1:19" ht="15" customHeight="1">
      <c r="A1" s="78" t="s">
        <v>51</v>
      </c>
      <c r="B1" s="78" t="s">
        <v>53</v>
      </c>
      <c r="C1" s="87" t="s">
        <v>3</v>
      </c>
      <c r="D1" s="87"/>
      <c r="E1" s="87" t="s">
        <v>4</v>
      </c>
      <c r="F1" s="87" t="s">
        <v>5</v>
      </c>
      <c r="G1" s="87" t="s">
        <v>35</v>
      </c>
      <c r="I1" s="83" t="s">
        <v>3</v>
      </c>
      <c r="J1" s="83"/>
      <c r="K1" s="83" t="s">
        <v>4</v>
      </c>
      <c r="L1" s="83" t="s">
        <v>5</v>
      </c>
    </row>
    <row r="2" spans="1:19">
      <c r="A2" s="78"/>
      <c r="B2" s="79" t="s">
        <v>54</v>
      </c>
      <c r="C2" s="80" t="s">
        <v>12</v>
      </c>
      <c r="D2" s="80" t="s">
        <v>13</v>
      </c>
      <c r="E2" s="87"/>
      <c r="F2" s="87"/>
      <c r="G2" s="87"/>
      <c r="I2" s="1" t="s">
        <v>12</v>
      </c>
      <c r="J2" s="1" t="s">
        <v>13</v>
      </c>
      <c r="K2" s="83"/>
      <c r="L2" s="83"/>
      <c r="O2" t="s">
        <v>58</v>
      </c>
      <c r="Q2" t="s">
        <v>59</v>
      </c>
      <c r="S2" t="s">
        <v>59</v>
      </c>
    </row>
    <row r="3" spans="1:19">
      <c r="A3" s="78" t="s">
        <v>52</v>
      </c>
      <c r="B3" s="78" t="s">
        <v>30</v>
      </c>
      <c r="C3" s="81">
        <v>9.9122902620986029</v>
      </c>
      <c r="D3" s="81">
        <v>6.4219732325827792</v>
      </c>
      <c r="E3" s="81">
        <v>1.8207138171243893</v>
      </c>
      <c r="F3" s="81">
        <v>16.334263494681384</v>
      </c>
      <c r="G3" s="78">
        <v>100</v>
      </c>
      <c r="I3">
        <v>100</v>
      </c>
      <c r="J3">
        <v>100</v>
      </c>
      <c r="K3">
        <v>100</v>
      </c>
      <c r="L3">
        <v>100</v>
      </c>
      <c r="O3">
        <f>1/E3</f>
        <v>0.54923513546977221</v>
      </c>
      <c r="Q3">
        <f>D3*100/(C3+D3)</f>
        <v>39.315964473536539</v>
      </c>
      <c r="S3">
        <v>38.115210196764899</v>
      </c>
    </row>
    <row r="4" spans="1:19">
      <c r="A4" s="78"/>
      <c r="B4" s="78" t="s">
        <v>32</v>
      </c>
      <c r="C4" s="81">
        <v>2.7569569451636924</v>
      </c>
      <c r="D4" s="81">
        <v>1.6115829334438065</v>
      </c>
      <c r="E4" s="81">
        <v>0.32335446905111853</v>
      </c>
      <c r="F4" s="81">
        <v>4.0055071195277128</v>
      </c>
      <c r="G4" s="78">
        <f>E4*100/E3</f>
        <v>17.759763561404736</v>
      </c>
      <c r="I4">
        <f>C4*100/C3</f>
        <v>27.813521116360018</v>
      </c>
      <c r="J4">
        <f>D4*100/D3</f>
        <v>25.094824831520867</v>
      </c>
      <c r="K4">
        <f>I4*100/I3</f>
        <v>27.813521116360015</v>
      </c>
      <c r="L4">
        <f>F4*100/F3</f>
        <v>24.522116475174716</v>
      </c>
      <c r="Q4">
        <f>D4*100/(C3+D3)</f>
        <v>9.8662724154569705</v>
      </c>
      <c r="S4">
        <v>4.735438780923201</v>
      </c>
    </row>
    <row r="5" spans="1:19">
      <c r="A5" s="77"/>
      <c r="B5" s="77"/>
      <c r="C5" s="52"/>
      <c r="D5" s="52"/>
      <c r="E5" s="52"/>
      <c r="F5" s="52"/>
    </row>
    <row r="6" spans="1:19">
      <c r="A6" s="78" t="s">
        <v>55</v>
      </c>
      <c r="B6" s="78" t="s">
        <v>30</v>
      </c>
      <c r="C6" s="81">
        <v>124.22178665935148</v>
      </c>
      <c r="D6" s="81">
        <v>42.099582980025239</v>
      </c>
      <c r="E6" s="81">
        <v>3.6611488371956251</v>
      </c>
      <c r="F6" s="81">
        <v>166.32136963937674</v>
      </c>
      <c r="G6" s="78">
        <v>100</v>
      </c>
      <c r="H6">
        <f>E6*100/E3</f>
        <v>201.0831577572138</v>
      </c>
      <c r="I6">
        <v>100</v>
      </c>
      <c r="J6">
        <v>100</v>
      </c>
      <c r="K6">
        <v>100</v>
      </c>
      <c r="L6">
        <v>100</v>
      </c>
      <c r="O6">
        <f>1/E6</f>
        <v>0.27313830834749186</v>
      </c>
      <c r="Q6">
        <f>D6*100/(C6+D6)</f>
        <v>25.312191134132011</v>
      </c>
      <c r="S6" s="18">
        <v>23.210729788186551</v>
      </c>
    </row>
    <row r="7" spans="1:19">
      <c r="A7" s="78"/>
      <c r="B7" s="78" t="s">
        <v>32</v>
      </c>
      <c r="C7" s="81">
        <v>45.992467090309354</v>
      </c>
      <c r="D7" s="81">
        <v>21.602129988389237</v>
      </c>
      <c r="E7" s="81">
        <v>0.99645260887153331</v>
      </c>
      <c r="F7" s="81">
        <v>67.296440399240552</v>
      </c>
      <c r="G7" s="78">
        <f>E7*100/E6</f>
        <v>27.216937993561558</v>
      </c>
      <c r="H7">
        <f>D6*100/D3</f>
        <v>655.55525467510711</v>
      </c>
      <c r="I7">
        <f>C7*100/C6</f>
        <v>37.024477209004161</v>
      </c>
      <c r="J7">
        <f>D7*100/D6</f>
        <v>51.311980925413643</v>
      </c>
      <c r="K7">
        <f>I7*100/I6</f>
        <v>37.024477209004161</v>
      </c>
      <c r="L7">
        <f>F7*100/F6</f>
        <v>40.461692051451251</v>
      </c>
      <c r="Q7">
        <f>D7*100/(C6+D6)</f>
        <v>12.988186686550058</v>
      </c>
      <c r="S7" s="18">
        <v>4.1145028424894114</v>
      </c>
    </row>
    <row r="8" spans="1:19">
      <c r="A8" s="77"/>
      <c r="B8" s="77"/>
      <c r="C8" s="52"/>
      <c r="D8" s="52"/>
      <c r="E8" s="52"/>
      <c r="F8" s="52"/>
    </row>
    <row r="9" spans="1:19">
      <c r="A9" s="78" t="s">
        <v>56</v>
      </c>
      <c r="B9" s="78" t="s">
        <v>30</v>
      </c>
      <c r="C9" s="81">
        <v>104.94287186026365</v>
      </c>
      <c r="D9" s="81">
        <v>22.355343097839363</v>
      </c>
      <c r="E9" s="81">
        <v>4.7988317161140985</v>
      </c>
      <c r="F9" s="81">
        <v>127.298214958103</v>
      </c>
      <c r="G9" s="78">
        <v>100</v>
      </c>
      <c r="H9">
        <f>E9*100/E3</f>
        <v>263.56869876965663</v>
      </c>
      <c r="I9">
        <v>100</v>
      </c>
      <c r="J9">
        <v>100</v>
      </c>
      <c r="K9">
        <v>100</v>
      </c>
      <c r="L9">
        <v>100</v>
      </c>
      <c r="O9">
        <f>1/E9</f>
        <v>0.20838405244386438</v>
      </c>
      <c r="Q9">
        <f>D9*100/(C9+D9)</f>
        <v>17.561395582174548</v>
      </c>
      <c r="S9">
        <v>17.384011953395436</v>
      </c>
    </row>
    <row r="10" spans="1:19">
      <c r="A10" s="78"/>
      <c r="B10" s="78" t="s">
        <v>32</v>
      </c>
      <c r="C10" s="81">
        <v>36.627207494472728</v>
      </c>
      <c r="D10" s="81">
        <v>8.2535143695913931</v>
      </c>
      <c r="E10" s="81">
        <v>0.37499407100615811</v>
      </c>
      <c r="F10" s="81">
        <v>44.825714628679684</v>
      </c>
      <c r="G10" s="78">
        <f>E10*100/E9</f>
        <v>7.8142784158685457</v>
      </c>
      <c r="H10">
        <f>D9*100/D3</f>
        <v>348.10707376381458</v>
      </c>
      <c r="I10">
        <f>C10*100/C9</f>
        <v>34.902044174323315</v>
      </c>
      <c r="J10">
        <f>D10*100/D9</f>
        <v>36.919649738630461</v>
      </c>
      <c r="K10">
        <f>I10*100/I9</f>
        <v>34.902044174323315</v>
      </c>
      <c r="L10">
        <f>F10*100/F9</f>
        <v>35.213152551615067</v>
      </c>
      <c r="Q10">
        <f>D10*100/(C9+D9)</f>
        <v>6.483605738154167</v>
      </c>
      <c r="S10">
        <v>1.0771374077743991</v>
      </c>
    </row>
    <row r="12" spans="1:19">
      <c r="C12" t="s">
        <v>50</v>
      </c>
    </row>
    <row r="14" spans="1:19">
      <c r="B14" s="51" t="s">
        <v>57</v>
      </c>
      <c r="C14" s="83"/>
      <c r="D14" s="83"/>
      <c r="E14" s="83"/>
      <c r="F14" s="83"/>
    </row>
    <row r="15" spans="1:19">
      <c r="C15" s="1"/>
      <c r="D15" s="1"/>
      <c r="E15" s="83"/>
      <c r="F15" s="83"/>
      <c r="I15" t="s">
        <v>69</v>
      </c>
    </row>
    <row r="16" spans="1:19">
      <c r="A16" t="s">
        <v>52</v>
      </c>
      <c r="B16" t="s">
        <v>30</v>
      </c>
      <c r="C16" s="50">
        <v>5.5678101893729037</v>
      </c>
      <c r="D16" s="49">
        <v>1.4209953270613689</v>
      </c>
      <c r="E16" s="50">
        <v>4.085083526388364</v>
      </c>
      <c r="F16">
        <v>6.9888055164342724</v>
      </c>
      <c r="G16">
        <v>163.73215889413032</v>
      </c>
      <c r="I16">
        <f>C16*100/C3</f>
        <v>56.170774282734754</v>
      </c>
      <c r="J16">
        <f>D16*100/D3</f>
        <v>22.127082683119117</v>
      </c>
      <c r="K16">
        <v>163.73215889413032</v>
      </c>
      <c r="L16">
        <f>F16*100/F3</f>
        <v>42.786168587949525</v>
      </c>
      <c r="Q16">
        <f>D16*100/(C16+D16)</f>
        <v>20.332449139125117</v>
      </c>
    </row>
    <row r="17" spans="1:17">
      <c r="B17" t="s">
        <v>32</v>
      </c>
      <c r="C17" s="50">
        <v>1.3894939706505944</v>
      </c>
      <c r="D17" s="49">
        <v>0.40325231509990844</v>
      </c>
      <c r="E17" s="50">
        <v>0.36185956914512996</v>
      </c>
      <c r="F17">
        <v>1.7876330947925514</v>
      </c>
      <c r="G17">
        <v>3.3137148000366552</v>
      </c>
      <c r="I17">
        <f>C17*100/C3</f>
        <v>14.017890254521404</v>
      </c>
      <c r="J17">
        <f>D17*100/D3</f>
        <v>6.2792587339659311</v>
      </c>
      <c r="K17">
        <v>3.3137148000366552</v>
      </c>
      <c r="L17">
        <f>F17*100/F3</f>
        <v>10.944069167089317</v>
      </c>
      <c r="Q17">
        <f>D17*100/(C16+D16)</f>
        <v>5.7699747711058071</v>
      </c>
    </row>
    <row r="19" spans="1:17">
      <c r="A19" t="s">
        <v>55</v>
      </c>
      <c r="B19" t="s">
        <v>30</v>
      </c>
      <c r="C19">
        <v>79.18864064574457</v>
      </c>
      <c r="D19">
        <v>28.399735572505605</v>
      </c>
      <c r="E19">
        <v>2.6288426317869424</v>
      </c>
      <c r="F19">
        <v>107.58837621825016</v>
      </c>
      <c r="G19">
        <v>87.220846898210951</v>
      </c>
      <c r="I19">
        <f>C19*100/C6</f>
        <v>63.747787546238136</v>
      </c>
      <c r="J19">
        <f>D19*100/D6</f>
        <v>67.458472417601556</v>
      </c>
      <c r="K19">
        <v>87.220846898210951</v>
      </c>
      <c r="L19">
        <f>F19*100/F6</f>
        <v>64.687043193262951</v>
      </c>
      <c r="Q19">
        <f>D19*100/(C19+D19)</f>
        <v>26.396657864688702</v>
      </c>
    </row>
    <row r="20" spans="1:17">
      <c r="B20" t="s">
        <v>32</v>
      </c>
      <c r="C20">
        <v>27.734363272689055</v>
      </c>
      <c r="D20">
        <v>4.4163764737096285</v>
      </c>
      <c r="E20">
        <v>0.56308023876083513</v>
      </c>
      <c r="F20">
        <v>31.939779519142277</v>
      </c>
      <c r="G20">
        <v>32.665436841234758</v>
      </c>
      <c r="I20">
        <f>C20*100/C6</f>
        <v>22.326488789558237</v>
      </c>
      <c r="J20">
        <f>D20*100/D6</f>
        <v>10.490309312101839</v>
      </c>
      <c r="K20">
        <v>32.665436841234758</v>
      </c>
      <c r="L20">
        <f>F20*100/F6</f>
        <v>19.203653498281739</v>
      </c>
      <c r="Q20">
        <f>D20*100/(C19+D19)</f>
        <v>4.1048825430274318</v>
      </c>
    </row>
    <row r="22" spans="1:17">
      <c r="A22" t="s">
        <v>56</v>
      </c>
      <c r="B22" t="s">
        <v>30</v>
      </c>
      <c r="C22">
        <v>71.536204224946417</v>
      </c>
      <c r="D22">
        <v>14.425417170358825</v>
      </c>
      <c r="E22">
        <v>5.2804248799096163</v>
      </c>
      <c r="F22">
        <v>85.961621395305244</v>
      </c>
      <c r="G22">
        <v>113.29565002074202</v>
      </c>
      <c r="I22">
        <f>C22*100/C9</f>
        <v>68.166806336499178</v>
      </c>
      <c r="J22">
        <f>D22*100/D9</f>
        <v>64.527827227814001</v>
      </c>
      <c r="K22">
        <v>113.29565002074202</v>
      </c>
      <c r="L22">
        <f>F22*100/F9</f>
        <v>67.527750820070295</v>
      </c>
      <c r="Q22">
        <f>D22*100/(C22+D22)</f>
        <v>16.781229735095089</v>
      </c>
    </row>
    <row r="23" spans="1:17">
      <c r="B23" t="s">
        <v>32</v>
      </c>
      <c r="C23">
        <v>13.232140857965511</v>
      </c>
      <c r="D23">
        <v>3.3983723471962648</v>
      </c>
      <c r="E23">
        <v>0.98808226507002583</v>
      </c>
      <c r="F23">
        <v>14.917958144885324</v>
      </c>
      <c r="G23">
        <v>9.0264542500798512</v>
      </c>
      <c r="I23">
        <f>C23*100/C9</f>
        <v>12.608899130933569</v>
      </c>
      <c r="J23">
        <f>D23*100/D9</f>
        <v>15.201611231476544</v>
      </c>
      <c r="K23">
        <v>9.0264542500798512</v>
      </c>
      <c r="L23">
        <f>F23*100/F9</f>
        <v>11.718905995496632</v>
      </c>
      <c r="Q23">
        <f>D23*100/(C22+D22)</f>
        <v>3.9533599902314847</v>
      </c>
    </row>
  </sheetData>
  <mergeCells count="10">
    <mergeCell ref="I1:J1"/>
    <mergeCell ref="K1:K2"/>
    <mergeCell ref="L1:L2"/>
    <mergeCell ref="F1:F2"/>
    <mergeCell ref="G1:G2"/>
    <mergeCell ref="C14:D14"/>
    <mergeCell ref="E14:E15"/>
    <mergeCell ref="F14:F15"/>
    <mergeCell ref="E1:E2"/>
    <mergeCell ref="C1:D1"/>
  </mergeCells>
  <pageMargins left="0.75" right="0.75" top="1" bottom="1" header="0.5" footer="0.5"/>
  <pageSetup scale="8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abSelected="1" topLeftCell="A30" workbookViewId="0">
      <selection activeCell="O48" sqref="O48"/>
    </sheetView>
  </sheetViews>
  <sheetFormatPr baseColWidth="10" defaultRowHeight="15" x14ac:dyDescent="0"/>
  <sheetData>
    <row r="2" spans="1:15" ht="30">
      <c r="B2" s="1" t="s">
        <v>60</v>
      </c>
      <c r="C2" t="s">
        <v>65</v>
      </c>
      <c r="E2" t="s">
        <v>70</v>
      </c>
      <c r="F2" t="s">
        <v>32</v>
      </c>
      <c r="H2" t="s">
        <v>116</v>
      </c>
      <c r="I2" t="s">
        <v>70</v>
      </c>
      <c r="J2" t="s">
        <v>32</v>
      </c>
      <c r="K2" t="s">
        <v>47</v>
      </c>
      <c r="L2" t="s">
        <v>71</v>
      </c>
      <c r="M2" t="s">
        <v>52</v>
      </c>
      <c r="N2" t="s">
        <v>55</v>
      </c>
      <c r="O2" t="s">
        <v>64</v>
      </c>
    </row>
    <row r="3" spans="1:15">
      <c r="A3" t="s">
        <v>62</v>
      </c>
      <c r="B3" s="18">
        <v>47.025074225724239</v>
      </c>
      <c r="C3">
        <f>_xlfn.T.TEST(B3:B8,B9:B11,1,2)</f>
        <v>4.2550103541647184E-2</v>
      </c>
      <c r="D3" t="s">
        <v>66</v>
      </c>
      <c r="E3" s="14">
        <f>AVERAGE(B3:B8)</f>
        <v>38.115210196764899</v>
      </c>
      <c r="F3" s="14">
        <f>STDEV(B3:B8)/SQRT(COUNT(B3:B8))</f>
        <v>4.735438780923201</v>
      </c>
      <c r="H3" s="18">
        <v>1.1265250857445059</v>
      </c>
      <c r="I3">
        <f>AVERAGE(H3:H8)</f>
        <v>1.8207138171243893</v>
      </c>
      <c r="J3">
        <f>STDEV(H3:H8)/SQRT(COUNT(H3:H8))</f>
        <v>0.32335446905111853</v>
      </c>
      <c r="L3" t="s">
        <v>30</v>
      </c>
      <c r="M3" s="52">
        <v>4.2747934680829971</v>
      </c>
      <c r="N3" s="52">
        <v>2.4400566691421708</v>
      </c>
      <c r="O3" s="52">
        <v>1.0852095950154377</v>
      </c>
    </row>
    <row r="4" spans="1:15" ht="16" thickBot="1">
      <c r="A4" t="s">
        <v>62</v>
      </c>
      <c r="B4" s="18">
        <v>56.019176476272349</v>
      </c>
      <c r="C4">
        <f>_xlfn.T.TEST(B3:B8,B12:B14,1,2)</f>
        <v>1.0325851173222222E-2</v>
      </c>
      <c r="D4" t="s">
        <v>67</v>
      </c>
      <c r="E4" s="14"/>
      <c r="F4" s="14"/>
      <c r="H4" s="18">
        <v>0.78510300026199609</v>
      </c>
      <c r="L4" t="s">
        <v>32</v>
      </c>
      <c r="M4" s="53">
        <v>0.30952906158514498</v>
      </c>
      <c r="N4" s="53">
        <v>0.45202282952318901</v>
      </c>
      <c r="O4" s="53">
        <v>7.7766878108075754E-2</v>
      </c>
    </row>
    <row r="5" spans="1:15">
      <c r="A5" t="s">
        <v>62</v>
      </c>
      <c r="B5" s="18">
        <v>30.965555338033759</v>
      </c>
      <c r="E5" s="14"/>
      <c r="F5" s="14"/>
      <c r="H5" s="18">
        <v>2.2293946905959077</v>
      </c>
      <c r="L5" t="s">
        <v>72</v>
      </c>
      <c r="M5" s="52">
        <v>18.128078735683332</v>
      </c>
      <c r="N5" s="52">
        <v>12.012364667130273</v>
      </c>
      <c r="O5" s="52">
        <v>13.750978835767379</v>
      </c>
    </row>
    <row r="6" spans="1:15" ht="16" thickBot="1">
      <c r="A6" t="s">
        <v>62</v>
      </c>
      <c r="B6" s="18">
        <v>29.157233390543055</v>
      </c>
      <c r="E6" s="14"/>
      <c r="F6" s="14"/>
      <c r="H6" s="18">
        <v>2.4296806785665166</v>
      </c>
      <c r="M6" s="53">
        <v>1.0744770027747972</v>
      </c>
      <c r="N6" s="53">
        <v>0.9295471610055327</v>
      </c>
      <c r="O6" s="53">
        <v>0.43055668489574067</v>
      </c>
    </row>
    <row r="7" spans="1:15">
      <c r="A7" t="s">
        <v>62</v>
      </c>
      <c r="B7" s="18">
        <v>39.247458596097573</v>
      </c>
      <c r="E7" s="14"/>
      <c r="F7" s="14"/>
      <c r="H7" s="18">
        <v>1.547935677291042</v>
      </c>
    </row>
    <row r="8" spans="1:15">
      <c r="A8" t="s">
        <v>62</v>
      </c>
      <c r="B8" s="18">
        <v>26.27676315391842</v>
      </c>
      <c r="E8" s="14"/>
      <c r="F8" s="14"/>
      <c r="H8" s="18">
        <v>2.8056437702863679</v>
      </c>
      <c r="M8">
        <f>M3/O3</f>
        <v>3.9391408698539805</v>
      </c>
    </row>
    <row r="9" spans="1:15">
      <c r="A9" t="s">
        <v>63</v>
      </c>
      <c r="B9" s="18">
        <v>26.466151363657506</v>
      </c>
      <c r="C9">
        <f>_xlfn.T.TEST(B9:B11,B12:B14,1,2)</f>
        <v>0.12127914655186445</v>
      </c>
      <c r="D9" t="s">
        <v>68</v>
      </c>
      <c r="E9" s="14">
        <f>AVERAGE(B9:B11)</f>
        <v>23.210729788186551</v>
      </c>
      <c r="F9" s="14">
        <f>STDEV(B9:B11)/SQRT(COUNT(B9:B11))</f>
        <v>4.1145028424894114</v>
      </c>
      <c r="H9">
        <v>2.7784110967232234</v>
      </c>
      <c r="I9">
        <f>AVERAGE(H9:H11)</f>
        <v>3.6611488371956251</v>
      </c>
      <c r="J9">
        <f>STDEV(H9:H11)/SQRT(COUNT(H9:H11))</f>
        <v>0.99645260887153331</v>
      </c>
      <c r="K9">
        <f>_xlfn.T.TEST(H3:H8,H9:H11,1,2)</f>
        <v>2.8172389537523865E-2</v>
      </c>
    </row>
    <row r="10" spans="1:15">
      <c r="A10" t="s">
        <v>63</v>
      </c>
      <c r="B10" s="18">
        <v>15.037862493763953</v>
      </c>
      <c r="E10" s="14"/>
      <c r="F10" s="14"/>
      <c r="H10">
        <v>5.6498812608154232</v>
      </c>
    </row>
    <row r="11" spans="1:15">
      <c r="A11" t="s">
        <v>63</v>
      </c>
      <c r="B11" s="18">
        <v>28.128175507138195</v>
      </c>
      <c r="E11" s="14"/>
      <c r="F11" s="14"/>
      <c r="H11">
        <v>2.5551541540482288</v>
      </c>
    </row>
    <row r="12" spans="1:15">
      <c r="A12" t="s">
        <v>64</v>
      </c>
      <c r="B12">
        <v>18.96424620586334</v>
      </c>
      <c r="E12" s="14">
        <f>AVERAGE(B12:B14)</f>
        <v>17.384011953395436</v>
      </c>
      <c r="F12" s="14">
        <f>STDEV(B12:B14)/SQRT(COUNT(B12:B14))</f>
        <v>1.0771374077743991</v>
      </c>
      <c r="H12">
        <v>4.2730806652933104</v>
      </c>
      <c r="I12">
        <f>AVERAGE(H12:H14)</f>
        <v>4.7988317161140985</v>
      </c>
      <c r="J12">
        <f>STDEV(H12:H14)/SQRT(COUNT(H12:H14))</f>
        <v>0.37499407100615811</v>
      </c>
      <c r="K12">
        <f>_xlfn.T.TEST(H3:H8,H12:H14,2,2)</f>
        <v>8.2869502840729242E-4</v>
      </c>
    </row>
    <row r="13" spans="1:15">
      <c r="A13" t="s">
        <v>64</v>
      </c>
      <c r="B13">
        <v>15.32589649665144</v>
      </c>
      <c r="H13">
        <v>5.5249037811164277</v>
      </c>
    </row>
    <row r="14" spans="1:15">
      <c r="A14" t="s">
        <v>64</v>
      </c>
      <c r="B14">
        <v>17.861893157671531</v>
      </c>
      <c r="H14">
        <v>4.5985107019325584</v>
      </c>
    </row>
    <row r="21" spans="1:6">
      <c r="A21" s="51" t="s">
        <v>61</v>
      </c>
    </row>
    <row r="23" spans="1:6">
      <c r="A23" t="s">
        <v>62</v>
      </c>
      <c r="B23" s="18">
        <v>21.955886789492045</v>
      </c>
      <c r="C23">
        <f>_xlfn.T.TEST(B23:B25,B26:B28,1,2)</f>
        <v>5.2568572779731239E-2</v>
      </c>
      <c r="D23" t="s">
        <v>66</v>
      </c>
      <c r="E23">
        <f>AVERAGE(B23:B25)</f>
        <v>19.858536007721792</v>
      </c>
      <c r="F23">
        <f>STDEV(B23:B25)/SQRT(COUNT(B23:B25))</f>
        <v>1.3596120286246676</v>
      </c>
    </row>
    <row r="24" spans="1:6">
      <c r="A24" t="s">
        <v>62</v>
      </c>
      <c r="B24" s="18">
        <v>20.308684949037882</v>
      </c>
      <c r="C24">
        <f>_xlfn.T.TEST(B23:B25,B29:B31,1,2)</f>
        <v>0.20334408036835594</v>
      </c>
      <c r="D24" t="s">
        <v>67</v>
      </c>
    </row>
    <row r="25" spans="1:6">
      <c r="A25" t="s">
        <v>62</v>
      </c>
      <c r="B25" s="18">
        <v>17.311036284635446</v>
      </c>
    </row>
    <row r="26" spans="1:6">
      <c r="A26" t="s">
        <v>63</v>
      </c>
      <c r="B26" s="18">
        <v>30.214458136023481</v>
      </c>
      <c r="E26">
        <f>AVERAGE(B26:B28)</f>
        <v>28.811135122260186</v>
      </c>
      <c r="F26">
        <f>STDEV(B26:B28)/SQRT(COUNT(B26:B28))</f>
        <v>4.0676277545136399</v>
      </c>
    </row>
    <row r="27" spans="1:6">
      <c r="A27" t="s">
        <v>63</v>
      </c>
      <c r="B27" s="18">
        <v>35.049199837438806</v>
      </c>
    </row>
    <row r="28" spans="1:6">
      <c r="A28" t="s">
        <v>63</v>
      </c>
      <c r="B28" s="18">
        <v>21.169747393318278</v>
      </c>
    </row>
    <row r="29" spans="1:6">
      <c r="A29" t="s">
        <v>64</v>
      </c>
      <c r="B29">
        <v>12.831481870270606</v>
      </c>
      <c r="C29">
        <f>_xlfn.T.TEST(B26:B28,B29:B31,1,2)</f>
        <v>3.7995992723980507E-2</v>
      </c>
      <c r="D29" t="s">
        <v>68</v>
      </c>
      <c r="E29">
        <f>AVERAGE(B29:B31)</f>
        <v>16.845063413504864</v>
      </c>
      <c r="F29">
        <f>STDEV(B29:B31)/SQRT(COUNT(B29:B31))</f>
        <v>2.955247233520212</v>
      </c>
    </row>
    <row r="30" spans="1:6">
      <c r="A30" t="s">
        <v>64</v>
      </c>
      <c r="B30">
        <v>22.609357482598067</v>
      </c>
    </row>
    <row r="31" spans="1:6">
      <c r="A31" t="s">
        <v>64</v>
      </c>
      <c r="B31">
        <v>15.094350887645922</v>
      </c>
    </row>
  </sheetData>
  <phoneticPr fontId="10" type="noConversion"/>
  <pageMargins left="0.75" right="0.75" top="1" bottom="1" header="0.5" footer="0.5"/>
  <pageSetup scale="8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L22" sqref="L22"/>
    </sheetView>
  </sheetViews>
  <sheetFormatPr baseColWidth="10" defaultRowHeight="15" x14ac:dyDescent="0"/>
  <sheetData>
    <row r="1" spans="1:15">
      <c r="D1" t="s">
        <v>87</v>
      </c>
      <c r="H1" t="s">
        <v>87</v>
      </c>
      <c r="O1" s="54" t="s">
        <v>83</v>
      </c>
    </row>
    <row r="2" spans="1:15">
      <c r="D2" t="s">
        <v>85</v>
      </c>
      <c r="H2" t="s">
        <v>86</v>
      </c>
      <c r="O2" s="54">
        <f>AVERAGE(7.61,7.6,7.73,7.74)</f>
        <v>7.67</v>
      </c>
    </row>
    <row r="3" spans="1:15">
      <c r="A3" t="s">
        <v>73</v>
      </c>
      <c r="B3" t="s">
        <v>0</v>
      </c>
      <c r="C3" t="s">
        <v>74</v>
      </c>
      <c r="D3" t="s">
        <v>76</v>
      </c>
      <c r="E3" t="s">
        <v>75</v>
      </c>
      <c r="F3" t="s">
        <v>84</v>
      </c>
      <c r="H3" t="s">
        <v>76</v>
      </c>
      <c r="I3" t="s">
        <v>75</v>
      </c>
      <c r="J3" t="s">
        <v>84</v>
      </c>
      <c r="O3" s="50">
        <f>STDEV(7.61,7.6,7.73,7.74)/SQRT(COUNT(7.61,7.6,7.73,7.74))</f>
        <v>3.7638632635454153E-2</v>
      </c>
    </row>
    <row r="4" spans="1:15">
      <c r="B4" s="16">
        <v>41514</v>
      </c>
      <c r="C4">
        <v>1</v>
      </c>
      <c r="D4">
        <v>7.15</v>
      </c>
      <c r="H4">
        <v>7.81</v>
      </c>
    </row>
    <row r="5" spans="1:15">
      <c r="B5" s="16"/>
      <c r="C5">
        <v>3</v>
      </c>
      <c r="D5">
        <v>7.16</v>
      </c>
      <c r="E5">
        <v>6.88</v>
      </c>
      <c r="F5" s="50">
        <f t="shared" ref="F5:F14" si="0">E5*$O$2/D5</f>
        <v>7.3700558659217874</v>
      </c>
      <c r="H5">
        <v>7.81</v>
      </c>
      <c r="I5">
        <v>7.36</v>
      </c>
      <c r="J5" s="50">
        <f t="shared" ref="J5:J14" si="1">I5*$O$2/H5</f>
        <v>7.2280665813060185</v>
      </c>
    </row>
    <row r="6" spans="1:15">
      <c r="B6" s="16">
        <v>41544</v>
      </c>
      <c r="C6">
        <v>1</v>
      </c>
      <c r="D6">
        <v>7.26</v>
      </c>
      <c r="E6">
        <v>6.86</v>
      </c>
      <c r="F6" s="50">
        <f t="shared" si="0"/>
        <v>7.2474104683195595</v>
      </c>
      <c r="H6">
        <v>8.23</v>
      </c>
      <c r="I6">
        <v>7.36</v>
      </c>
      <c r="J6" s="50">
        <f t="shared" si="1"/>
        <v>6.8591980558930734</v>
      </c>
    </row>
    <row r="7" spans="1:15">
      <c r="B7" s="16">
        <v>41555</v>
      </c>
      <c r="C7">
        <v>1</v>
      </c>
      <c r="D7">
        <v>7.2</v>
      </c>
      <c r="E7">
        <v>6.87</v>
      </c>
      <c r="F7" s="50">
        <f t="shared" si="0"/>
        <v>7.3184583333333331</v>
      </c>
      <c r="H7">
        <v>7.92</v>
      </c>
      <c r="I7">
        <v>7.35</v>
      </c>
      <c r="J7" s="50">
        <f t="shared" si="1"/>
        <v>7.1179924242424244</v>
      </c>
    </row>
    <row r="8" spans="1:15">
      <c r="B8" s="16"/>
      <c r="C8" t="s">
        <v>82</v>
      </c>
      <c r="D8">
        <v>7.13</v>
      </c>
      <c r="E8">
        <v>6.8</v>
      </c>
      <c r="F8" s="50">
        <f t="shared" si="0"/>
        <v>7.3150070126227211</v>
      </c>
      <c r="H8">
        <v>7.88</v>
      </c>
      <c r="I8">
        <v>7.32</v>
      </c>
      <c r="J8" s="50">
        <f t="shared" si="1"/>
        <v>7.124923857868021</v>
      </c>
    </row>
    <row r="9" spans="1:15">
      <c r="B9" s="18" t="s">
        <v>42</v>
      </c>
      <c r="C9">
        <v>1</v>
      </c>
      <c r="D9">
        <v>7.22</v>
      </c>
      <c r="E9">
        <v>6.88</v>
      </c>
      <c r="F9" s="50">
        <f t="shared" si="0"/>
        <v>7.3088088642659281</v>
      </c>
      <c r="H9">
        <v>8.0399999999999991</v>
      </c>
      <c r="I9">
        <v>7.39</v>
      </c>
      <c r="J9" s="50">
        <f t="shared" si="1"/>
        <v>7.049912935323384</v>
      </c>
    </row>
    <row r="10" spans="1:15">
      <c r="B10" s="16"/>
      <c r="C10" t="s">
        <v>82</v>
      </c>
      <c r="D10">
        <v>7.13</v>
      </c>
      <c r="E10">
        <v>6.82</v>
      </c>
      <c r="F10" s="50">
        <f t="shared" si="0"/>
        <v>7.3365217391304354</v>
      </c>
      <c r="H10">
        <v>7.81</v>
      </c>
      <c r="I10">
        <v>7.32</v>
      </c>
      <c r="J10" s="50">
        <f t="shared" si="1"/>
        <v>7.1887836107554426</v>
      </c>
    </row>
    <row r="11" spans="1:15">
      <c r="B11" s="3">
        <v>41558</v>
      </c>
      <c r="D11">
        <v>7.29</v>
      </c>
      <c r="E11">
        <v>6.85</v>
      </c>
      <c r="F11" s="50">
        <f t="shared" si="0"/>
        <v>7.2070644718792858</v>
      </c>
      <c r="H11">
        <v>8.41</v>
      </c>
      <c r="I11">
        <v>7.35</v>
      </c>
      <c r="J11" s="50">
        <f t="shared" si="1"/>
        <v>6.7032699167657546</v>
      </c>
    </row>
    <row r="12" spans="1:15">
      <c r="B12" s="16"/>
      <c r="C12" t="s">
        <v>82</v>
      </c>
      <c r="D12">
        <v>7.13</v>
      </c>
      <c r="E12">
        <v>6.77</v>
      </c>
      <c r="F12" s="50">
        <f t="shared" si="0"/>
        <v>7.2827349228611498</v>
      </c>
      <c r="H12">
        <v>8.0500000000000007</v>
      </c>
      <c r="I12">
        <v>7.28</v>
      </c>
      <c r="J12" s="50">
        <f t="shared" si="1"/>
        <v>6.9363478260869558</v>
      </c>
    </row>
    <row r="13" spans="1:15">
      <c r="B13" s="16">
        <v>41754</v>
      </c>
      <c r="C13">
        <v>1</v>
      </c>
      <c r="D13">
        <v>7.31</v>
      </c>
      <c r="E13">
        <v>6.9</v>
      </c>
      <c r="F13" s="50">
        <f t="shared" si="0"/>
        <v>7.2398084815321484</v>
      </c>
      <c r="H13">
        <v>8.5399999999999991</v>
      </c>
      <c r="I13">
        <v>7.42</v>
      </c>
      <c r="J13" s="50">
        <f t="shared" si="1"/>
        <v>6.6640983606557382</v>
      </c>
    </row>
    <row r="14" spans="1:15">
      <c r="C14" t="s">
        <v>82</v>
      </c>
      <c r="D14">
        <v>7.26</v>
      </c>
      <c r="E14">
        <v>6.83</v>
      </c>
      <c r="F14" s="50">
        <f t="shared" si="0"/>
        <v>7.2157162534435262</v>
      </c>
      <c r="H14">
        <v>8.16</v>
      </c>
      <c r="I14">
        <v>7.32</v>
      </c>
      <c r="J14" s="50">
        <f t="shared" si="1"/>
        <v>6.8804411764705886</v>
      </c>
      <c r="L14" t="s">
        <v>88</v>
      </c>
    </row>
    <row r="15" spans="1:15">
      <c r="C15" t="s">
        <v>30</v>
      </c>
      <c r="D15" s="50">
        <f>AVERAGE(D4:D14)</f>
        <v>7.2036363636363641</v>
      </c>
      <c r="E15" s="50">
        <f>AVERAGE(E4:E14)</f>
        <v>6.846000000000001</v>
      </c>
      <c r="F15" s="50">
        <f>AVERAGE(F4:F14)</f>
        <v>7.284158641330988</v>
      </c>
      <c r="G15" s="50"/>
      <c r="H15" s="50">
        <f>AVERAGE(H4:H14)</f>
        <v>8.06</v>
      </c>
      <c r="I15" s="50">
        <f>AVERAGE(I4:I14)</f>
        <v>7.3469999999999995</v>
      </c>
      <c r="J15" s="50">
        <f>AVERAGE(J4:J14)</f>
        <v>6.9753034745367399</v>
      </c>
      <c r="K15" s="50"/>
      <c r="L15" s="50">
        <f>AVERAGE(F5:F14,I5:I14)</f>
        <v>7.3155793206654938</v>
      </c>
    </row>
    <row r="16" spans="1:15">
      <c r="C16" t="s">
        <v>32</v>
      </c>
      <c r="D16" s="50">
        <f>STDEV(D6:D15)/SQRT(COUNT(D6:D15))</f>
        <v>2.1272662522563959E-2</v>
      </c>
      <c r="E16" s="50">
        <f>STDEV(E6:E15)/SQRT(COUNT(E6:E15))</f>
        <v>1.2278436382536713E-2</v>
      </c>
      <c r="F16" s="50">
        <f>STDEV(F6:F15)/SQRT(COUNT(F6:F15))</f>
        <v>1.4409506259099383E-2</v>
      </c>
      <c r="G16" s="50"/>
      <c r="H16" s="50">
        <f>STDEV(H6:H15)/SQRT(COUNT(H6:H15))</f>
        <v>7.316647684105973E-2</v>
      </c>
      <c r="I16" s="50">
        <f>STDEV(I6:I15)/SQRT(COUNT(I6:I15))</f>
        <v>1.2482921666554353E-2</v>
      </c>
      <c r="J16" s="50">
        <f>STDEV(J6:J15)/SQRT(COUNT(J6:J15))</f>
        <v>5.6010471510935404E-2</v>
      </c>
      <c r="K16" s="50"/>
      <c r="L16" s="50">
        <f>STDEV(F5:F14,I5:I14)/SQRT(COUNT(F5:F14,I5:I14))</f>
        <v>1.2644782225890234E-2</v>
      </c>
    </row>
    <row r="17" spans="1:12">
      <c r="D17" s="50"/>
      <c r="E17" s="50"/>
      <c r="G17" s="50"/>
      <c r="H17" s="50"/>
      <c r="I17" s="50"/>
      <c r="K17" s="50"/>
      <c r="L17" s="50"/>
    </row>
    <row r="18" spans="1:12">
      <c r="A18" t="s">
        <v>55</v>
      </c>
      <c r="B18" s="3">
        <v>41817</v>
      </c>
      <c r="C18" t="s">
        <v>77</v>
      </c>
      <c r="D18" s="50">
        <v>7.38</v>
      </c>
      <c r="E18" s="50">
        <v>6.9</v>
      </c>
      <c r="F18" s="50">
        <f>E18*$O$2/D18</f>
        <v>7.1711382113821145</v>
      </c>
      <c r="G18" s="50"/>
      <c r="H18" s="50"/>
      <c r="I18" s="50">
        <v>7.45</v>
      </c>
      <c r="J18" s="50" t="e">
        <f>I18*$O$2/H18</f>
        <v>#DIV/0!</v>
      </c>
      <c r="K18" s="50"/>
      <c r="L18" s="50"/>
    </row>
    <row r="19" spans="1:12">
      <c r="C19" t="s">
        <v>78</v>
      </c>
      <c r="D19" s="50">
        <v>7.39</v>
      </c>
      <c r="E19" s="50">
        <v>6.94</v>
      </c>
      <c r="F19" s="50">
        <f>E19*$O$2/D19</f>
        <v>7.202949932341002</v>
      </c>
      <c r="G19" s="50"/>
      <c r="H19" s="50"/>
      <c r="I19" s="50">
        <v>7.48</v>
      </c>
      <c r="J19" s="50" t="e">
        <f>I19*$O$2/H19</f>
        <v>#DIV/0!</v>
      </c>
      <c r="K19" s="50"/>
      <c r="L19" s="50"/>
    </row>
    <row r="20" spans="1:12">
      <c r="B20" t="s">
        <v>79</v>
      </c>
      <c r="C20" t="s">
        <v>77</v>
      </c>
      <c r="D20" s="50">
        <v>7.23</v>
      </c>
      <c r="E20" s="50">
        <v>6.87</v>
      </c>
      <c r="F20" s="50">
        <f>E20*$O$2/D20</f>
        <v>7.2880912863070542</v>
      </c>
      <c r="G20" s="50"/>
      <c r="H20" s="50">
        <v>8.1</v>
      </c>
      <c r="I20" s="50">
        <v>7.37</v>
      </c>
      <c r="J20" s="50">
        <f>I20*$O$2/H20</f>
        <v>6.9787530864197533</v>
      </c>
      <c r="K20" s="50"/>
      <c r="L20" s="50"/>
    </row>
    <row r="21" spans="1:12">
      <c r="C21" t="s">
        <v>78</v>
      </c>
      <c r="D21" s="50">
        <v>7.16</v>
      </c>
      <c r="E21" s="50">
        <v>6.83</v>
      </c>
      <c r="F21" s="50">
        <f>E21*$O$2/D21</f>
        <v>7.3164944134078214</v>
      </c>
      <c r="G21" s="50" t="s">
        <v>47</v>
      </c>
      <c r="H21" s="50">
        <v>7.1</v>
      </c>
      <c r="I21" s="50">
        <v>7.36</v>
      </c>
      <c r="J21" s="50">
        <f>I21*$O$2/H21</f>
        <v>7.9508732394366204</v>
      </c>
      <c r="K21" s="50"/>
      <c r="L21" s="50"/>
    </row>
    <row r="22" spans="1:12">
      <c r="C22" t="s">
        <v>30</v>
      </c>
      <c r="D22" s="50">
        <f>AVERAGE(D18:D21)</f>
        <v>7.29</v>
      </c>
      <c r="E22" s="50">
        <f>AVERAGE(E18:E21)</f>
        <v>6.8849999999999998</v>
      </c>
      <c r="F22" s="50">
        <f>AVERAGE(F18:F21)</f>
        <v>7.244668460859498</v>
      </c>
      <c r="G22" s="50">
        <f>_xlfn.T.TEST(F5:F14,F18:F21,2,2)</f>
        <v>0.27571396026839412</v>
      </c>
      <c r="H22" s="50">
        <f>AVERAGE(H18:H21)</f>
        <v>7.6</v>
      </c>
      <c r="I22" s="50">
        <f>AVERAGE(I18:I21)</f>
        <v>7.415</v>
      </c>
      <c r="J22" s="50" t="e">
        <f>AVERAGE(J18:J21)</f>
        <v>#DIV/0!</v>
      </c>
      <c r="K22" s="50"/>
      <c r="L22" s="50">
        <f>AVERAGE(F18:F21,I18:I21)</f>
        <v>7.329834230429749</v>
      </c>
    </row>
    <row r="23" spans="1:12">
      <c r="C23" t="s">
        <v>32</v>
      </c>
      <c r="D23" s="50">
        <f>STDEV(D18:D22)/SQRT(COUNT(D18:D22))</f>
        <v>4.3931765272977492E-2</v>
      </c>
      <c r="E23" s="50">
        <f>STDEV(E18:E22)/SQRT(COUNT(E18:E22))</f>
        <v>1.8027756377320004E-2</v>
      </c>
      <c r="F23" s="50">
        <f>STDEV(F18:F22)/SQRT(COUNT(F18:F22))</f>
        <v>2.6637982693212478E-2</v>
      </c>
      <c r="G23" s="50"/>
      <c r="H23" s="50">
        <f>STDEV(H18:H22)/SQRT(COUNT(H18:H22))</f>
        <v>0.28867513459481292</v>
      </c>
      <c r="I23" s="50">
        <f>STDEV(I18:I22)/SQRT(COUNT(I18:I22))</f>
        <v>2.2912878474779224E-2</v>
      </c>
      <c r="J23" s="50" t="e">
        <f>STDEV(J18:J22)/SQRT(COUNT(J18:J22))</f>
        <v>#DIV/0!</v>
      </c>
      <c r="K23" s="50"/>
      <c r="L23" s="50">
        <f>STDEV(F18:F21,I18:I21)/SQRT(COUNT(F18:F21,I18:I21))</f>
        <v>3.8432991057540347E-2</v>
      </c>
    </row>
    <row r="24" spans="1:12">
      <c r="D24" s="50"/>
      <c r="E24" s="50"/>
      <c r="G24" s="50"/>
      <c r="H24" s="50"/>
      <c r="I24" s="50"/>
      <c r="K24" s="50"/>
    </row>
    <row r="25" spans="1:12">
      <c r="A25" t="s">
        <v>64</v>
      </c>
      <c r="B25" s="3">
        <v>41817</v>
      </c>
      <c r="C25" t="s">
        <v>77</v>
      </c>
      <c r="D25" s="50">
        <v>7.23</v>
      </c>
      <c r="E25" s="50"/>
      <c r="H25" s="50">
        <v>8.16</v>
      </c>
      <c r="I25" s="50"/>
      <c r="J25">
        <f>H25-I25</f>
        <v>8.16</v>
      </c>
    </row>
    <row r="26" spans="1:12">
      <c r="C26" t="s">
        <v>78</v>
      </c>
      <c r="D26" s="50">
        <v>7.2</v>
      </c>
      <c r="E26" s="50"/>
      <c r="H26" s="50">
        <v>8</v>
      </c>
      <c r="I26" s="50"/>
      <c r="J26">
        <f>H26-I26</f>
        <v>8</v>
      </c>
    </row>
    <row r="27" spans="1:12">
      <c r="B27" t="s">
        <v>79</v>
      </c>
      <c r="C27" t="s">
        <v>77</v>
      </c>
      <c r="D27" s="50">
        <v>7.19</v>
      </c>
      <c r="E27" s="50"/>
      <c r="H27" s="50">
        <v>8.0500000000000007</v>
      </c>
      <c r="I27" s="50"/>
      <c r="J27">
        <f>H27-I27</f>
        <v>8.0500000000000007</v>
      </c>
    </row>
    <row r="28" spans="1:12">
      <c r="C28" t="s">
        <v>78</v>
      </c>
      <c r="D28" s="50">
        <v>7.19</v>
      </c>
      <c r="E28" s="50"/>
      <c r="H28" s="50">
        <v>8.0500000000000007</v>
      </c>
      <c r="I28" s="50"/>
      <c r="J28">
        <f>H28-I28</f>
        <v>8.0500000000000007</v>
      </c>
    </row>
    <row r="29" spans="1:12">
      <c r="C29" t="s">
        <v>30</v>
      </c>
      <c r="D29" s="50">
        <f>AVERAGE(D25:D28)</f>
        <v>7.2025000000000006</v>
      </c>
      <c r="E29" s="50"/>
      <c r="F29" s="50">
        <v>7.67</v>
      </c>
      <c r="G29" s="50"/>
      <c r="H29" s="50">
        <f>AVERAGE(H25:H28)</f>
        <v>8.0650000000000013</v>
      </c>
      <c r="I29" s="50"/>
      <c r="K29" s="50"/>
      <c r="L29" s="50">
        <f>AVERAGE(D25:D28,H25:H28)</f>
        <v>7.6337499999999991</v>
      </c>
    </row>
    <row r="30" spans="1:12">
      <c r="C30" t="s">
        <v>32</v>
      </c>
      <c r="D30" s="50">
        <f>STDEV(D25:D29)/SQRT(COUNT(D25:D29))</f>
        <v>7.3314391493076005E-3</v>
      </c>
      <c r="F30" s="50">
        <v>7.8073083339381174E-3</v>
      </c>
      <c r="G30" s="50"/>
      <c r="H30" s="50">
        <f>STDEV(H25:H29)/SQRT(COUNT(H25:H29))</f>
        <v>2.6172504656604784E-2</v>
      </c>
      <c r="K30" s="50"/>
      <c r="L30" s="50">
        <f>STDEV(D25:D28,H25:H28)/SQRT(COUNT(D25:D28,H25:H28))</f>
        <v>0.16380451655206929</v>
      </c>
    </row>
  </sheetData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Flux_fit_fixedT1</vt:lpstr>
      <vt:lpstr>Flux_fit</vt:lpstr>
      <vt:lpstr>UOK262</vt:lpstr>
      <vt:lpstr>UMRC6</vt:lpstr>
      <vt:lpstr>HK2</vt:lpstr>
      <vt:lpstr>Summary</vt:lpstr>
      <vt:lpstr>%Ex_Lac</vt:lpstr>
      <vt:lpstr>pHi</vt:lpstr>
      <vt:lpstr>Sheet1</vt:lpstr>
    </vt:vector>
  </TitlesOfParts>
  <Company>UCSF Computer Support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Renuka Sriram</dc:creator>
  <cp:lastModifiedBy>Renuka Sriram</cp:lastModifiedBy>
  <cp:lastPrinted>2015-06-29T22:37:53Z</cp:lastPrinted>
  <dcterms:created xsi:type="dcterms:W3CDTF">2014-04-11T03:13:14Z</dcterms:created>
  <dcterms:modified xsi:type="dcterms:W3CDTF">2015-09-02T15:23:25Z</dcterms:modified>
</cp:coreProperties>
</file>