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3.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https://ariztiacl-my.sharepoint.com/personal/cjimenez_ariztia_com/Documents/Informacion_Prevencion/SGSST/Accidentes/2021/"/>
    </mc:Choice>
  </mc:AlternateContent>
  <xr:revisionPtr revIDLastSave="43" documentId="13_ncr:1_{3152E2A0-CB40-4D9B-8159-FD7DAFFDAEBF}" xr6:coauthVersionLast="47" xr6:coauthVersionMax="47" xr10:uidLastSave="{B36D3D6F-7660-46C9-9DE1-9324EF8A3854}"/>
  <bookViews>
    <workbookView minimized="1" xWindow="4020" yWindow="1905" windowWidth="9090" windowHeight="10050" tabRatio="603" xr2:uid="{00000000-000D-0000-FFFF-FFFF00000000}"/>
  </bookViews>
  <sheets>
    <sheet name="Consolidado Accidentes" sheetId="1" r:id="rId1"/>
    <sheet name="Consolidado Emergencia" sheetId="3" r:id="rId2"/>
    <sheet name="Datos Total" sheetId="5" r:id="rId3"/>
    <sheet name="Gráficos" sheetId="6" r:id="rId4"/>
    <sheet name="Grafica Sup." sheetId="7" r:id="rId5"/>
  </sheets>
  <externalReferences>
    <externalReference r:id="rId6"/>
    <externalReference r:id="rId7"/>
  </externalReferences>
  <definedNames>
    <definedName name="_xlnm._FilterDatabase" localSheetId="0" hidden="1">'Consolidado Accidentes'!$A$6:$AN$337</definedName>
    <definedName name="_xlnm._FilterDatabase" localSheetId="1" hidden="1">'Consolidado Emergencia'!$A$5:$U$5</definedName>
    <definedName name="_xlnm._FilterDatabase" localSheetId="2" hidden="1">'Datos Total'!$B$38:$E$45</definedName>
    <definedName name="accion_insegura" localSheetId="4">[1]Maestro!$M$4:$M$26</definedName>
    <definedName name="accion_insegura">[1]Maestro!$M$4:$M$26</definedName>
    <definedName name="AgenteACC" localSheetId="4">[1]Maestro!$I$4:$I$28</definedName>
    <definedName name="AgenteACC">[1]Maestro!$I$4:$I$28</definedName>
    <definedName name="Areas" localSheetId="4">[1]Maestro!$B$27:$B$35</definedName>
    <definedName name="Areas">[1]Maestro!$B$27:$B$35</definedName>
    <definedName name="condicion_insegura" localSheetId="4">[1]Maestro!$N$4:$N$29</definedName>
    <definedName name="condicion_insegura">[1]Maestro!$N$4:$N$29</definedName>
    <definedName name="DiaSuceso" localSheetId="4">[1]Maestro!$H$4:$H$10</definedName>
    <definedName name="DiaSuceso">[1]Maestro!$H$4:$H$10</definedName>
    <definedName name="investigacion_de_accidentes" localSheetId="4">[1]Maestro!$O$4:$O$8</definedName>
    <definedName name="investigacion_de_accidentes">[1]Maestro!$O$4:$O$8</definedName>
    <definedName name="meses" localSheetId="4">[1]Maestro!$D$2:$D$13</definedName>
    <definedName name="meses">[1]Maestro!$D$2:$D$13</definedName>
    <definedName name="Parte_afectada" localSheetId="4">[1]Maestro!$J$4:$J$32</definedName>
    <definedName name="Parte_afectada">[1]Maestro!$J$4:$J$32</definedName>
    <definedName name="pedropeña" localSheetId="4">[1]Maestro!$B$2:$B$18</definedName>
    <definedName name="pedropeña">[1]Maestro!$B$2:$B$18</definedName>
    <definedName name="tipo_acc" localSheetId="4">[1]Maestro!$L$4:$L$26</definedName>
    <definedName name="tipo_acc">[1]Maestro!$L$4:$L$26</definedName>
    <definedName name="Tipologia_lesion" localSheetId="4">[1]Maestro!$K$4:$K$21</definedName>
    <definedName name="Tipologia_lesion">[1]Maestro!$K$4:$K$21</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2" i="1" l="1"/>
  <c r="K112" i="1" s="1"/>
  <c r="I113" i="1"/>
  <c r="K113" i="1" s="1"/>
  <c r="I114" i="1"/>
  <c r="K114" i="1" s="1"/>
  <c r="I115" i="1"/>
  <c r="K115" i="1" s="1"/>
  <c r="I116" i="1"/>
  <c r="K116" i="1" s="1"/>
  <c r="I117" i="1"/>
  <c r="K117" i="1" s="1"/>
  <c r="I118" i="1"/>
  <c r="K118" i="1" s="1"/>
  <c r="I119" i="1"/>
  <c r="K119" i="1" s="1"/>
  <c r="I120" i="1"/>
  <c r="K120" i="1" s="1"/>
  <c r="I121" i="1"/>
  <c r="K121" i="1" s="1"/>
  <c r="I122" i="1"/>
  <c r="K122" i="1" s="1"/>
  <c r="I123" i="1"/>
  <c r="K123" i="1" s="1"/>
  <c r="I124" i="1"/>
  <c r="K124" i="1" s="1"/>
  <c r="I125" i="1"/>
  <c r="K125" i="1" s="1"/>
  <c r="O125" i="1"/>
  <c r="I126" i="1"/>
  <c r="K126" i="1" s="1"/>
  <c r="I127" i="1"/>
  <c r="K127" i="1" s="1"/>
  <c r="I128" i="1"/>
  <c r="K128" i="1" s="1"/>
  <c r="I129" i="1"/>
  <c r="K129" i="1" s="1"/>
  <c r="I130" i="1"/>
  <c r="K130" i="1" s="1"/>
  <c r="I131" i="1"/>
  <c r="K131" i="1" s="1"/>
  <c r="I132" i="1"/>
  <c r="K132" i="1" s="1"/>
  <c r="I133" i="1"/>
  <c r="K133" i="1" s="1"/>
  <c r="I134" i="1"/>
  <c r="K134" i="1" s="1"/>
  <c r="I135" i="1"/>
  <c r="K135" i="1" s="1"/>
  <c r="I136" i="1"/>
  <c r="K136" i="1" s="1"/>
  <c r="I137" i="1"/>
  <c r="K137" i="1" s="1"/>
  <c r="I138" i="1"/>
  <c r="K138" i="1" s="1"/>
  <c r="I139" i="1"/>
  <c r="K139" i="1" s="1"/>
  <c r="I140" i="1"/>
  <c r="K140" i="1" s="1"/>
  <c r="I141" i="1"/>
  <c r="K141" i="1" s="1"/>
  <c r="I142" i="1"/>
  <c r="K142" i="1" s="1"/>
  <c r="I143" i="1"/>
  <c r="K143" i="1" s="1"/>
  <c r="I144" i="1"/>
  <c r="K144" i="1" s="1"/>
  <c r="I145" i="1"/>
  <c r="K145" i="1" s="1"/>
  <c r="I146" i="1"/>
  <c r="K146" i="1" s="1"/>
  <c r="I147" i="1"/>
  <c r="K147" i="1" s="1"/>
  <c r="I148" i="1"/>
  <c r="K148" i="1" s="1"/>
  <c r="I149" i="1"/>
  <c r="K149" i="1" s="1"/>
  <c r="I150" i="1"/>
  <c r="K150" i="1" s="1"/>
  <c r="I151" i="1"/>
  <c r="K151" i="1" s="1"/>
  <c r="I152" i="1"/>
  <c r="K152" i="1" s="1"/>
  <c r="I153" i="1"/>
  <c r="K153" i="1" s="1"/>
  <c r="I154" i="1"/>
  <c r="K154" i="1" s="1"/>
  <c r="I155" i="1"/>
  <c r="K155" i="1" s="1"/>
  <c r="I156" i="1"/>
  <c r="K156" i="1" s="1"/>
  <c r="I157" i="1"/>
  <c r="K157" i="1" s="1"/>
  <c r="I158" i="1"/>
  <c r="K158" i="1" s="1"/>
  <c r="I159" i="1"/>
  <c r="K159" i="1" s="1"/>
  <c r="I160" i="1"/>
  <c r="K160" i="1" s="1"/>
  <c r="I161" i="1"/>
  <c r="K161" i="1" s="1"/>
  <c r="I162" i="1"/>
  <c r="K162" i="1" s="1"/>
  <c r="I163" i="1"/>
  <c r="K163" i="1" s="1"/>
  <c r="I164" i="1"/>
  <c r="K164" i="1" s="1"/>
  <c r="I165" i="1"/>
  <c r="K165" i="1" s="1"/>
  <c r="I166" i="1"/>
  <c r="K166" i="1" s="1"/>
  <c r="I167" i="1"/>
  <c r="K167" i="1" s="1"/>
  <c r="I168" i="1"/>
  <c r="K168" i="1" s="1"/>
  <c r="I169" i="1"/>
  <c r="K169" i="1" s="1"/>
  <c r="I170" i="1"/>
  <c r="K170" i="1" s="1"/>
  <c r="I171" i="1"/>
  <c r="K171" i="1" s="1"/>
  <c r="I172" i="1"/>
  <c r="K172" i="1" s="1"/>
  <c r="I173" i="1"/>
  <c r="K173" i="1" s="1"/>
  <c r="I174" i="1"/>
  <c r="K174" i="1" s="1"/>
  <c r="I175" i="1"/>
  <c r="K175" i="1" s="1"/>
  <c r="I176" i="1"/>
  <c r="K176" i="1" s="1"/>
  <c r="I177" i="1"/>
  <c r="K177" i="1" s="1"/>
  <c r="I178" i="1"/>
  <c r="K178" i="1" s="1"/>
  <c r="I179" i="1"/>
  <c r="K179" i="1" s="1"/>
  <c r="I180" i="1"/>
  <c r="K180" i="1" s="1"/>
  <c r="I181" i="1"/>
  <c r="K181" i="1" s="1"/>
  <c r="I182" i="1"/>
  <c r="K182" i="1" s="1"/>
  <c r="I183" i="1"/>
  <c r="K183" i="1" s="1"/>
  <c r="I184" i="1"/>
  <c r="K184" i="1" s="1"/>
  <c r="I185" i="1"/>
  <c r="K185" i="1" s="1"/>
  <c r="I186" i="1"/>
  <c r="K186" i="1" s="1"/>
  <c r="I187" i="1"/>
  <c r="K187" i="1" s="1"/>
  <c r="I188" i="1"/>
  <c r="K188" i="1" s="1"/>
  <c r="I189" i="1"/>
  <c r="K189" i="1" s="1"/>
  <c r="I190" i="1"/>
  <c r="K190" i="1" s="1"/>
  <c r="I191" i="1"/>
  <c r="K191" i="1" s="1"/>
  <c r="I192" i="1"/>
  <c r="K192" i="1" s="1"/>
  <c r="I193" i="1"/>
  <c r="K193" i="1" s="1"/>
  <c r="I194" i="1"/>
  <c r="K194" i="1" s="1"/>
  <c r="I195" i="1"/>
  <c r="K195" i="1" s="1"/>
  <c r="I196" i="1"/>
  <c r="K196" i="1" s="1"/>
  <c r="I197" i="1"/>
  <c r="K197" i="1" s="1"/>
  <c r="I198" i="1"/>
  <c r="K198" i="1" s="1"/>
  <c r="I199" i="1"/>
  <c r="K199" i="1" s="1"/>
  <c r="I200" i="1"/>
  <c r="K200" i="1" s="1"/>
  <c r="I201" i="1"/>
  <c r="K201" i="1" s="1"/>
  <c r="I202" i="1"/>
  <c r="K202" i="1" s="1"/>
  <c r="I203" i="1"/>
  <c r="K203" i="1" s="1"/>
  <c r="I204" i="1"/>
  <c r="K204" i="1" s="1"/>
  <c r="I205" i="1"/>
  <c r="K205" i="1" s="1"/>
  <c r="I206" i="1"/>
  <c r="K206" i="1" s="1"/>
  <c r="I207" i="1"/>
  <c r="K207" i="1" s="1"/>
  <c r="I208" i="1"/>
  <c r="K208" i="1" s="1"/>
  <c r="I209" i="1"/>
  <c r="K209" i="1" s="1"/>
  <c r="I210" i="1"/>
  <c r="K210" i="1" s="1"/>
  <c r="I211" i="1"/>
  <c r="K211" i="1" s="1"/>
  <c r="I212" i="1"/>
  <c r="K212" i="1" s="1"/>
  <c r="I213" i="1"/>
  <c r="K213" i="1" s="1"/>
  <c r="I214" i="1"/>
  <c r="K214" i="1" s="1"/>
  <c r="I215" i="1"/>
  <c r="K215" i="1" s="1"/>
  <c r="I216" i="1"/>
  <c r="K216" i="1" s="1"/>
  <c r="I217" i="1"/>
  <c r="K217" i="1" s="1"/>
  <c r="I218" i="1"/>
  <c r="K218" i="1" s="1"/>
  <c r="I219" i="1"/>
  <c r="K219" i="1" s="1"/>
  <c r="I220" i="1"/>
  <c r="K220" i="1" s="1"/>
  <c r="I221" i="1"/>
  <c r="K221" i="1" s="1"/>
  <c r="I222" i="1"/>
  <c r="K222" i="1" s="1"/>
  <c r="I223" i="1"/>
  <c r="K223" i="1" s="1"/>
  <c r="I224" i="1"/>
  <c r="K224" i="1" s="1"/>
  <c r="I225" i="1"/>
  <c r="K225" i="1" s="1"/>
  <c r="I226" i="1"/>
  <c r="K226" i="1" s="1"/>
  <c r="I227" i="1"/>
  <c r="K227" i="1" s="1"/>
  <c r="I228" i="1"/>
  <c r="K228" i="1" s="1"/>
  <c r="I229" i="1"/>
  <c r="K229" i="1" s="1"/>
  <c r="I230" i="1"/>
  <c r="K230" i="1" s="1"/>
  <c r="I231" i="1"/>
  <c r="K231" i="1" s="1"/>
  <c r="I232" i="1"/>
  <c r="K232" i="1" s="1"/>
  <c r="I233" i="1"/>
  <c r="K233" i="1" s="1"/>
  <c r="I234" i="1"/>
  <c r="K234" i="1" s="1"/>
  <c r="I235" i="1"/>
  <c r="K235" i="1" s="1"/>
  <c r="I236" i="1"/>
  <c r="K236" i="1" s="1"/>
  <c r="E124" i="7" l="1"/>
  <c r="E123" i="7"/>
  <c r="E121" i="7"/>
  <c r="E120" i="7"/>
  <c r="C32" i="7"/>
  <c r="E32" i="7"/>
  <c r="D32" i="7"/>
  <c r="C29" i="5" l="1"/>
  <c r="E22" i="7" l="1"/>
  <c r="D22" i="7"/>
  <c r="C22" i="7"/>
  <c r="E44" i="7" l="1"/>
  <c r="E95" i="7"/>
  <c r="E20" i="7"/>
  <c r="D7" i="7"/>
  <c r="M61" i="5" l="1"/>
  <c r="M62" i="5"/>
  <c r="M63" i="5"/>
  <c r="E5" i="7" l="1"/>
  <c r="D5" i="7"/>
  <c r="C5" i="7"/>
  <c r="E21" i="7" l="1"/>
  <c r="D21" i="7"/>
  <c r="C21" i="7"/>
  <c r="H22" i="5" l="1"/>
  <c r="M60" i="5"/>
  <c r="I90" i="1"/>
  <c r="K90" i="1" s="1"/>
  <c r="M59" i="5"/>
  <c r="C153" i="7"/>
  <c r="C27" i="5"/>
  <c r="E92" i="7"/>
  <c r="D92" i="7"/>
  <c r="E93" i="7"/>
  <c r="D93" i="7"/>
  <c r="H40" i="5"/>
  <c r="M58" i="5"/>
  <c r="H4" i="5"/>
  <c r="H6" i="5"/>
  <c r="H7" i="5"/>
  <c r="H9" i="5"/>
  <c r="H10" i="5"/>
  <c r="H8" i="5"/>
  <c r="H11" i="5"/>
  <c r="H12" i="5"/>
  <c r="H13" i="5"/>
  <c r="H15" i="5"/>
  <c r="H14" i="5"/>
  <c r="H16" i="5"/>
  <c r="M6" i="5"/>
  <c r="M4" i="5"/>
  <c r="M19" i="5"/>
  <c r="M15" i="5"/>
  <c r="M14" i="5"/>
  <c r="M13" i="5"/>
  <c r="M12" i="5"/>
  <c r="M11" i="5"/>
  <c r="M10" i="5"/>
  <c r="M8" i="5"/>
  <c r="M9" i="5"/>
  <c r="M5" i="5"/>
  <c r="M7" i="5"/>
  <c r="M23" i="5"/>
  <c r="M22" i="5"/>
  <c r="M21" i="5"/>
  <c r="M20" i="5"/>
  <c r="M24" i="5"/>
  <c r="E91" i="7"/>
  <c r="D91" i="7"/>
  <c r="E90" i="7"/>
  <c r="D90" i="7"/>
  <c r="E86" i="7"/>
  <c r="D86" i="7"/>
  <c r="E87" i="7"/>
  <c r="D87" i="7"/>
  <c r="E88" i="7"/>
  <c r="E89" i="7"/>
  <c r="D94" i="7"/>
  <c r="C94" i="7"/>
  <c r="E94" i="7"/>
  <c r="E85" i="7"/>
  <c r="M57" i="5"/>
  <c r="I111" i="1"/>
  <c r="K111" i="1" s="1"/>
  <c r="I110" i="1"/>
  <c r="K110" i="1" s="1"/>
  <c r="I109" i="1"/>
  <c r="K109" i="1" s="1"/>
  <c r="M52" i="5"/>
  <c r="M53" i="5"/>
  <c r="M54" i="5"/>
  <c r="M55" i="5"/>
  <c r="M56" i="5"/>
  <c r="I108" i="1"/>
  <c r="K108" i="1" s="1"/>
  <c r="I107" i="1"/>
  <c r="K107" i="1" s="1"/>
  <c r="I106" i="1"/>
  <c r="K106" i="1" s="1"/>
  <c r="E74" i="7"/>
  <c r="D74" i="7"/>
  <c r="E73" i="7"/>
  <c r="D73" i="7"/>
  <c r="E72" i="7"/>
  <c r="D72" i="7"/>
  <c r="E59" i="7"/>
  <c r="D59" i="7"/>
  <c r="E58" i="7"/>
  <c r="D58" i="7"/>
  <c r="E47" i="7"/>
  <c r="D47" i="7"/>
  <c r="E46" i="7"/>
  <c r="D46" i="7"/>
  <c r="E45" i="7"/>
  <c r="D45" i="7"/>
  <c r="D44" i="7"/>
  <c r="E35" i="7"/>
  <c r="D35" i="7"/>
  <c r="E34" i="7"/>
  <c r="D34" i="7"/>
  <c r="E33" i="7"/>
  <c r="E23" i="7"/>
  <c r="E19" i="7"/>
  <c r="E18" i="7"/>
  <c r="E17" i="7"/>
  <c r="E8" i="7"/>
  <c r="E7" i="7"/>
  <c r="E6" i="7"/>
  <c r="E3" i="7"/>
  <c r="I105" i="1"/>
  <c r="K105" i="1" s="1"/>
  <c r="E4" i="7"/>
  <c r="D136" i="7"/>
  <c r="C12" i="5" s="1"/>
  <c r="C136" i="7"/>
  <c r="D124" i="7"/>
  <c r="C124" i="7"/>
  <c r="D123" i="7"/>
  <c r="C123" i="7"/>
  <c r="D121" i="7"/>
  <c r="C121" i="7"/>
  <c r="D120" i="7"/>
  <c r="C120" i="7"/>
  <c r="D105" i="7"/>
  <c r="C105" i="7"/>
  <c r="D104" i="7"/>
  <c r="C104" i="7"/>
  <c r="D95" i="7"/>
  <c r="C95" i="7"/>
  <c r="C93" i="7"/>
  <c r="C92" i="7"/>
  <c r="C91" i="7"/>
  <c r="C90" i="7"/>
  <c r="D89" i="7"/>
  <c r="C89" i="7"/>
  <c r="D88" i="7"/>
  <c r="C88" i="7"/>
  <c r="C87" i="7"/>
  <c r="C86" i="7"/>
  <c r="D85" i="7"/>
  <c r="C85" i="7"/>
  <c r="C74" i="7"/>
  <c r="C73" i="7"/>
  <c r="C72" i="7"/>
  <c r="C59" i="7"/>
  <c r="C47" i="7"/>
  <c r="C46" i="7"/>
  <c r="C45" i="7"/>
  <c r="C44" i="7"/>
  <c r="D33" i="7"/>
  <c r="C33" i="7"/>
  <c r="C34" i="7"/>
  <c r="C35" i="7"/>
  <c r="D23" i="7"/>
  <c r="C23" i="7"/>
  <c r="D20" i="7"/>
  <c r="D19" i="7"/>
  <c r="D18" i="7"/>
  <c r="D17" i="7"/>
  <c r="C17" i="7"/>
  <c r="D3" i="7"/>
  <c r="D4" i="7"/>
  <c r="D8" i="7"/>
  <c r="D6" i="7"/>
  <c r="I104" i="1"/>
  <c r="K104" i="1" s="1"/>
  <c r="I103" i="1"/>
  <c r="K103" i="1" s="1"/>
  <c r="I102" i="1"/>
  <c r="K102" i="1" s="1"/>
  <c r="I101" i="1"/>
  <c r="K101" i="1" s="1"/>
  <c r="I100" i="1"/>
  <c r="K100" i="1" s="1"/>
  <c r="I99" i="1"/>
  <c r="K99" i="1" s="1"/>
  <c r="I98" i="1"/>
  <c r="K98" i="1" s="1"/>
  <c r="I97" i="1"/>
  <c r="K97" i="1" s="1"/>
  <c r="I96" i="1"/>
  <c r="K96" i="1" s="1"/>
  <c r="I95" i="1"/>
  <c r="K95" i="1" s="1"/>
  <c r="S15" i="5"/>
  <c r="S14" i="5"/>
  <c r="S13" i="5"/>
  <c r="S12" i="5"/>
  <c r="S9" i="5"/>
  <c r="S11" i="5"/>
  <c r="S10" i="5"/>
  <c r="S7" i="5"/>
  <c r="S6" i="5"/>
  <c r="S5" i="5"/>
  <c r="S8" i="5"/>
  <c r="S4" i="5"/>
  <c r="S20" i="5"/>
  <c r="S25" i="5"/>
  <c r="S24" i="5"/>
  <c r="S19" i="5"/>
  <c r="S23" i="5"/>
  <c r="S21" i="5"/>
  <c r="S22" i="5"/>
  <c r="I93" i="1"/>
  <c r="K93" i="1" s="1"/>
  <c r="I94" i="1"/>
  <c r="K94" i="1" s="1"/>
  <c r="I92" i="1"/>
  <c r="K92" i="1" s="1"/>
  <c r="I91" i="1"/>
  <c r="K91" i="1" s="1"/>
  <c r="I89" i="1"/>
  <c r="K89" i="1" s="1"/>
  <c r="I88" i="1"/>
  <c r="K88" i="1" s="1"/>
  <c r="I87" i="1"/>
  <c r="K87" i="1" s="1"/>
  <c r="I86" i="1"/>
  <c r="K86" i="1" s="1"/>
  <c r="I85" i="1"/>
  <c r="K85" i="1" s="1"/>
  <c r="I84" i="1"/>
  <c r="K84" i="1" s="1"/>
  <c r="I83" i="1"/>
  <c r="K83" i="1" s="1"/>
  <c r="I82" i="1"/>
  <c r="K82" i="1" s="1"/>
  <c r="I81" i="1"/>
  <c r="K81" i="1" s="1"/>
  <c r="I80" i="1"/>
  <c r="K80" i="1" s="1"/>
  <c r="I79" i="1"/>
  <c r="K79" i="1" s="1"/>
  <c r="I78" i="1"/>
  <c r="K78" i="1" s="1"/>
  <c r="I77" i="1"/>
  <c r="K77" i="1" s="1"/>
  <c r="I76" i="1"/>
  <c r="K76" i="1" s="1"/>
  <c r="I75" i="1"/>
  <c r="K75" i="1" s="1"/>
  <c r="I74" i="1"/>
  <c r="K74" i="1" s="1"/>
  <c r="I65" i="1"/>
  <c r="K65" i="1" s="1"/>
  <c r="I66" i="1"/>
  <c r="K66" i="1" s="1"/>
  <c r="I67" i="1"/>
  <c r="K67" i="1" s="1"/>
  <c r="I68" i="1"/>
  <c r="K68" i="1" s="1"/>
  <c r="I69" i="1"/>
  <c r="K69" i="1" s="1"/>
  <c r="I70" i="1"/>
  <c r="K70" i="1" s="1"/>
  <c r="I71" i="1"/>
  <c r="K71" i="1" s="1"/>
  <c r="I72" i="1"/>
  <c r="K72" i="1" s="1"/>
  <c r="I73" i="1"/>
  <c r="K73" i="1" s="1"/>
  <c r="H41" i="5"/>
  <c r="I64" i="1"/>
  <c r="K64" i="1" s="1"/>
  <c r="I63" i="1"/>
  <c r="K63" i="1" s="1"/>
  <c r="I62" i="1"/>
  <c r="K62" i="1" s="1"/>
  <c r="I61" i="1"/>
  <c r="K61" i="1" s="1"/>
  <c r="H31" i="5"/>
  <c r="I60" i="1"/>
  <c r="K60" i="1" s="1"/>
  <c r="I59" i="1"/>
  <c r="K59" i="1" s="1"/>
  <c r="I58" i="1"/>
  <c r="K58" i="1" s="1"/>
  <c r="C24" i="5"/>
  <c r="I57" i="1"/>
  <c r="K57" i="1" s="1"/>
  <c r="I56" i="1"/>
  <c r="K56" i="1" s="1"/>
  <c r="I55" i="1"/>
  <c r="K55" i="1" s="1"/>
  <c r="I54" i="1"/>
  <c r="K54" i="1" s="1"/>
  <c r="I53" i="1"/>
  <c r="K53" i="1" s="1"/>
  <c r="C25" i="5"/>
  <c r="I52" i="1"/>
  <c r="K52" i="1" s="1"/>
  <c r="I51" i="1"/>
  <c r="K51" i="1" s="1"/>
  <c r="I40" i="1"/>
  <c r="K40" i="1" s="1"/>
  <c r="I41" i="1"/>
  <c r="K41" i="1" s="1"/>
  <c r="I42" i="1"/>
  <c r="K42" i="1" s="1"/>
  <c r="I43" i="1"/>
  <c r="K43" i="1" s="1"/>
  <c r="I44" i="1"/>
  <c r="K44" i="1" s="1"/>
  <c r="I45" i="1"/>
  <c r="K45" i="1" s="1"/>
  <c r="I46" i="1"/>
  <c r="K46" i="1" s="1"/>
  <c r="I47" i="1"/>
  <c r="K47" i="1" s="1"/>
  <c r="I48" i="1"/>
  <c r="K48" i="1" s="1"/>
  <c r="I49" i="1"/>
  <c r="K49" i="1" s="1"/>
  <c r="I50" i="1"/>
  <c r="K50" i="1" s="1"/>
  <c r="D155" i="7"/>
  <c r="E155" i="7"/>
  <c r="I39" i="1"/>
  <c r="K39" i="1" s="1"/>
  <c r="I38" i="1"/>
  <c r="K38" i="1" s="1"/>
  <c r="I37" i="1"/>
  <c r="K37" i="1" s="1"/>
  <c r="I36" i="1"/>
  <c r="K36" i="1" s="1"/>
  <c r="I35" i="1"/>
  <c r="K35" i="1" s="1"/>
  <c r="I34" i="1"/>
  <c r="K34" i="1" s="1"/>
  <c r="I33" i="1"/>
  <c r="K33" i="1" s="1"/>
  <c r="I32" i="1"/>
  <c r="K32" i="1" s="1"/>
  <c r="C154" i="7"/>
  <c r="C155" i="7" s="1"/>
  <c r="I31" i="1"/>
  <c r="K31" i="1" s="1"/>
  <c r="C20" i="5"/>
  <c r="C31" i="5"/>
  <c r="I30" i="1"/>
  <c r="K30" i="1" s="1"/>
  <c r="I29" i="1"/>
  <c r="K29" i="1" s="1"/>
  <c r="I27" i="1"/>
  <c r="K27" i="1" s="1"/>
  <c r="I28" i="1"/>
  <c r="K28" i="1" s="1"/>
  <c r="I26" i="1"/>
  <c r="K26" i="1" s="1"/>
  <c r="I23" i="1"/>
  <c r="K23" i="1" s="1"/>
  <c r="I24" i="1"/>
  <c r="K24" i="1" s="1"/>
  <c r="I25" i="1"/>
  <c r="K25" i="1" s="1"/>
  <c r="I22" i="1"/>
  <c r="K22" i="1" s="1"/>
  <c r="C44" i="5"/>
  <c r="I19" i="1"/>
  <c r="K19" i="1" s="1"/>
  <c r="I20" i="1"/>
  <c r="K20" i="1" s="1"/>
  <c r="I18" i="1"/>
  <c r="K18" i="1" s="1"/>
  <c r="C30" i="5"/>
  <c r="C26" i="5"/>
  <c r="I15" i="1"/>
  <c r="K15" i="1" s="1"/>
  <c r="I16" i="1"/>
  <c r="K16" i="1" s="1"/>
  <c r="I17" i="1"/>
  <c r="K17" i="1" s="1"/>
  <c r="I10" i="1"/>
  <c r="K10" i="1" s="1"/>
  <c r="I9" i="1"/>
  <c r="K9" i="1" s="1"/>
  <c r="I11" i="1"/>
  <c r="K11" i="1" s="1"/>
  <c r="I12" i="1"/>
  <c r="K12" i="1" s="1"/>
  <c r="I13" i="1"/>
  <c r="K13" i="1" s="1"/>
  <c r="I14" i="1"/>
  <c r="K14" i="1" s="1"/>
  <c r="I8" i="1"/>
  <c r="K8" i="1" s="1"/>
  <c r="C18" i="5"/>
  <c r="I7" i="1"/>
  <c r="K7" i="1" s="1"/>
  <c r="C58" i="5"/>
  <c r="C57" i="5"/>
  <c r="E106" i="7"/>
  <c r="E125" i="7"/>
  <c r="H29" i="5"/>
  <c r="H33" i="5"/>
  <c r="H34" i="5"/>
  <c r="H39" i="5"/>
  <c r="H35" i="5"/>
  <c r="H36" i="5"/>
  <c r="H37" i="5"/>
  <c r="H43" i="5"/>
  <c r="H44" i="5"/>
  <c r="H45" i="5"/>
  <c r="H42" i="5"/>
  <c r="H38" i="5"/>
  <c r="C41" i="5"/>
  <c r="H32" i="5"/>
  <c r="H27" i="5"/>
  <c r="H30" i="5"/>
  <c r="H28" i="5"/>
  <c r="C43" i="5"/>
  <c r="C42" i="5"/>
  <c r="C39" i="5"/>
  <c r="C45" i="5"/>
  <c r="C40" i="5"/>
  <c r="H5" i="5"/>
  <c r="C33" i="5"/>
  <c r="C32" i="5"/>
  <c r="C28" i="5"/>
  <c r="C23" i="5"/>
  <c r="C21" i="5"/>
  <c r="C22" i="5"/>
  <c r="C19" i="5"/>
  <c r="M36" i="5"/>
  <c r="M35" i="5"/>
  <c r="M41" i="5"/>
  <c r="M40" i="5"/>
  <c r="M30" i="5"/>
  <c r="M29" i="5"/>
  <c r="M28" i="5"/>
  <c r="M27" i="5"/>
  <c r="M48" i="5"/>
  <c r="M47" i="5"/>
  <c r="M46" i="5"/>
  <c r="M45" i="5"/>
  <c r="M25" i="5"/>
  <c r="C20" i="7"/>
  <c r="C18" i="7"/>
  <c r="C19" i="7"/>
  <c r="C58" i="7"/>
  <c r="C8" i="7"/>
  <c r="C7" i="7"/>
  <c r="C6" i="7"/>
  <c r="C4" i="7"/>
  <c r="M26" i="5"/>
  <c r="H53" i="5"/>
  <c r="C3" i="7"/>
  <c r="H54" i="5"/>
  <c r="H52" i="5"/>
  <c r="H51" i="5"/>
  <c r="D60" i="7"/>
  <c r="C10" i="5" s="1"/>
  <c r="S26" i="5" l="1"/>
  <c r="T20" i="5" s="1"/>
  <c r="E75" i="7"/>
  <c r="D48" i="7"/>
  <c r="C6" i="5" s="1"/>
  <c r="H19" i="5"/>
  <c r="I15" i="5" s="1"/>
  <c r="M65" i="5"/>
  <c r="N59" i="5" s="1"/>
  <c r="C60" i="7"/>
  <c r="C125" i="7"/>
  <c r="D75" i="7"/>
  <c r="C11" i="5" s="1"/>
  <c r="C106" i="7"/>
  <c r="D36" i="7"/>
  <c r="C9" i="5" s="1"/>
  <c r="C75" i="7"/>
  <c r="M42" i="5"/>
  <c r="N41" i="5" s="1"/>
  <c r="D24" i="7"/>
  <c r="C5" i="5" s="1"/>
  <c r="C48" i="7"/>
  <c r="D96" i="7"/>
  <c r="C7" i="5" s="1"/>
  <c r="M37" i="5"/>
  <c r="N36" i="5" s="1"/>
  <c r="S31" i="5"/>
  <c r="C51" i="5"/>
  <c r="C53" i="5"/>
  <c r="S35" i="5"/>
  <c r="S30" i="5"/>
  <c r="S36" i="5"/>
  <c r="S37" i="5"/>
  <c r="C52" i="5"/>
  <c r="S32" i="5"/>
  <c r="M49" i="5"/>
  <c r="N46" i="5" s="1"/>
  <c r="C36" i="5"/>
  <c r="D33" i="5" s="1"/>
  <c r="C96" i="7"/>
  <c r="M16" i="5"/>
  <c r="N7" i="5" s="1"/>
  <c r="C24" i="7"/>
  <c r="C59" i="5"/>
  <c r="D57" i="5" s="1"/>
  <c r="D9" i="7"/>
  <c r="E9" i="7"/>
  <c r="E24" i="7"/>
  <c r="E36" i="7"/>
  <c r="E48" i="7"/>
  <c r="E60" i="7"/>
  <c r="C9" i="7"/>
  <c r="C36" i="7"/>
  <c r="H24" i="5"/>
  <c r="H48" i="5" s="1"/>
  <c r="S16" i="5"/>
  <c r="T14" i="5" s="1"/>
  <c r="E96" i="7"/>
  <c r="D106" i="7"/>
  <c r="C13" i="5" s="1"/>
  <c r="D125" i="7"/>
  <c r="C8" i="5" s="1"/>
  <c r="C47" i="5"/>
  <c r="M32" i="5"/>
  <c r="N25" i="5" s="1"/>
  <c r="D27" i="5" l="1"/>
  <c r="I45" i="5"/>
  <c r="H55" i="5"/>
  <c r="I52" i="5" s="1"/>
  <c r="N4" i="7"/>
  <c r="T23" i="5"/>
  <c r="T12" i="5"/>
  <c r="I13" i="5"/>
  <c r="I6" i="5"/>
  <c r="I7" i="5"/>
  <c r="I10" i="5"/>
  <c r="I14" i="5"/>
  <c r="I12" i="5"/>
  <c r="I4" i="5"/>
  <c r="J4" i="5" s="1"/>
  <c r="I8" i="5"/>
  <c r="I5" i="5"/>
  <c r="I9" i="5"/>
  <c r="I11" i="5"/>
  <c r="I16" i="5"/>
  <c r="N35" i="5"/>
  <c r="O35" i="5" s="1"/>
  <c r="O36" i="5" s="1"/>
  <c r="N6" i="7"/>
  <c r="N4" i="5"/>
  <c r="O4" i="5" s="1"/>
  <c r="N11" i="5"/>
  <c r="N48" i="5"/>
  <c r="T6" i="5"/>
  <c r="T7" i="5"/>
  <c r="T9" i="5"/>
  <c r="N14" i="5"/>
  <c r="N15" i="5"/>
  <c r="N9" i="5"/>
  <c r="N8" i="5"/>
  <c r="T13" i="5"/>
  <c r="T24" i="5"/>
  <c r="N12" i="5"/>
  <c r="N6" i="5"/>
  <c r="N10" i="5"/>
  <c r="D24" i="5"/>
  <c r="N40" i="5"/>
  <c r="N45" i="5"/>
  <c r="O45" i="5" s="1"/>
  <c r="O46" i="5" s="1"/>
  <c r="D28" i="5"/>
  <c r="N61" i="5"/>
  <c r="C4" i="5"/>
  <c r="N5" i="5"/>
  <c r="N13" i="5"/>
  <c r="D20" i="5"/>
  <c r="S33" i="5"/>
  <c r="T31" i="5" s="1"/>
  <c r="T8" i="5"/>
  <c r="T4" i="5"/>
  <c r="D23" i="5"/>
  <c r="D31" i="5"/>
  <c r="D25" i="5"/>
  <c r="D32" i="5"/>
  <c r="D58" i="5"/>
  <c r="D59" i="5" s="1"/>
  <c r="D19" i="5"/>
  <c r="D26" i="5"/>
  <c r="D18" i="5"/>
  <c r="E18" i="5" s="1"/>
  <c r="D22" i="5"/>
  <c r="N3" i="7"/>
  <c r="D21" i="5"/>
  <c r="D30" i="5"/>
  <c r="D29" i="5"/>
  <c r="S38" i="5"/>
  <c r="T35" i="5" s="1"/>
  <c r="N53" i="5"/>
  <c r="N56" i="5"/>
  <c r="N47" i="5"/>
  <c r="N52" i="5"/>
  <c r="N54" i="5"/>
  <c r="N58" i="5"/>
  <c r="N55" i="5"/>
  <c r="T11" i="5"/>
  <c r="T5" i="5"/>
  <c r="T25" i="5"/>
  <c r="C54" i="5"/>
  <c r="T19" i="5"/>
  <c r="T22" i="5"/>
  <c r="T21" i="5"/>
  <c r="T10" i="5"/>
  <c r="T15" i="5"/>
  <c r="E57" i="5"/>
  <c r="I40" i="5"/>
  <c r="I38" i="5"/>
  <c r="I42" i="5"/>
  <c r="I44" i="5"/>
  <c r="I29" i="5"/>
  <c r="I37" i="5"/>
  <c r="I33" i="5"/>
  <c r="I43" i="5"/>
  <c r="I34" i="5"/>
  <c r="I39" i="5"/>
  <c r="I27" i="5"/>
  <c r="J27" i="5" s="1"/>
  <c r="I35" i="5"/>
  <c r="I36" i="5"/>
  <c r="I41" i="5"/>
  <c r="I31" i="5"/>
  <c r="I32" i="5"/>
  <c r="I30" i="5"/>
  <c r="I28" i="5"/>
  <c r="D39" i="5"/>
  <c r="E39" i="5" s="1"/>
  <c r="D41" i="5"/>
  <c r="D44" i="5"/>
  <c r="D45" i="5"/>
  <c r="D43" i="5"/>
  <c r="D40" i="5"/>
  <c r="D42" i="5"/>
  <c r="N63" i="5"/>
  <c r="N57" i="5"/>
  <c r="N60" i="5"/>
  <c r="N62" i="5"/>
  <c r="N19" i="5"/>
  <c r="N23" i="5"/>
  <c r="N22" i="5"/>
  <c r="N24" i="5"/>
  <c r="N21" i="5"/>
  <c r="N29" i="5"/>
  <c r="N26" i="5"/>
  <c r="N20" i="5"/>
  <c r="N28" i="5"/>
  <c r="N27" i="5"/>
  <c r="N30" i="5"/>
  <c r="I53" i="5" l="1"/>
  <c r="I51" i="5"/>
  <c r="J51" i="5" s="1"/>
  <c r="I54" i="5"/>
  <c r="N42" i="5"/>
  <c r="N7" i="7"/>
  <c r="C16" i="5"/>
  <c r="D14" i="5" s="1"/>
  <c r="J5" i="5"/>
  <c r="J6" i="5" s="1"/>
  <c r="J7" i="5" s="1"/>
  <c r="I19" i="5"/>
  <c r="N37" i="5"/>
  <c r="N49" i="5"/>
  <c r="O40" i="5"/>
  <c r="O41" i="5" s="1"/>
  <c r="N16" i="5"/>
  <c r="O47" i="5"/>
  <c r="O48" i="5" s="1"/>
  <c r="D36" i="5"/>
  <c r="T36" i="5"/>
  <c r="T37" i="5"/>
  <c r="E58" i="5"/>
  <c r="T32" i="5"/>
  <c r="T30" i="5"/>
  <c r="N65" i="5"/>
  <c r="D51" i="5"/>
  <c r="D53" i="5"/>
  <c r="D52" i="5"/>
  <c r="I48" i="5"/>
  <c r="D47" i="5"/>
  <c r="N32" i="5"/>
  <c r="I55" i="5" l="1"/>
  <c r="D5" i="5"/>
  <c r="D7" i="5"/>
  <c r="D12" i="5"/>
  <c r="D13" i="5"/>
  <c r="D11" i="5"/>
  <c r="D8" i="5"/>
  <c r="D10" i="5"/>
  <c r="D9" i="5"/>
  <c r="D6" i="5"/>
  <c r="D4" i="5"/>
  <c r="E4" i="5" s="1"/>
  <c r="D54" i="5"/>
  <c r="E51" i="5"/>
  <c r="E52" i="5" s="1"/>
  <c r="E53" i="5" s="1"/>
  <c r="E5" i="5" l="1"/>
  <c r="E6" i="5" s="1"/>
  <c r="E7" i="5" s="1"/>
  <c r="E8" i="5" s="1"/>
  <c r="E9" i="5" s="1"/>
  <c r="E10" i="5" s="1"/>
  <c r="E11" i="5" s="1"/>
  <c r="E12" i="5" s="1"/>
  <c r="E13" i="5" s="1"/>
  <c r="E14" i="5" s="1"/>
  <c r="D16" i="5"/>
  <c r="J52" i="5"/>
  <c r="J53" i="5" s="1"/>
  <c r="J54" i="5" s="1"/>
  <c r="J28" i="5"/>
  <c r="J29" i="5" s="1"/>
  <c r="J30" i="5" s="1"/>
  <c r="J31" i="5" s="1"/>
  <c r="J32" i="5" s="1"/>
  <c r="J33" i="5" s="1"/>
  <c r="J34" i="5" s="1"/>
  <c r="J35" i="5" s="1"/>
  <c r="J36" i="5" s="1"/>
  <c r="J37" i="5" s="1"/>
  <c r="J38" i="5" s="1"/>
  <c r="J39" i="5" s="1"/>
  <c r="J40" i="5" s="1"/>
  <c r="J41" i="5" s="1"/>
  <c r="J42" i="5" s="1"/>
  <c r="J43" i="5" s="1"/>
  <c r="J44" i="5" s="1"/>
  <c r="J45" i="5" s="1"/>
  <c r="O5" i="5"/>
  <c r="O6" i="5" s="1"/>
  <c r="O7" i="5" s="1"/>
  <c r="O8" i="5" s="1"/>
  <c r="O9" i="5" s="1"/>
  <c r="O10" i="5" s="1"/>
  <c r="O11" i="5" s="1"/>
  <c r="O12" i="5" s="1"/>
  <c r="O13" i="5" s="1"/>
  <c r="O14" i="5" s="1"/>
  <c r="O15" i="5" s="1"/>
  <c r="J8" i="5"/>
  <c r="J9" i="5" s="1"/>
  <c r="J10" i="5" s="1"/>
  <c r="J11" i="5" s="1"/>
  <c r="J12" i="5" s="1"/>
  <c r="J13" i="5" s="1"/>
  <c r="J14" i="5" s="1"/>
  <c r="J15" i="5" s="1"/>
  <c r="J16" i="5" s="1"/>
  <c r="E19" i="5"/>
  <c r="E20" i="5" s="1"/>
  <c r="E21" i="5" s="1"/>
  <c r="E22" i="5" s="1"/>
  <c r="E23" i="5" s="1"/>
  <c r="E24" i="5" s="1"/>
  <c r="E25" i="5" s="1"/>
  <c r="E26" i="5" s="1"/>
  <c r="E27" i="5" s="1"/>
  <c r="E28" i="5" s="1"/>
  <c r="E29" i="5" s="1"/>
  <c r="E30" i="5" s="1"/>
  <c r="E31" i="5" s="1"/>
  <c r="E32" i="5" s="1"/>
  <c r="E33" i="5" s="1"/>
  <c r="E40" i="5"/>
  <c r="E41" i="5" s="1"/>
  <c r="E42" i="5" s="1"/>
  <c r="E43" i="5" s="1"/>
  <c r="E44" i="5" s="1"/>
  <c r="E45" i="5" s="1"/>
</calcChain>
</file>

<file path=xl/sharedStrings.xml><?xml version="1.0" encoding="utf-8"?>
<sst xmlns="http://schemas.openxmlformats.org/spreadsheetml/2006/main" count="6665" uniqueCount="1545">
  <si>
    <t>FORMATO CONSOLIDADO DE INCIDENTES</t>
  </si>
  <si>
    <t>AÑO</t>
  </si>
  <si>
    <t>MES</t>
  </si>
  <si>
    <t>PLANTA</t>
  </si>
  <si>
    <t>APELLIDOS</t>
  </si>
  <si>
    <t>NOMBRE</t>
  </si>
  <si>
    <t>GENERO</t>
  </si>
  <si>
    <t>RUT</t>
  </si>
  <si>
    <t>FECHA CONTRATO</t>
  </si>
  <si>
    <t>MESES INTERNO</t>
  </si>
  <si>
    <t>FECHA INCCIDENTE</t>
  </si>
  <si>
    <t>ANTIGÜEDAD</t>
  </si>
  <si>
    <t>FECHA INGRESO MUTUALIDAD</t>
  </si>
  <si>
    <t>FECHA ALTA</t>
  </si>
  <si>
    <t>REINGRESO</t>
  </si>
  <si>
    <t>DP</t>
  </si>
  <si>
    <t>CLASIF ACC</t>
  </si>
  <si>
    <t>POTENCIAL
GRAVE - FATAL</t>
  </si>
  <si>
    <t>CLASIFICACION LGF</t>
  </si>
  <si>
    <t>AREA</t>
  </si>
  <si>
    <t>SECCION</t>
  </si>
  <si>
    <t>CARGO</t>
  </si>
  <si>
    <t>LUGAR ACC</t>
  </si>
  <si>
    <t>MAQUINA Y/O EQUIPO</t>
  </si>
  <si>
    <t>TURNO</t>
  </si>
  <si>
    <t>HORA</t>
  </si>
  <si>
    <t>DIA</t>
  </si>
  <si>
    <t>SEMANA</t>
  </si>
  <si>
    <t>ADEXUS</t>
  </si>
  <si>
    <t>NC</t>
  </si>
  <si>
    <t>JEFE AREA</t>
  </si>
  <si>
    <t>SUPERVISOR</t>
  </si>
  <si>
    <t>EDAD</t>
  </si>
  <si>
    <t>AGENTE ACC</t>
  </si>
  <si>
    <t>PARTE AFECTADA</t>
  </si>
  <si>
    <t xml:space="preserve">NATURALEZA DE LA LESION </t>
  </si>
  <si>
    <t>TIPO ACCIDENTE</t>
  </si>
  <si>
    <t>DESCRIPCION LESION</t>
  </si>
  <si>
    <t>ACCION - CONDICION</t>
  </si>
  <si>
    <t>TRABAJO HABITUAL</t>
  </si>
  <si>
    <t>DERIVACION ACHS</t>
  </si>
  <si>
    <t>ENERO</t>
  </si>
  <si>
    <t>EL PAICO</t>
  </si>
  <si>
    <t>Manzo Miranda</t>
  </si>
  <si>
    <t xml:space="preserve">Luis </t>
  </si>
  <si>
    <t>Masculino</t>
  </si>
  <si>
    <t>16291173-2</t>
  </si>
  <si>
    <t>STP</t>
  </si>
  <si>
    <t>P. POSTERIORES</t>
  </si>
  <si>
    <t>PULPA</t>
  </si>
  <si>
    <t>OPERARIO</t>
  </si>
  <si>
    <t>MAQUINA BADDER</t>
  </si>
  <si>
    <t>Mañana</t>
  </si>
  <si>
    <t>Lunes</t>
  </si>
  <si>
    <t>Semana 1</t>
  </si>
  <si>
    <t>OCTAVIO MUÑOZ</t>
  </si>
  <si>
    <t>MARCO QUINTANILLA</t>
  </si>
  <si>
    <t>Maquinarias</t>
  </si>
  <si>
    <t>Manos / dedos</t>
  </si>
  <si>
    <t>Contusion</t>
  </si>
  <si>
    <t>Golpeado por</t>
  </si>
  <si>
    <t>TRABAJADOR ARMANDO EQUIPO BADDER EN PULPA OTRO COMPAÑERO DA EL CIERRE DE LA COMPUERTA DEL EQUIPO AL NO EVIDENCIAR QUE ESTABA SU COMPAÑERO AUN INCORRECTAMENTE POSICIONADO APOYADO EN EL CIERRE DE LA PUERTA LE GENERA UN APRETON EN SU DEDO MEDIO DE LA MANO IZQUIERDA</t>
  </si>
  <si>
    <t>ACCION</t>
  </si>
  <si>
    <t>SI</t>
  </si>
  <si>
    <t>NO</t>
  </si>
  <si>
    <t xml:space="preserve">Sánchez Cabrera </t>
  </si>
  <si>
    <t xml:space="preserve">Leonel </t>
  </si>
  <si>
    <t>14007427-6</t>
  </si>
  <si>
    <t>CTP</t>
  </si>
  <si>
    <t>TROZADO DE PAVO</t>
  </si>
  <si>
    <t>LAMINADO BANDEJAS</t>
  </si>
  <si>
    <t>N/A</t>
  </si>
  <si>
    <t>Martes</t>
  </si>
  <si>
    <t>001-21</t>
  </si>
  <si>
    <t>GUILLERMO NARVAEZ</t>
  </si>
  <si>
    <t>JAQUELINE PAVEZ</t>
  </si>
  <si>
    <t>Bandejas</t>
  </si>
  <si>
    <t>Pelvis</t>
  </si>
  <si>
    <t>Golpeado contra</t>
  </si>
  <si>
    <t>En proceso de Acopio Bandejas Trabajador, acomodando materiales de forma inadecuada, lo que genera que se golpe en la pelvis con badeja.</t>
  </si>
  <si>
    <t>Febres Perez</t>
  </si>
  <si>
    <t xml:space="preserve">Eugen </t>
  </si>
  <si>
    <t>15097360-0</t>
  </si>
  <si>
    <t>IQF Y CALIBRADO</t>
  </si>
  <si>
    <t>IQF</t>
  </si>
  <si>
    <t>IQF 4</t>
  </si>
  <si>
    <t>TOLBA</t>
  </si>
  <si>
    <t>Tarde</t>
  </si>
  <si>
    <t>Miercoles</t>
  </si>
  <si>
    <t>002-21</t>
  </si>
  <si>
    <t>CARLOS ARAYA</t>
  </si>
  <si>
    <t>MIGUEL HENRRIQUEZ</t>
  </si>
  <si>
    <t>Infraestructura</t>
  </si>
  <si>
    <t>Rostro</t>
  </si>
  <si>
    <t>Herida cortante</t>
  </si>
  <si>
    <t>Refiere recoger producto del suelo mientras trabajaba en la maquina Tolba, al levantarse sufre contusión y herida respectiva.</t>
  </si>
  <si>
    <t>JAMIL  JALIL  JALIL</t>
  </si>
  <si>
    <t xml:space="preserve">ESCANDAR  </t>
  </si>
  <si>
    <t>13925685-9</t>
  </si>
  <si>
    <t>REPORTE DE CAJAS</t>
  </si>
  <si>
    <t>Jueves</t>
  </si>
  <si>
    <t>EDGAR HERNANDEZ</t>
  </si>
  <si>
    <t>Pie</t>
  </si>
  <si>
    <t>CONDICION</t>
  </si>
  <si>
    <t>CASTRO MOYA</t>
  </si>
  <si>
    <t xml:space="preserve">FRANCISCO </t>
  </si>
  <si>
    <t>8978008-4</t>
  </si>
  <si>
    <t>FAENACION</t>
  </si>
  <si>
    <t>EVICERADO POLLO</t>
  </si>
  <si>
    <t>Noche</t>
  </si>
  <si>
    <t>Viernes</t>
  </si>
  <si>
    <t>NICOLAS MOYANO</t>
  </si>
  <si>
    <t>ERWIN GATICA</t>
  </si>
  <si>
    <t xml:space="preserve">Colaborador consulta por golpe en mano derecha contra estructura metálica.
 Refiere que al arrastrar escalera metálica se golpea la mano derecha, contra  estructura metálica
</t>
  </si>
  <si>
    <t>San Martin Oyarzun</t>
  </si>
  <si>
    <t xml:space="preserve">Paola </t>
  </si>
  <si>
    <t>Femenino</t>
  </si>
  <si>
    <t>12683339-3</t>
  </si>
  <si>
    <t>TROZADO DE POLLO</t>
  </si>
  <si>
    <t>DESHUEZADO</t>
  </si>
  <si>
    <t>Semana 2</t>
  </si>
  <si>
    <t>RAFAEL ASTORGA</t>
  </si>
  <si>
    <t>Materia Prima</t>
  </si>
  <si>
    <t>Ojos</t>
  </si>
  <si>
    <t>Conjuntivitis</t>
  </si>
  <si>
    <t>Proyeccion de particulas</t>
  </si>
  <si>
    <t>Trabajadora desarollando su actividad Habitual en proceso de prolijado es alcanza de residuos carnicos menores en su ojo derecho</t>
  </si>
  <si>
    <t>Silva Osorio</t>
  </si>
  <si>
    <t>Iris</t>
  </si>
  <si>
    <t>13772577-0</t>
  </si>
  <si>
    <t>AUTOMATICO</t>
  </si>
  <si>
    <t>JOSE CARVALLO</t>
  </si>
  <si>
    <t>Superficies de trabajo</t>
  </si>
  <si>
    <t>Tronco</t>
  </si>
  <si>
    <t>Caida de mismo nivel</t>
  </si>
  <si>
    <t>Trabajadora en el traslado de bandejas en seccion autamatico en desarro de proceso laboral habitual, este las arrastra hasta nuevo sector donde topa con desnivel en piso, lo que genera caida de bandejas con productos y posteriormente caida de mismo nivel de la trabajadora.</t>
  </si>
  <si>
    <t>QUIROZ DIAZ</t>
  </si>
  <si>
    <t>CARLOS</t>
  </si>
  <si>
    <t>15667518-0</t>
  </si>
  <si>
    <t>X</t>
  </si>
  <si>
    <t>Materiales</t>
  </si>
  <si>
    <t>Trabajador se golpea contra carro de acopia cajas en proceso de reporte cajas</t>
  </si>
  <si>
    <t>Diaz Diaz</t>
  </si>
  <si>
    <t xml:space="preserve">Jesus </t>
  </si>
  <si>
    <t>18347901-6</t>
  </si>
  <si>
    <t>EVICERADO PAVO</t>
  </si>
  <si>
    <t>ESTERELIZADOR</t>
  </si>
  <si>
    <t>Sabado</t>
  </si>
  <si>
    <t>009-21</t>
  </si>
  <si>
    <t>Brazo</t>
  </si>
  <si>
    <t>Quemadura</t>
  </si>
  <si>
    <t>Contacto con temperaturas extremas</t>
  </si>
  <si>
    <t>Trabajador al realizar resguardo de materiales en avicerado de pavo, durante el proceso se cae material lo que genera que su muñeca al intentar tomar alcance de este se genera quemadura con agua caliente de equipo en el sector de la muñeca.</t>
  </si>
  <si>
    <t>Gonzales Meza</t>
  </si>
  <si>
    <t xml:space="preserve">Juan </t>
  </si>
  <si>
    <t>12412287-2</t>
  </si>
  <si>
    <t>SSGG</t>
  </si>
  <si>
    <t>ZONA SUCIA</t>
  </si>
  <si>
    <t>Domingo</t>
  </si>
  <si>
    <t>FRANCISCO ROJAS</t>
  </si>
  <si>
    <t>LUIS URBINA</t>
  </si>
  <si>
    <t>Trabajador realizando proceso habitual de limpieza, resbala en zona sucia y genera un dobles en su tobillo</t>
  </si>
  <si>
    <t>Bustos Alarcón</t>
  </si>
  <si>
    <t xml:space="preserve">Mario </t>
  </si>
  <si>
    <t>8226889-8</t>
  </si>
  <si>
    <t>MANTENCION</t>
  </si>
  <si>
    <t>SADEMA</t>
  </si>
  <si>
    <t>SALA MAQUINAS</t>
  </si>
  <si>
    <t>VICTOR GOMEZ</t>
  </si>
  <si>
    <t>SERGIO LETELIER</t>
  </si>
  <si>
    <t>Trabajador mientras se encontraba en bomba de amoniaco en sala de máquinas, gira para tomar una herramienta y en ese momento pisa un zócalo pequeño que provoca la torsión.</t>
  </si>
  <si>
    <t>Correa Sepulveda</t>
  </si>
  <si>
    <t xml:space="preserve">Guillermo </t>
  </si>
  <si>
    <t>8334407-5</t>
  </si>
  <si>
    <t>CHILLER DE AGUA</t>
  </si>
  <si>
    <t>MENUDENCIA</t>
  </si>
  <si>
    <t>Semana 3</t>
  </si>
  <si>
    <t>008-21</t>
  </si>
  <si>
    <t>CESAR CARTAGENA</t>
  </si>
  <si>
    <t>Trabajador resbalar por exceso de menudencias en el suelo, golpeándose con soporte para bandejas de chiller y con las bandejas que se encontraba moviendo.</t>
  </si>
  <si>
    <t>HERNANDEZ</t>
  </si>
  <si>
    <t xml:space="preserve">MARCELO </t>
  </si>
  <si>
    <t>13685555-0</t>
  </si>
  <si>
    <t>ASEO</t>
  </si>
  <si>
    <t>FELIPE HERRERA</t>
  </si>
  <si>
    <t>Trabajador sufre Caida de mismo nivel al resbalar en piso del área trozado de pollo</t>
  </si>
  <si>
    <t>Blanco</t>
  </si>
  <si>
    <t>Gustavo</t>
  </si>
  <si>
    <t>12684030-6</t>
  </si>
  <si>
    <t>ÁREA COMÚN</t>
  </si>
  <si>
    <t>RESGUARDO DE MOTOS Y BICICLETAS</t>
  </si>
  <si>
    <t>GUSTAVO BLANCO</t>
  </si>
  <si>
    <t>Vehículos</t>
  </si>
  <si>
    <t>Colaborador refiere, apretón de su píe derecho, entre dos motos al estar haciendo espacio para estacionar su motocicleta.</t>
  </si>
  <si>
    <t>NUEVO</t>
  </si>
  <si>
    <t>LGF</t>
  </si>
  <si>
    <t>LGF7</t>
  </si>
  <si>
    <t>CIERRA CIRCULAR</t>
  </si>
  <si>
    <t>ARNALDO VERA</t>
  </si>
  <si>
    <t>Contacto con cuerpo cortante</t>
  </si>
  <si>
    <t xml:space="preserve"> Trabajador realizando proceso de trabajo en Cierra circular sección automático, ala corta. Se genera corte de guante de acero (EPP). no existe daño físico del trabajador, solo del Elemento de protección personal.  </t>
  </si>
  <si>
    <t>ISABEL MONICA</t>
  </si>
  <si>
    <t>VILCHES VILCHES</t>
  </si>
  <si>
    <t>11786453-7</t>
  </si>
  <si>
    <t>ESTRUCTURAS</t>
  </si>
  <si>
    <t>Cabeza</t>
  </si>
  <si>
    <t>Colaboradora en paso por seccion automatico de trozado de pollo, realizando proceso habitual de aseo, no se percata del espacio fisico y se golpea con estrutura de equipo en la cabeza</t>
  </si>
  <si>
    <t>Allende Frost</t>
  </si>
  <si>
    <t xml:space="preserve">Ana </t>
  </si>
  <si>
    <t>14246215-k</t>
  </si>
  <si>
    <t>NAT</t>
  </si>
  <si>
    <t xml:space="preserve"> </t>
  </si>
  <si>
    <t>Semana 4</t>
  </si>
  <si>
    <t>Colaboradora sufre contusión en dedo medio derecho al trabajar en línea de deshuesado al tomar una bandeja con producto (pechugas), al dejarla en línea sufre golpe</t>
  </si>
  <si>
    <t>Miranda Cornejo</t>
  </si>
  <si>
    <t>Maribel</t>
  </si>
  <si>
    <t>15623229-7</t>
  </si>
  <si>
    <t>IQF 2</t>
  </si>
  <si>
    <t>SERGIO AQUEVEQUE</t>
  </si>
  <si>
    <t>Usuario refiere, golpe en su mano izquierda contra fierro de maquina IQF 2, al estar sacándole el plástico que lo mantenía envuelto lo deja en el suelo este rebota y le golpea su mano izquierda</t>
  </si>
  <si>
    <t>Rodriguez Quispe</t>
  </si>
  <si>
    <t xml:space="preserve">Jose Luis </t>
  </si>
  <si>
    <t>18899752-k</t>
  </si>
  <si>
    <t>NICOLAS ROJAS</t>
  </si>
  <si>
    <t>Sobreesfuerzo</t>
  </si>
  <si>
    <t>Trabajador al realizar desarrollo trabajo manual ejerce fuerza y genera molestia durante el proceso de apriete con llave</t>
  </si>
  <si>
    <t>Muñoz Días</t>
  </si>
  <si>
    <t xml:space="preserve">Joel </t>
  </si>
  <si>
    <t>17986508-4</t>
  </si>
  <si>
    <t>Trabajador al no percatarce de la presecia de Bins en el sector durante el armado y montaje de piping este se genera golpe en la cabeza al darse vuelta e impartar con tuberia en el sector.</t>
  </si>
  <si>
    <t>FEBRERO</t>
  </si>
  <si>
    <t>Castro Martínez</t>
  </si>
  <si>
    <t xml:space="preserve">Matías </t>
  </si>
  <si>
    <t>19068208-0</t>
  </si>
  <si>
    <t>PROCESADORA DE TRUTOS</t>
  </si>
  <si>
    <t>Semana 5</t>
  </si>
  <si>
    <t>Espalda</t>
  </si>
  <si>
    <t>Trabajador al levantar equipo procesadora de truto e seccion automtico de pollo, se genera dolencia en la espalda</t>
  </si>
  <si>
    <t>Salgado Silva</t>
  </si>
  <si>
    <t xml:space="preserve">Jose </t>
  </si>
  <si>
    <t>15355520-6</t>
  </si>
  <si>
    <t>GARRAS</t>
  </si>
  <si>
    <t>INGRESO SALA GARRAS</t>
  </si>
  <si>
    <t>012-21</t>
  </si>
  <si>
    <t>Caida de distinto nivel</t>
  </si>
  <si>
    <t>Trabajador cae por escala de ingreso a sector garras, desde el segundo peldaño, generando daño con corte superficiales en su mano derecha</t>
  </si>
  <si>
    <t xml:space="preserve">Miranda Cordero </t>
  </si>
  <si>
    <t xml:space="preserve">Maria José </t>
  </si>
  <si>
    <t>16856135-0</t>
  </si>
  <si>
    <t>ESCALAS PASILLO HACIA CASINO</t>
  </si>
  <si>
    <t>013-21</t>
  </si>
  <si>
    <t>Trabajadora en desplazamiento de regreso a su área, despues de colacion en bajada por escala común costado ingreso principal se genera torsedura de tobillo</t>
  </si>
  <si>
    <t>Miranda Chacón</t>
  </si>
  <si>
    <t xml:space="preserve">Rodrigo </t>
  </si>
  <si>
    <t>12667068-0</t>
  </si>
  <si>
    <t>FRIGORIFICO</t>
  </si>
  <si>
    <t>CAMARAS</t>
  </si>
  <si>
    <t>FRIFORIFICO</t>
  </si>
  <si>
    <t>016-21</t>
  </si>
  <si>
    <t>HECTOR RIVERA</t>
  </si>
  <si>
    <t>MAURICIO HERNANDEZ</t>
  </si>
  <si>
    <t>Trabajador realizando movimiento de materiales en camara no se percata de superficie cortante , desconoce objeto cortante en compuerta tunel de frio</t>
  </si>
  <si>
    <t>YANTEN ISLA</t>
  </si>
  <si>
    <t>FRANCISCA NATALIA</t>
  </si>
  <si>
    <t>17681223-0</t>
  </si>
  <si>
    <t>PERSONAL</t>
  </si>
  <si>
    <t>ISHIDA</t>
  </si>
  <si>
    <t>AUDITOR DE PROCESO</t>
  </si>
  <si>
    <t>SIMON ALQUINTA</t>
  </si>
  <si>
    <t>FRANCISCA YANTEN</t>
  </si>
  <si>
    <t>Producto quimico</t>
  </si>
  <si>
    <t>Colaboladora al pasar por linea ishida, le salpica acido peracetico con residuo de producto en los ojos</t>
  </si>
  <si>
    <t>Oviedo Urrea</t>
  </si>
  <si>
    <t xml:space="preserve">Juan Carlos </t>
  </si>
  <si>
    <t>20335023-0</t>
  </si>
  <si>
    <t>Equipos Transporte de carga</t>
  </si>
  <si>
    <t>Nuñez</t>
  </si>
  <si>
    <t>Danitza</t>
  </si>
  <si>
    <t>18030274-3</t>
  </si>
  <si>
    <t>017-20</t>
  </si>
  <si>
    <t>RAMIRO RAMIREZ</t>
  </si>
  <si>
    <t>Trabajadora en desplazamiento de regreso a su área, despues de colacion en bajada por escala común costado ingreso principal se genera caida con golpes multeplues en gluteos y ambos codos</t>
  </si>
  <si>
    <t>San Martin Gonzalez</t>
  </si>
  <si>
    <t xml:space="preserve">Manuel </t>
  </si>
  <si>
    <t>17221980-2</t>
  </si>
  <si>
    <t>LINEA FRESCO</t>
  </si>
  <si>
    <t>Semana 6</t>
  </si>
  <si>
    <t>GERMAN RODRIGUEZ</t>
  </si>
  <si>
    <t>Trabajador se golpea uña con superficie de linea fresco en reporte de cajas al estar realizando proceso manuales del proceso</t>
  </si>
  <si>
    <t xml:space="preserve">GONZALEZ VERA </t>
  </si>
  <si>
    <t>SERGIO</t>
  </si>
  <si>
    <t>11362863-4</t>
  </si>
  <si>
    <t>INYECTADO</t>
  </si>
  <si>
    <t>ADRIAN TEJIAS</t>
  </si>
  <si>
    <t>Trabajador se genera golpe en su ante brazo, durante el movimiento de bandejas en proceso de inyectado, por movimiento de materiales de un compañero</t>
  </si>
  <si>
    <t>Gonzales Vegas</t>
  </si>
  <si>
    <t>20124235-5</t>
  </si>
  <si>
    <t>RECEPCION</t>
  </si>
  <si>
    <t>ANTONIO RIVAS</t>
  </si>
  <si>
    <t>Durante el proceso de golgado de ave, trabajador siente un pichaso con uso guantes el cual genera herida superficial en su dedo</t>
  </si>
  <si>
    <t>Navarrete Navarrete</t>
  </si>
  <si>
    <t xml:space="preserve">Daniel </t>
  </si>
  <si>
    <t>17662030-7</t>
  </si>
  <si>
    <t>BODEGA</t>
  </si>
  <si>
    <t>ESCALAS PASILLO</t>
  </si>
  <si>
    <t>NICOLAS PEÑALDIÑO</t>
  </si>
  <si>
    <t>BORIS PONCE</t>
  </si>
  <si>
    <t>Trabajador en proceso de subida a su area (Bodega) se genera torcedura de tobillo, en escalera comun pasillo</t>
  </si>
  <si>
    <t>Gonzalez Abaitua</t>
  </si>
  <si>
    <t xml:space="preserve">Michel </t>
  </si>
  <si>
    <t>19846829-0</t>
  </si>
  <si>
    <t>Trabajador en proceso de Inyectado se tropieza con manguera del sector, produciendo caida de mismo nivel</t>
  </si>
  <si>
    <t>Vera Guzman</t>
  </si>
  <si>
    <t>12457367-k</t>
  </si>
  <si>
    <t>EMANUEL MELLADO</t>
  </si>
  <si>
    <t>Animales - insectos</t>
  </si>
  <si>
    <t>Picadura</t>
  </si>
  <si>
    <t>Trabajador realizando movimientos de mantencion en entre techo siente picadura en ante brazo</t>
  </si>
  <si>
    <t>Gonzalez</t>
  </si>
  <si>
    <t>Michell</t>
  </si>
  <si>
    <t>INYECTORA</t>
  </si>
  <si>
    <t>se enreda con manguera de equipo ocasionando caida</t>
  </si>
  <si>
    <t>Quiroz Malhue</t>
  </si>
  <si>
    <t>Jordan</t>
  </si>
  <si>
    <t>19503097-9</t>
  </si>
  <si>
    <t>LINEA PECHUGAS</t>
  </si>
  <si>
    <t>PROLIJADO</t>
  </si>
  <si>
    <t>Semana 7</t>
  </si>
  <si>
    <t>Cuchillo</t>
  </si>
  <si>
    <t>Mientrs maniulaba cuchillo este se resbala para evitar que caiga lo toma con us mano sin guantes generando corte en su palma</t>
  </si>
  <si>
    <t>Gonzalez Berrios</t>
  </si>
  <si>
    <t>Juan</t>
  </si>
  <si>
    <t>19069589-1</t>
  </si>
  <si>
    <t>TAPA DEPOSITTO CLAVICULA</t>
  </si>
  <si>
    <t>Refiere al recoger pechugas se golpea nariz con tapa de deposito de clavicula</t>
  </si>
  <si>
    <t>Araya Pizarro</t>
  </si>
  <si>
    <t>Hector</t>
  </si>
  <si>
    <t>17907779-5</t>
  </si>
  <si>
    <t>PRE-OPERACIONAL</t>
  </si>
  <si>
    <t>ESVICERADO DE PAVO</t>
  </si>
  <si>
    <t>ESCALDADORA</t>
  </si>
  <si>
    <t>021-21</t>
  </si>
  <si>
    <t>Al estar retirando pavo desde escaldadora se golpea codo izqueirdo contra estructura metalica</t>
  </si>
  <si>
    <t>Rojas Veas</t>
  </si>
  <si>
    <t>Helga</t>
  </si>
  <si>
    <t>12358110-5</t>
  </si>
  <si>
    <t>DROP POINT</t>
  </si>
  <si>
    <t>LAMINADO CAJAS</t>
  </si>
  <si>
    <t>020-21</t>
  </si>
  <si>
    <t>Al retirar 3 cajas del tunel de armado de cajas la ultima de estas le cae en su rostro golpenaod en su ojo derecho</t>
  </si>
  <si>
    <t>Maulen Maulen</t>
  </si>
  <si>
    <t>Aldo</t>
  </si>
  <si>
    <t>20136430-2</t>
  </si>
  <si>
    <t>TAMBLER</t>
  </si>
  <si>
    <t>TAPA CONTROLADOR</t>
  </si>
  <si>
    <t>029-21</t>
  </si>
  <si>
    <t>MAXIMO CAMPOS</t>
  </si>
  <si>
    <t>Al estar manipulando contralador tambler se golpea con bandeja protectora</t>
  </si>
  <si>
    <t>Vergara</t>
  </si>
  <si>
    <t>Nelly</t>
  </si>
  <si>
    <t>11217074-k</t>
  </si>
  <si>
    <t>PEDILUVIO</t>
  </si>
  <si>
    <t>PUERTA</t>
  </si>
  <si>
    <t>Semana 8</t>
  </si>
  <si>
    <t>FRANCISCO SANCHEZ</t>
  </si>
  <si>
    <t>Al ingresar a filtro sanitario es golpeado por puerta de baiben en su mano dercha</t>
  </si>
  <si>
    <t>Salinas Sanchez</t>
  </si>
  <si>
    <t>11397066-9</t>
  </si>
  <si>
    <t>CHILLER MENUDENCIAS</t>
  </si>
  <si>
    <t>CHILLER PANITA</t>
  </si>
  <si>
    <t>CHILLER</t>
  </si>
  <si>
    <t>Al estar en chiller de panita se proyecta liquido que su ojo izquierdo sin uso de antiparras</t>
  </si>
  <si>
    <t>Fredes</t>
  </si>
  <si>
    <t>20187851-9</t>
  </si>
  <si>
    <t>COLGADO DE AVES</t>
  </si>
  <si>
    <t>CINTA JABAS</t>
  </si>
  <si>
    <t>DESAPILADORA</t>
  </si>
  <si>
    <t>Al estar destapado jabas es golpeada por una compuerta y al retirar dedo se genera un corte en dedo medio</t>
  </si>
  <si>
    <t>Colina</t>
  </si>
  <si>
    <t>Isabel</t>
  </si>
  <si>
    <t>16615461-8</t>
  </si>
  <si>
    <t>PROLIJADORA</t>
  </si>
  <si>
    <t>022-21</t>
  </si>
  <si>
    <t>Al iniciar el turno lanza tarima a piso golpeando esta es su pie derecho quinto ortejo</t>
  </si>
  <si>
    <t>Ruiz Alvarez</t>
  </si>
  <si>
    <t>Cesar</t>
  </si>
  <si>
    <t>27044587-k</t>
  </si>
  <si>
    <t>GOLGADO DE PAVO</t>
  </si>
  <si>
    <t>CAMARA 208</t>
  </si>
  <si>
    <t>Pallet</t>
  </si>
  <si>
    <t>Al estar colgado pavos, compañero posiciona un pallet con el cual le aprisiona su pie derecho</t>
  </si>
  <si>
    <t>MARZO</t>
  </si>
  <si>
    <t>Álvarez Inostroza</t>
  </si>
  <si>
    <t xml:space="preserve">Hernán </t>
  </si>
  <si>
    <t>16985401-7</t>
  </si>
  <si>
    <t>RECEPTOR</t>
  </si>
  <si>
    <t>Semana 9</t>
  </si>
  <si>
    <t xml:space="preserve">Trabajador realizando proceso de acopio de bandejas, este material resbala generando golpe en parpado izquierdo </t>
  </si>
  <si>
    <t xml:space="preserve"> Rojas Fernandez</t>
  </si>
  <si>
    <t>Miguel</t>
  </si>
  <si>
    <t>12223685-4</t>
  </si>
  <si>
    <t>EVISCERADO DE PAVO</t>
  </si>
  <si>
    <t>025-21</t>
  </si>
  <si>
    <t>Caida del mismo nivel al tropezar y resbalar,  realizando el proceso de condensado en sector evicerado de pavo</t>
  </si>
  <si>
    <t>Campos</t>
  </si>
  <si>
    <t>Patricio</t>
  </si>
  <si>
    <t>11696586-0</t>
  </si>
  <si>
    <t>PATIO DE CAMIONES</t>
  </si>
  <si>
    <t>Trabajador en uso de escala a distinto nivel se genera caida al no usar escala de paso a camiones apropiadamente</t>
  </si>
  <si>
    <t>Saavedra Castro</t>
  </si>
  <si>
    <t xml:space="preserve">Gonzalo </t>
  </si>
  <si>
    <t>26935195-0</t>
  </si>
  <si>
    <t>EMPACADOR</t>
  </si>
  <si>
    <t>Bins</t>
  </si>
  <si>
    <t>Trabajador realizando traslado de productos con Bins, le proboca un dorlor al empujar este material con acopio de producto</t>
  </si>
  <si>
    <t>Soteldo Gonzalez</t>
  </si>
  <si>
    <t xml:space="preserve">Maikel </t>
  </si>
  <si>
    <t>26371079-7</t>
  </si>
  <si>
    <t>PASILLO 3</t>
  </si>
  <si>
    <t>Pierna</t>
  </si>
  <si>
    <t>Duran Garrido</t>
  </si>
  <si>
    <t xml:space="preserve">Natalia </t>
  </si>
  <si>
    <t>7871252-K</t>
  </si>
  <si>
    <t>033-21</t>
  </si>
  <si>
    <t>Trabajadora realizando retiro de producto en linea, genera un mal estiramiento provocando golpeadura en su torso izquierdo con linea productiva de deshuezado de pollo</t>
  </si>
  <si>
    <t>Trujillo Alarcón</t>
  </si>
  <si>
    <t xml:space="preserve">Ángela </t>
  </si>
  <si>
    <t>15401811-5</t>
  </si>
  <si>
    <t>Semana 10</t>
  </si>
  <si>
    <t>031-21</t>
  </si>
  <si>
    <t>Trabajadora en proceso de ponerse capa en cercanía de un compañero que se encontraba afilando cuchillo con astil, pasa a llevar su dedo índice derecho produciendo corte con profundidad.</t>
  </si>
  <si>
    <t>Gonzales Mendoza</t>
  </si>
  <si>
    <t xml:space="preserve">Cintia </t>
  </si>
  <si>
    <t>15778582-6</t>
  </si>
  <si>
    <t>Trabajadora se golpea contra caja su dedo anular izquierdo al estar manipulando cajas en maquina ishida</t>
  </si>
  <si>
    <t>Realizando movimiento de cajas, este golpea su mano contra estrutura del quipo en reporte de cajas</t>
  </si>
  <si>
    <t>15867460-2</t>
  </si>
  <si>
    <t>032-21</t>
  </si>
  <si>
    <t xml:space="preserve">CUEVAS OSORIO </t>
  </si>
  <si>
    <t>AUGUSTO</t>
  </si>
  <si>
    <t>11772635-5</t>
  </si>
  <si>
    <t>GALPON</t>
  </si>
  <si>
    <t>OPERADOR GRUA</t>
  </si>
  <si>
    <t>Trabajador al intentar sujetar jaba con pallet, este se desliza y golpea su brazo, generando un dobles y dolencia en brazo izquierdo</t>
  </si>
  <si>
    <t>Aguilar Weinberger</t>
  </si>
  <si>
    <t xml:space="preserve">Nicolas </t>
  </si>
  <si>
    <t>20561193-2</t>
  </si>
  <si>
    <t>RECUPERADOR</t>
  </si>
  <si>
    <t>Semana 11</t>
  </si>
  <si>
    <t>Trabajador en realizando proceso de corte con producto (pollo), sufre corte en dedo indice izquierdo</t>
  </si>
  <si>
    <t>Llancao Parra</t>
  </si>
  <si>
    <t xml:space="preserve">Camila </t>
  </si>
  <si>
    <t>20208562-8</t>
  </si>
  <si>
    <t>SELECCIONADOR</t>
  </si>
  <si>
    <t>Trabajadora se resbala en pasillo de deshuezado de pollo y se golpea con infraestructura al trasladar bandejas</t>
  </si>
  <si>
    <t xml:space="preserve">Bravo Toro </t>
  </si>
  <si>
    <t>Francisco Javier</t>
  </si>
  <si>
    <t>20870733-7</t>
  </si>
  <si>
    <t>CINTA FILETILLO</t>
  </si>
  <si>
    <t>Semana11</t>
  </si>
  <si>
    <t>035-21</t>
  </si>
  <si>
    <t>Atrición</t>
  </si>
  <si>
    <t>Atrapamiento</t>
  </si>
  <si>
    <t>Trabajador refiere , al tratar de sacar un filetillo de pollo de la línea , se apreta dedo medio isquierdo  con linea de filetillo.</t>
  </si>
  <si>
    <t>Alarcon Pizarro</t>
  </si>
  <si>
    <t>Jose</t>
  </si>
  <si>
    <t>19068550-0</t>
  </si>
  <si>
    <t>LGF4</t>
  </si>
  <si>
    <t>OPERADOR DE MAQUINA</t>
  </si>
  <si>
    <t>MATIAS HERNAN</t>
  </si>
  <si>
    <t xml:space="preserve">LEIVA CEA </t>
  </si>
  <si>
    <t>19037025-9</t>
  </si>
  <si>
    <t>CALIBRADO</t>
  </si>
  <si>
    <t>Trabajador es golpeado con puerta en rostro sobre la ceja con puerta de equipo drop point, generando un corte superficial.</t>
  </si>
  <si>
    <t>Cañete Mella</t>
  </si>
  <si>
    <t>11786180-5</t>
  </si>
  <si>
    <t xml:space="preserve">tijeras Jarvis </t>
  </si>
  <si>
    <t>034-21</t>
  </si>
  <si>
    <t xml:space="preserve">Se aprieta ultima falange del dedo meñique izquierdo con tijeras Jarvis produciendo corte. </t>
  </si>
  <si>
    <t>Huerta Zapata</t>
  </si>
  <si>
    <t xml:space="preserve"> Marco </t>
  </si>
  <si>
    <t>15649302-3</t>
  </si>
  <si>
    <t>IQF4</t>
  </si>
  <si>
    <t>Semana 12</t>
  </si>
  <si>
    <t>036-21</t>
  </si>
  <si>
    <t>FERNANDO FUENTEALBA</t>
  </si>
  <si>
    <t>Trabajador realizando retiro de producto congelado en cinta interna de IQF 4 en el tercer nivel, al bajar una vez alcancanzado el sub nivel rebala con hielo, recibiendo golpe de caida con su espalda</t>
  </si>
  <si>
    <t xml:space="preserve">Maulen Osorio </t>
  </si>
  <si>
    <t>Esau</t>
  </si>
  <si>
    <t>16342948-9</t>
  </si>
  <si>
    <t>ENCARGADO DE LINEA</t>
  </si>
  <si>
    <t>Semana12</t>
  </si>
  <si>
    <t>Al caer bandejas con producto, sufre golpe en zona pectoral derecha y ‘’tiron’’ en zona lumbar baja, al realizar movimiento brusco.</t>
  </si>
  <si>
    <t>Moreno Abarca</t>
  </si>
  <si>
    <t>Leonardo</t>
  </si>
  <si>
    <t>14343369-2</t>
  </si>
  <si>
    <t xml:space="preserve">EVISCERADO </t>
  </si>
  <si>
    <t>semana12</t>
  </si>
  <si>
    <t>conjuntivitis</t>
  </si>
  <si>
    <t>molestia ocular por proyección de partículas liquidas de pana.</t>
  </si>
  <si>
    <t xml:space="preserve">Trujillo Méndez </t>
  </si>
  <si>
    <t>Carmen</t>
  </si>
  <si>
    <t>7929823-9</t>
  </si>
  <si>
    <t>Vargas Reyes</t>
  </si>
  <si>
    <t>Nancy</t>
  </si>
  <si>
    <t>17373068-3</t>
  </si>
  <si>
    <t>semana13</t>
  </si>
  <si>
    <t xml:space="preserve"> colaboradora sufre atrición en dedo índice izquierdo con selladora, después de que intenta acomodar una bolsa que se habría corrido y pasa a llevar botón.</t>
  </si>
  <si>
    <t>Montiel Cornejo</t>
  </si>
  <si>
    <t>Diego</t>
  </si>
  <si>
    <t>18470064-6</t>
  </si>
  <si>
    <t>OPERARIO DE BODEGA</t>
  </si>
  <si>
    <t>ESTACIONAMIENTO DE MOTOS</t>
  </si>
  <si>
    <t>FRANCISCO ACEVEDO</t>
  </si>
  <si>
    <t xml:space="preserve">Torsion </t>
  </si>
  <si>
    <t>Colaborador Al estacionar moto, la ‘’pata’’ de apoyo se devuelve, haciendo que moto se vaya hacia un lado y para que no cayera al suelo intenta afirmarla con pierna, apoyando mal el pie sufriendo torsión de tobillo izquierdo.</t>
  </si>
  <si>
    <t>ABRIL</t>
  </si>
  <si>
    <t>Abarca Rubio</t>
  </si>
  <si>
    <t>Luis</t>
  </si>
  <si>
    <t>15964744-7</t>
  </si>
  <si>
    <t>Rivas plata Jimenez</t>
  </si>
  <si>
    <t xml:space="preserve">Miriam </t>
  </si>
  <si>
    <t>21663520-5</t>
  </si>
  <si>
    <t>CASINO</t>
  </si>
  <si>
    <t>semana14</t>
  </si>
  <si>
    <t>Al ir caminando , saliendo del casino golpea su mano izquierda contra la meza metalica.</t>
  </si>
  <si>
    <t xml:space="preserve">Roa Silva </t>
  </si>
  <si>
    <t xml:space="preserve">Cristian </t>
  </si>
  <si>
    <t>18960494-7</t>
  </si>
  <si>
    <t>Cajas</t>
  </si>
  <si>
    <t>manipular cajas, después de colocar la tapa y girar para colocar etiqueta , cae cuerpo extraño en ojo derecho</t>
  </si>
  <si>
    <t xml:space="preserve">Cárdenas Farias </t>
  </si>
  <si>
    <t xml:space="preserve">Beatriz </t>
  </si>
  <si>
    <t xml:space="preserve">  14240355-2</t>
  </si>
  <si>
    <t>SALA DE TR0ZADO DE PAVO</t>
  </si>
  <si>
    <t xml:space="preserve">Preparando el puesto d trabajo toma un pallet y se le suelta gopeando su pies </t>
  </si>
  <si>
    <t xml:space="preserve"> Maúlen Maldonado  </t>
  </si>
  <si>
    <t>Elías</t>
  </si>
  <si>
    <t>7327744-2</t>
  </si>
  <si>
    <t>ASEO OPERACIONAL</t>
  </si>
  <si>
    <t>BODEGA DE MANGUERA</t>
  </si>
  <si>
    <t>ORLANDO FARIAS</t>
  </si>
  <si>
    <t>al cerrar la puerta de la bodega de las mangueras a un costado de bodega pañol se golpea con el gancho para el candado.</t>
  </si>
  <si>
    <t>San Martin Conejeros</t>
  </si>
  <si>
    <t xml:space="preserve">Alexis </t>
  </si>
  <si>
    <t>16719871-6</t>
  </si>
  <si>
    <t>EMPAQUE</t>
  </si>
  <si>
    <t>MARIA EUGENIA YAÑEZ</t>
  </si>
  <si>
    <t>Al estar cambiando caja de productos, esta le cae sobre su dedo índice izquierdo doblándoselo hacia el lado contrario.</t>
  </si>
  <si>
    <t>DORSAINVIL</t>
  </si>
  <si>
    <t>EDSON</t>
  </si>
  <si>
    <t>26257969-7</t>
  </si>
  <si>
    <t>COLGADOR</t>
  </si>
  <si>
    <t>semana15</t>
  </si>
  <si>
    <t>049-21</t>
  </si>
  <si>
    <t>CRISTIAN MEZA</t>
  </si>
  <si>
    <t xml:space="preserve">Al estar sacando javas del apilador se golpea con la java en el pómulo derecho. </t>
  </si>
  <si>
    <t>MEZA</t>
  </si>
  <si>
    <t>13560414-3</t>
  </si>
  <si>
    <t>Otros</t>
  </si>
  <si>
    <t>Al estar supervisando siente una molestia en el ojo derecho. Sin lesión visible</t>
  </si>
  <si>
    <t xml:space="preserve">Salas Morales </t>
  </si>
  <si>
    <t xml:space="preserve">Leonardo </t>
  </si>
  <si>
    <t>20872151-8</t>
  </si>
  <si>
    <t>LGF2</t>
  </si>
  <si>
    <t>LINEA MEDALLON</t>
  </si>
  <si>
    <t>Trabajador trata de levantar línea de  Medallón en trozado de pavo, sin dar aviso previo del ejercicio, apoyando su mano en  rodamiento expuesto de la línea, personal  del área, en desconocimiento de su posición. Activa la  línea, generando una atrición por  contacto  directo con rodamiento en su mano derecha.</t>
  </si>
  <si>
    <t>Chaparro Muñoz</t>
  </si>
  <si>
    <t xml:space="preserve">Leandro </t>
  </si>
  <si>
    <t>18777613-9</t>
  </si>
  <si>
    <t>EVICERADO DE POLLO</t>
  </si>
  <si>
    <t>LINEA SAG</t>
  </si>
  <si>
    <t>Trabajador en linia sag de evicerado de pollo, cae objeto extraño en ojo por paso de producto</t>
  </si>
  <si>
    <t xml:space="preserve"> LARA PICHIMATA</t>
  </si>
  <si>
    <t>EDGAR</t>
  </si>
  <si>
    <t>24326149-k</t>
  </si>
  <si>
    <t>TRABAJADOR ES GOLPEADO CON BINS EN LA MANO DERECHA , EN PASILLO DIRECCION CAMARA 208, PRODUCTO DE MANIOBRAS INADECUADA DE TRANSPALETERO ELECTRICO POR ALTA VELOCIDAD</t>
  </si>
  <si>
    <t>Fuentes Carrasco</t>
  </si>
  <si>
    <t>18883576-7</t>
  </si>
  <si>
    <t>MANTECION</t>
  </si>
  <si>
    <t>ELECTRICO</t>
  </si>
  <si>
    <t>IQF 1</t>
  </si>
  <si>
    <t>TALADRO</t>
  </si>
  <si>
    <t>050-21</t>
  </si>
  <si>
    <t>Usuario taladrando , se le queda trabada la broca y se golpea con el cuerpo del taladro su zona orbicular ojo derecho y leve herida en tabique nasal</t>
  </si>
  <si>
    <t>Mateluna Vergara</t>
  </si>
  <si>
    <t>Aarón</t>
  </si>
  <si>
    <t>14159295-5</t>
  </si>
  <si>
    <t>semana16</t>
  </si>
  <si>
    <t>Trabajador al pasar agachado cerca de un mueble metálico, se golpea hombro derecho con la orilla de la estructura.</t>
  </si>
  <si>
    <t>Moreno Mardones</t>
  </si>
  <si>
    <t xml:space="preserve">Isamar </t>
  </si>
  <si>
    <t>18030936-5</t>
  </si>
  <si>
    <t>Chacon Castro</t>
  </si>
  <si>
    <t>Pedro Pablo</t>
  </si>
  <si>
    <t>6574842-8</t>
  </si>
  <si>
    <t>ASEO ZONA LIMPIA</t>
  </si>
  <si>
    <t>HIGIENE INDUSTRIAL PRE-OP</t>
  </si>
  <si>
    <t>ALVARO URBINA</t>
  </si>
  <si>
    <t>Mientras pasaba por sala ishida, le salpica detergente (foam) de otros colaboradores que realizaban aseo</t>
  </si>
  <si>
    <t>Fuentes Nuñez</t>
  </si>
  <si>
    <t>13771955-k</t>
  </si>
  <si>
    <t>SALA EMPAQUE</t>
  </si>
  <si>
    <t>OPERARIO CAMARA</t>
  </si>
  <si>
    <t>Trabajador al estar manipulando acopio de pallet madera, cae trozo en altura en su ojo</t>
  </si>
  <si>
    <t xml:space="preserve">TAPIA ARENA </t>
  </si>
  <si>
    <t>SEBASTIAN ANIBAL</t>
  </si>
  <si>
    <t>17398631-9</t>
  </si>
  <si>
    <t>DESPACHO FRESCO</t>
  </si>
  <si>
    <t>semana17</t>
  </si>
  <si>
    <t>pie</t>
  </si>
  <si>
    <t xml:space="preserve">SEPULVEDA GENERAL </t>
  </si>
  <si>
    <t>JORDAN JESUS</t>
  </si>
  <si>
    <t>18961065-3</t>
  </si>
  <si>
    <t xml:space="preserve">línea de panas, eviscerado </t>
  </si>
  <si>
    <t>LINEA DE PEINETA</t>
  </si>
  <si>
    <t>054-21</t>
  </si>
  <si>
    <t>mientras colgaba panas, sufre herida cortante con cepillos en línea de panas</t>
  </si>
  <si>
    <t xml:space="preserve">Gonzalez Vera </t>
  </si>
  <si>
    <t xml:space="preserve">Sergio </t>
  </si>
  <si>
    <t>Colaborador mientras seleccionaba trutros que caían de rampadera, le caen unos en mano golpeando dedo pulgar izquierdo.</t>
  </si>
  <si>
    <t>MAYO</t>
  </si>
  <si>
    <t>Hernandez Jara</t>
  </si>
  <si>
    <t>9964280-7</t>
  </si>
  <si>
    <t>semana18</t>
  </si>
  <si>
    <t>Al estar sacando producto congelado en IQF 4 se golpea en dedo produciendo una herida superficial en dedo índice sup der.</t>
  </si>
  <si>
    <t>Nuñez Mena</t>
  </si>
  <si>
    <t xml:space="preserve">Francisco </t>
  </si>
  <si>
    <t>19421104-k</t>
  </si>
  <si>
    <t>Al estar estar en casino corta un pan con un cuchillo tipo cortaplumas de propiedad del trabajador con el cual se pasa a llevar el dedo índice sup. Izq. Provocando una herida cortante superficial</t>
  </si>
  <si>
    <t>Wilkens</t>
  </si>
  <si>
    <t xml:space="preserve"> Pierre</t>
  </si>
  <si>
    <t>26436438-8</t>
  </si>
  <si>
    <t>PROCESO TROZADO PAVO A</t>
  </si>
  <si>
    <t>semana 19</t>
  </si>
  <si>
    <t xml:space="preserve">MORALES JARA </t>
  </si>
  <si>
    <t xml:space="preserve">LUIS </t>
  </si>
  <si>
    <t>20424322-0</t>
  </si>
  <si>
    <t>CINTA FRIGORIFICO</t>
  </si>
  <si>
    <t>Acomodando cajas en pallet sufre golpe en dedo anular derecho</t>
  </si>
  <si>
    <t>Santis García</t>
  </si>
  <si>
    <t xml:space="preserve">Cristopher </t>
  </si>
  <si>
    <t>19849216-7</t>
  </si>
  <si>
    <t>Sufre atrición de mano derecha y herida avulsiva en dedo índice, cuando transportaba pallets</t>
  </si>
  <si>
    <t>Vera Lobos</t>
  </si>
  <si>
    <t xml:space="preserve">Carlos </t>
  </si>
  <si>
    <t>14307723-3</t>
  </si>
  <si>
    <t>Trabajador realizando proceso de laminado se caen bandejas y se golpea en nariz</t>
  </si>
  <si>
    <t>Gonzales Reyes</t>
  </si>
  <si>
    <t xml:space="preserve">Victor </t>
  </si>
  <si>
    <t>16181121-1</t>
  </si>
  <si>
    <t>COLGADO PAVO</t>
  </si>
  <si>
    <t>Animales - Insectos</t>
  </si>
  <si>
    <t>A colgar un pavo, comienza a ‘’aletear’’ lo que provoca que ala golpee su dedo meñique derecho</t>
  </si>
  <si>
    <t>Guzman Leiva</t>
  </si>
  <si>
    <t>10088212-4</t>
  </si>
  <si>
    <t>semana 20</t>
  </si>
  <si>
    <t>Gomez Jorquera</t>
  </si>
  <si>
    <t>Jorge Luis</t>
  </si>
  <si>
    <t>15401311-3</t>
  </si>
  <si>
    <t>CALIBRADO PAVOS</t>
  </si>
  <si>
    <t>Sufre herida cortante en dedo meñique izquierdo con rodillos de maquina</t>
  </si>
  <si>
    <t>MACIEL OSES</t>
  </si>
  <si>
    <t xml:space="preserve">PATRICIO </t>
  </si>
  <si>
    <t>20425428-1</t>
  </si>
  <si>
    <t>HQ</t>
  </si>
  <si>
    <t>Sufre herida cortante en dedo meñique derecho con cuchillo de maquina HQ, el cual se encontraba en funcionamiento.</t>
  </si>
  <si>
    <t xml:space="preserve">Brito Castillo </t>
  </si>
  <si>
    <t xml:space="preserve">Mauricio </t>
  </si>
  <si>
    <t>18624197-5</t>
  </si>
  <si>
    <t xml:space="preserve">refiere sufrir caída mientras bajaba escalera en calibrado, resbala y sufre contusión en espalda y glúteo </t>
  </si>
  <si>
    <t>Mellado Barrientos</t>
  </si>
  <si>
    <t xml:space="preserve">Polonia </t>
  </si>
  <si>
    <t>17422963-5</t>
  </si>
  <si>
    <t>061-20</t>
  </si>
  <si>
    <t xml:space="preserve">Trabajadora al retirar producto de HQ, resbala y se genera atricion en mano derecha, probocando fractura </t>
  </si>
  <si>
    <t>Silva Valle</t>
  </si>
  <si>
    <t>10847865-9</t>
  </si>
  <si>
    <t>REPASADOR</t>
  </si>
  <si>
    <t>COLGADO DE AVE</t>
  </si>
  <si>
    <t>semana 21</t>
  </si>
  <si>
    <t>repasando productos, (rematando pollo), se hace un corte semi profundo en su antebrazo izquierdo, (sin darse cuenta).</t>
  </si>
  <si>
    <t>MOYA SANCHEZ</t>
  </si>
  <si>
    <t>CAROL</t>
  </si>
  <si>
    <t>18212577-6</t>
  </si>
  <si>
    <t>PROLIJADOR</t>
  </si>
  <si>
    <t>MARCELA MARDONES</t>
  </si>
  <si>
    <t xml:space="preserve">golpe en pie izq., con pallet de madera. </t>
  </si>
  <si>
    <t xml:space="preserve"> ISABEL MONICA</t>
  </si>
  <si>
    <t xml:space="preserve">SERGIO AQUEVEQUE </t>
  </si>
  <si>
    <t>AL ESTAR RECOGIENDO DECOMISO RESFALA  Y CAE GOLPEANDO SU PIERNA Y ESPALDA</t>
  </si>
  <si>
    <t>GONZALEZ ALFARO</t>
  </si>
  <si>
    <t xml:space="preserve">ELIZABETH </t>
  </si>
  <si>
    <t>12314382-5</t>
  </si>
  <si>
    <t>ROLANDO EMIHUEQUE</t>
  </si>
  <si>
    <t>trabajadora en manipulacion de productos quimicos, tiene alcance con proyeccion de particulas con producto clorado</t>
  </si>
  <si>
    <t xml:space="preserve">Moreno Mardones </t>
  </si>
  <si>
    <t>semana 22</t>
  </si>
  <si>
    <t>Refiere que mientras se encontraba cerrando un bins para el pegado de etiqueta le salpica en el ojo derecho acido peracético.</t>
  </si>
  <si>
    <t xml:space="preserve">Peralta Herrada </t>
  </si>
  <si>
    <t>20311813-0</t>
  </si>
  <si>
    <t>064-21</t>
  </si>
  <si>
    <t>Trabajador se genera atrapamiento en Cinta transportadora de cajas, recepcionando cajas para etiquetado, se  en la acumulacion de productos en linea.</t>
  </si>
  <si>
    <t>JUNIO</t>
  </si>
  <si>
    <t xml:space="preserve">DIAZ  </t>
  </si>
  <si>
    <t>19503213-0</t>
  </si>
  <si>
    <t>CALIBRADORA DE PAVO</t>
  </si>
  <si>
    <t>065-21</t>
  </si>
  <si>
    <t>mientras colocaba pesas en calibradora de pavo, esta cae en y golpea mano derecha, generando herida cortante</t>
  </si>
  <si>
    <t>Galleguillos Irrazabal</t>
  </si>
  <si>
    <t>9372076-8</t>
  </si>
  <si>
    <t>TALLER</t>
  </si>
  <si>
    <t>MECANICO</t>
  </si>
  <si>
    <t>066-21</t>
  </si>
  <si>
    <t>DAVID MADARIAGA</t>
  </si>
  <si>
    <t xml:space="preserve"> Al usar martillo generando golpeadura hacia la parte superior del cuerpo en objeto, sufre contusión mas heridas en zona de entrecejo y tabique nasal.</t>
  </si>
  <si>
    <t xml:space="preserve"> Espinoza Maturana</t>
  </si>
  <si>
    <t>Ángela</t>
  </si>
  <si>
    <t>17803667-k</t>
  </si>
  <si>
    <t>2 dias</t>
  </si>
  <si>
    <t>068-21</t>
  </si>
  <si>
    <t>REALIZANDO PROCESO DE ASEO INDUSTRIAL PISA HIELO EN SECTOR DE CHILLER DE AGUA GENERANDO CAIDA DE MISMO NIVEL</t>
  </si>
  <si>
    <t>Estay Alarcón</t>
  </si>
  <si>
    <t xml:space="preserve">Patricia  </t>
  </si>
  <si>
    <t>13559978-6</t>
  </si>
  <si>
    <t>Al estar ordenando la sala, al saca una bandeja esta se cae y la golpea en su tabique nasal.</t>
  </si>
  <si>
    <t xml:space="preserve">Roa León  </t>
  </si>
  <si>
    <t xml:space="preserve">Carlos    </t>
  </si>
  <si>
    <t>26565972-1</t>
  </si>
  <si>
    <t>HQ SUR</t>
  </si>
  <si>
    <t>semana 23</t>
  </si>
  <si>
    <t>TRABAJADOR REALIZANDO PROCESO DE COLGADO DE PECHUGA EN HQ SE GENERA CORTE SUPERFICIAL EN MANO DERECHA</t>
  </si>
  <si>
    <t>Bernabette</t>
  </si>
  <si>
    <t xml:space="preserve"> Joseph</t>
  </si>
  <si>
    <t>26259198-0</t>
  </si>
  <si>
    <t>ICHIDA</t>
  </si>
  <si>
    <t>embolsando productos en maquina, (sufre golpe en su muñeca derecha contra estructura metálica).</t>
  </si>
  <si>
    <t xml:space="preserve">Eugenio </t>
  </si>
  <si>
    <t xml:space="preserve"> Rojas Astudillo</t>
  </si>
  <si>
    <t>Melanie</t>
  </si>
  <si>
    <t>20289727-4</t>
  </si>
  <si>
    <t>EMPACADOR C</t>
  </si>
  <si>
    <t>Al bajar de escalera, resbala y se golpea zona de articulación de codo izquierdo</t>
  </si>
  <si>
    <t xml:space="preserve">Muñoz Hermosilla </t>
  </si>
  <si>
    <t xml:space="preserve">Noemí </t>
  </si>
  <si>
    <t>20604286-9</t>
  </si>
  <si>
    <t>ESCALERA CASINO</t>
  </si>
  <si>
    <t xml:space="preserve">Al bajar la escalera del casino se resbala cayendo sentada en el mismo peldaño.
Refiere leve dolencia en el dedo anular sup. Izq. Al tratar de afirmarse de la barandilla
</t>
  </si>
  <si>
    <t xml:space="preserve">Salinas Sanchez  </t>
  </si>
  <si>
    <t>semana 24</t>
  </si>
  <si>
    <t>mientras sacaba los pollos de los ganchos se pasa a llevar con cuchillo de compañero</t>
  </si>
  <si>
    <t>Chaparro Piña</t>
  </si>
  <si>
    <t xml:space="preserve">Margarita </t>
  </si>
  <si>
    <t>10793262-3</t>
  </si>
  <si>
    <t>Al enredarse con guincha verde que estaba en el suelo sufre caída con contusión en rodilla izquierda y torsión de muñeca izquierda.</t>
  </si>
  <si>
    <t xml:space="preserve">Álvarez Pavez  </t>
  </si>
  <si>
    <t>9850302-1</t>
  </si>
  <si>
    <t xml:space="preserve">refiere  golpe en rodilla izq. Contra un  pilar </t>
  </si>
  <si>
    <t>Loyola Sepulveda</t>
  </si>
  <si>
    <t>Nicolas Alexander</t>
  </si>
  <si>
    <t>19972663-3</t>
  </si>
  <si>
    <t>071-21</t>
  </si>
  <si>
    <t>Realizando proceso de sanitizado en el area de deshuezado de pollo, se genera quemadura en su pierna por proyeccion de particulas</t>
  </si>
  <si>
    <t xml:space="preserve">MESA MUNOZ </t>
  </si>
  <si>
    <t>CAROL VALENTINA</t>
  </si>
  <si>
    <t>19071902-2</t>
  </si>
  <si>
    <t>072-21</t>
  </si>
  <si>
    <t xml:space="preserve">Herida abrasiva por zapato de seguridad </t>
  </si>
  <si>
    <t>Hernandez  Fuente</t>
  </si>
  <si>
    <t>10371581-4</t>
  </si>
  <si>
    <t>semana 25</t>
  </si>
  <si>
    <t>128-21</t>
  </si>
  <si>
    <t xml:space="preserve">al esponjar chiller en TROZADO DE PAVO en funcionamiento este se genera atrapamiento en mano.
Se aprecia
</t>
  </si>
  <si>
    <t xml:space="preserve">SILVA LUISI </t>
  </si>
  <si>
    <t>DYLAN JOSE</t>
  </si>
  <si>
    <t>20878834-5</t>
  </si>
  <si>
    <t xml:space="preserve"> Bravo Cabrera  </t>
  </si>
  <si>
    <t>7909217-7</t>
  </si>
  <si>
    <t xml:space="preserve">Aseo pre operacional </t>
  </si>
  <si>
    <t>EVISCERADO POLLO</t>
  </si>
  <si>
    <t>074-21</t>
  </si>
  <si>
    <t>DAVID ROMO</t>
  </si>
  <si>
    <t xml:space="preserve">cuando limpiaba pisos se resbala a causa de piso húmedo sufriendo contusión en zona lumbar   </t>
  </si>
  <si>
    <t>DANIEL GARRIDO</t>
  </si>
  <si>
    <t>Cuando iba a descolgar una bandeja, dedo queda dentro de agujeros de bandejas produciendo una leve torsión, luego al afirmar bandejas sufre golpe en la misma zona.</t>
  </si>
  <si>
    <t xml:space="preserve">Matias </t>
  </si>
  <si>
    <t>Realizando conexiones de cableado en desapilador, la puerta se abre y golpea su antebrazo</t>
  </si>
  <si>
    <t>HERNANDEZ RUIZ</t>
  </si>
  <si>
    <t xml:space="preserve"> DARBIN DANIEL</t>
  </si>
  <si>
    <t>26320718-1</t>
  </si>
  <si>
    <t>OPERARIO ASEO</t>
  </si>
  <si>
    <t>DESPLUMADO POLLO</t>
  </si>
  <si>
    <t>IMPIANTI</t>
  </si>
  <si>
    <t>075-21</t>
  </si>
  <si>
    <t>realizando proceso de aseo industrial en impiante, resbala de las placas recepcion de plumas caidas y se golpea rostro en dados deplumadores</t>
  </si>
  <si>
    <t>CARDENAS FARIAS</t>
  </si>
  <si>
    <t>LUIS</t>
  </si>
  <si>
    <t>13771600-3</t>
  </si>
  <si>
    <t>079-21</t>
  </si>
  <si>
    <t xml:space="preserve">RECOGIENDO PRODUCTOS CAIDO A PISO (TRUTOS) CON UN FIERRO TIPO GANCHO AL RELIZAR LA FUERZA ESTE SE DEVUELVE GOLPENADO MI OJO DERECHO PRODUCIENDO UN CORTE </t>
  </si>
  <si>
    <t xml:space="preserve"> Carrasco Cerda   </t>
  </si>
  <si>
    <t>Pablo</t>
  </si>
  <si>
    <t>14.246.271-0</t>
  </si>
  <si>
    <t>PANOLERO</t>
  </si>
  <si>
    <t xml:space="preserve">Sala de Herramientas </t>
  </si>
  <si>
    <t>semana 26</t>
  </si>
  <si>
    <t>080-21</t>
  </si>
  <si>
    <t xml:space="preserve">Trabajador mientras amarraba cuchillos con film, es cortado por cuchillo en brazos provocando herida cortante de aprox 5cm. </t>
  </si>
  <si>
    <t>Calderón Loyola</t>
  </si>
  <si>
    <t>21.211.537-1</t>
  </si>
  <si>
    <t>eviscerado de pavo</t>
  </si>
  <si>
    <t>EVISCERADO PAVO</t>
  </si>
  <si>
    <t xml:space="preserve">Erwin Gatica </t>
  </si>
  <si>
    <t xml:space="preserve">mientras se encontraba faenando pavos con otro compañero, coloca la mano sobre el pavo Y compañero  pasa a llevar con cuchillo provocando herida cortante en mano derecha </t>
  </si>
  <si>
    <t>JULIO</t>
  </si>
  <si>
    <t xml:space="preserve"> Santis Ramirez</t>
  </si>
  <si>
    <t>Janis</t>
  </si>
  <si>
    <t>19858836-9</t>
  </si>
  <si>
    <t>PASILLO 208</t>
  </si>
  <si>
    <t xml:space="preserve">CASTRO ALVAREZ </t>
  </si>
  <si>
    <t>MARTIN ALEXIS</t>
  </si>
  <si>
    <t>21173261-K</t>
  </si>
  <si>
    <t>EVISCERADO DE POLLO</t>
  </si>
  <si>
    <t>EVISCERADO</t>
  </si>
  <si>
    <t>semana 27</t>
  </si>
  <si>
    <t xml:space="preserve">Colaborador Mientras aspiraba pollos, le salpica de este líquido el que provoca la irritación </t>
  </si>
  <si>
    <t xml:space="preserve"> López Flores</t>
  </si>
  <si>
    <t>Gabriela</t>
  </si>
  <si>
    <t>14307273-8</t>
  </si>
  <si>
    <t>CINTA ALAS</t>
  </si>
  <si>
    <t>Separando alas en línea sufre golpe en falange proximal del dedo índice izquierdo</t>
  </si>
  <si>
    <t xml:space="preserve">MARTINEZ URBINA </t>
  </si>
  <si>
    <t>ANDRES IGNACIO</t>
  </si>
  <si>
    <t>1277295-7</t>
  </si>
  <si>
    <t>MAQUINA MOLIDO DE HUESOS</t>
  </si>
  <si>
    <t xml:space="preserve">EGDAR HERNANDEZ </t>
  </si>
  <si>
    <t xml:space="preserve"> trabajador que armaba maquina moledora de huesos Sufre trision de dedo anular izquierdo con dos estructuras</t>
  </si>
  <si>
    <t xml:space="preserve">GARATE GARATE </t>
  </si>
  <si>
    <t>CARLOS PATRICIO</t>
  </si>
  <si>
    <t>17986054-6</t>
  </si>
  <si>
    <t>Lavando pisos, sufre caída a mismo nivel, mas contusión en codo y muñeca izquierda contra el suelo a causa de que este estaba resbaloso</t>
  </si>
  <si>
    <t xml:space="preserve">CALDERON LOYOLA </t>
  </si>
  <si>
    <t>CARLOS BAYRON</t>
  </si>
  <si>
    <t>21211537-1</t>
  </si>
  <si>
    <t xml:space="preserve">Colaborador sufre herida cortante en dedo anular izquierdo al cortar buches de pollo </t>
  </si>
  <si>
    <t>Araya Soto</t>
  </si>
  <si>
    <t xml:space="preserve">Lydia </t>
  </si>
  <si>
    <t>18960440-8</t>
  </si>
  <si>
    <t>semana 28</t>
  </si>
  <si>
    <t>081-21</t>
  </si>
  <si>
    <t>al resbalar y caer , introduce la mano derecha  afirmándose en la cinta del tambler , donde no hay protección de la cinta.</t>
  </si>
  <si>
    <t xml:space="preserve"> Chaparro Muñoz</t>
  </si>
  <si>
    <t>Leandro</t>
  </si>
  <si>
    <t xml:space="preserve">CINTA PEINETA </t>
  </si>
  <si>
    <t>085-21</t>
  </si>
  <si>
    <t xml:space="preserve">Trabajador mientras sacaba visceras en cinta peineta , sufre atrision de dedo pulgar isquierdo </t>
  </si>
  <si>
    <t xml:space="preserve"> Ortiz Rondon</t>
  </si>
  <si>
    <t>Yunnior</t>
  </si>
  <si>
    <t>26604303-1</t>
  </si>
  <si>
    <t>Cámara, Calibrado</t>
  </si>
  <si>
    <t>CAMARA , CALIBRADO</t>
  </si>
  <si>
    <t>086-21</t>
  </si>
  <si>
    <t>Trabajador al girar a sacar carton compañero lo golpea con carton que compañero ya saco.</t>
  </si>
  <si>
    <t xml:space="preserve">Sandra </t>
  </si>
  <si>
    <t>27414262-6</t>
  </si>
  <si>
    <t>Sufre salpicadura de acido peracético en ambos ojos mientras trabaja en maquina Automática.</t>
  </si>
  <si>
    <t xml:space="preserve">Agustín </t>
  </si>
  <si>
    <t>16342040-6</t>
  </si>
  <si>
    <t>DESAPILADOR</t>
  </si>
  <si>
    <t>Desapilando  bandeja , una de ellas cae, (el cual venia sin tope),golpeándolo en su tobillo derecho cara externa.</t>
  </si>
  <si>
    <t xml:space="preserve">Hernandez Velásquez </t>
  </si>
  <si>
    <t xml:space="preserve">Kervis </t>
  </si>
  <si>
    <t>26298337-4</t>
  </si>
  <si>
    <t>Al pocisionar producto en carros verde en la HQ sur este pasa a llevar su mano derecha con filo de carro de pechugas</t>
  </si>
  <si>
    <t>SANDOVAL</t>
  </si>
  <si>
    <t>EDUARDO</t>
  </si>
  <si>
    <t>14562951-9</t>
  </si>
  <si>
    <t>PASILLO CAMARA 208</t>
  </si>
  <si>
    <t>semana 29</t>
  </si>
  <si>
    <t>087-21</t>
  </si>
  <si>
    <t>GONZALEZ CABELLO</t>
  </si>
  <si>
    <t xml:space="preserve"> LETICIA FERNANDA</t>
  </si>
  <si>
    <t>17397627-5</t>
  </si>
  <si>
    <t>ASEO INDUTRIAL</t>
  </si>
  <si>
    <t>SALMUELA</t>
  </si>
  <si>
    <t>097-21</t>
  </si>
  <si>
    <t>Trabajadora realizando proceso de aseo en sala salmuela, salpica producto quimico de aseo en sus ojos, sin uso de gafas de seguridad</t>
  </si>
  <si>
    <t xml:space="preserve"> Gatica Barrera</t>
  </si>
  <si>
    <t>Samuel</t>
  </si>
  <si>
    <t>19749447-6</t>
  </si>
  <si>
    <t>BODEGA 3</t>
  </si>
  <si>
    <t>089-21</t>
  </si>
  <si>
    <t xml:space="preserve">Duran Oyanedel </t>
  </si>
  <si>
    <t>3334407-1</t>
  </si>
  <si>
    <t>CAMARIN MANTENCION</t>
  </si>
  <si>
    <t xml:space="preserve">Al estar supervisando y sacando fotos al trabajo de aux, de aseo en camarines de mantención hombres y al estar una banca levantada esta es movida por abrillantadora de utilizaba una aux de aseo cayendo sobre zona posterior de pierna izq. </t>
  </si>
  <si>
    <t xml:space="preserve">Toro Orozco </t>
  </si>
  <si>
    <t xml:space="preserve">Gianina </t>
  </si>
  <si>
    <t>17518601-8</t>
  </si>
  <si>
    <t xml:space="preserve">Al estar enjuagando sector de ISHIDA al tirar la manguera que utilizaba  me golpeo codo D° con caja de herramientas de los maquinistas </t>
  </si>
  <si>
    <t xml:space="preserve">Toro Caniolao </t>
  </si>
  <si>
    <t>20464275-3</t>
  </si>
  <si>
    <t xml:space="preserve">Al estar revisando la maquina IQF 4 se encontraban sanitizando por la zona posterior  cayendo partículas del sanitizador  en ambos ojos </t>
  </si>
  <si>
    <t xml:space="preserve">Gomez Cerda </t>
  </si>
  <si>
    <t xml:space="preserve">Chis </t>
  </si>
  <si>
    <t>19750375-0</t>
  </si>
  <si>
    <t>semana 30</t>
  </si>
  <si>
    <t xml:space="preserve">indica que cuando colocaba el acido peracético diluido en la bandeja para echarle al bin este cae con fuerza salpicando acido sobre el rostro y ojo izq </t>
  </si>
  <si>
    <t>ALARCON PALMA</t>
  </si>
  <si>
    <t>JOSELYN</t>
  </si>
  <si>
    <t>17802634-8</t>
  </si>
  <si>
    <t>NO LEY</t>
  </si>
  <si>
    <t>095-21</t>
  </si>
  <si>
    <t>Mientras estaba en hora de colación se avisa que hay un gato en entretecho, el cual sacan y mientras lo llevaba hacia afuera le muerde</t>
  </si>
  <si>
    <t xml:space="preserve"> Bravo Sáez</t>
  </si>
  <si>
    <t>Alexis</t>
  </si>
  <si>
    <t>14006048-8</t>
  </si>
  <si>
    <t>PULPAS A</t>
  </si>
  <si>
    <t>094-21</t>
  </si>
  <si>
    <t>Sacaba productos, (pollo) de la maquina ishida y esta le causa un atrapamiento de su antebrazo derecho.</t>
  </si>
  <si>
    <t>Plaza Perez</t>
  </si>
  <si>
    <t xml:space="preserve">Miguel </t>
  </si>
  <si>
    <t>20137087-6</t>
  </si>
  <si>
    <t>LGF3</t>
  </si>
  <si>
    <t>Al levantar bandejas con producto, cae acido peracético dentro de botas blancas, produciendo quemadura tipo A en ambas piernas (a la altura de borde de las botas)</t>
  </si>
  <si>
    <t>Grozno Benavides</t>
  </si>
  <si>
    <t xml:space="preserve">Paulina </t>
  </si>
  <si>
    <t>16673158-5</t>
  </si>
  <si>
    <t>Al abrir una pechuga, salpica sobre su parapado inferior derecho y pomulo una sustancia gelatinosa, la cual limpia enseguida con guante, pero causa iriitacion con el paso de las horas (leve)</t>
  </si>
  <si>
    <t xml:space="preserve">Peralta Araya   </t>
  </si>
  <si>
    <t>12799150-2</t>
  </si>
  <si>
    <t>cuando le dieron la salida de la sección y al recoger sus herramientas al momento de salir se tropieza con el piso cayendo de rodillas produciendo dolor en muslo zona posterior izq</t>
  </si>
  <si>
    <t>Pizarro Soto</t>
  </si>
  <si>
    <t xml:space="preserve">Nelson </t>
  </si>
  <si>
    <t>14007760-7</t>
  </si>
  <si>
    <t>098-21</t>
  </si>
  <si>
    <t>Caminando mirando un pale , se golpea su mano derecha con caro estacionado</t>
  </si>
  <si>
    <t>Figueroa Gonzales</t>
  </si>
  <si>
    <t>11646348-2</t>
  </si>
  <si>
    <t>Proyección de líquidos, (compañero manejando bandeja, la voltea y salpica liquido en su cara).</t>
  </si>
  <si>
    <t>AGOSTO</t>
  </si>
  <si>
    <t>Cortes</t>
  </si>
  <si>
    <t xml:space="preserve">Leyna </t>
  </si>
  <si>
    <t>25205474-k</t>
  </si>
  <si>
    <t>SELLADORA</t>
  </si>
  <si>
    <t>semana 31</t>
  </si>
  <si>
    <t>Trabajadora al estar sellando producto embolsado  Sufre atrición de dedo medio izquierdo (falange distal) al posicionar la bolsa.</t>
  </si>
  <si>
    <t xml:space="preserve"> Caceres Bravo</t>
  </si>
  <si>
    <t>19213174-k</t>
  </si>
  <si>
    <t xml:space="preserve"> FRANCISCA NATALIA</t>
  </si>
  <si>
    <t>AUDITOR DE PROCESOS</t>
  </si>
  <si>
    <t>IQF2</t>
  </si>
  <si>
    <t>producto de hilo que gerenera SUPER CONTAC en oiso resvala sufriendo caida mismo nivel.</t>
  </si>
  <si>
    <t xml:space="preserve">MENDEZ DEL CASTILLO </t>
  </si>
  <si>
    <t>DANIELA ALEJANDRA</t>
  </si>
  <si>
    <t>15822820-3</t>
  </si>
  <si>
    <t>OPERARIA</t>
  </si>
  <si>
    <t>099-21</t>
  </si>
  <si>
    <t xml:space="preserve">Al estar bajando la escalera del casino al bajar el segundo peldaño colaboradora pisa mal torsiendo el tobillo </t>
  </si>
  <si>
    <t>Plaza Cañas</t>
  </si>
  <si>
    <t xml:space="preserve">Rosa </t>
  </si>
  <si>
    <t>11786087-6</t>
  </si>
  <si>
    <t>107-21</t>
  </si>
  <si>
    <t>Multiple</t>
  </si>
  <si>
    <t xml:space="preserve">Morales Jara </t>
  </si>
  <si>
    <t>PALETIZADO</t>
  </si>
  <si>
    <t xml:space="preserve">mientras se encontraba limpiando pisos resbala por piso congelado y cae de lado sufriendo contusión en hombro izquierdo  </t>
  </si>
  <si>
    <t>Rojas Pitto</t>
  </si>
  <si>
    <t xml:space="preserve">Hugo </t>
  </si>
  <si>
    <t>8434605-5</t>
  </si>
  <si>
    <t>semana 32</t>
  </si>
  <si>
    <t>108-21</t>
  </si>
  <si>
    <t xml:space="preserve"> GONZALEZ RUBIO</t>
  </si>
  <si>
    <t>ERICA</t>
  </si>
  <si>
    <t>10458580-9</t>
  </si>
  <si>
    <t>PASILLO CASINO</t>
  </si>
  <si>
    <t>REFIERE  CAIDA A NIVEL AL TROPEZAR CON UNA SILLA EN EL CASINO</t>
  </si>
  <si>
    <t>TORRES ALVARADO</t>
  </si>
  <si>
    <t>BRYAN</t>
  </si>
  <si>
    <t>20722483-9</t>
  </si>
  <si>
    <t>EVICERADO</t>
  </si>
  <si>
    <t>semana 33</t>
  </si>
  <si>
    <t>101-21</t>
  </si>
  <si>
    <t>TRABAJADOR REFIERE QUE AL BAJAR DE TARIMA EN PROCESO LAVADO DE POLLO SE GENERA GOLPE CON TINAJA AL PERCATARSE SU POSICION</t>
  </si>
  <si>
    <t>105-21</t>
  </si>
  <si>
    <t>TRABAJADOR SE ACERCA A GRUA PARA VISUALIZAR OBJETOS EN ESPACIOS REDUCIDOS , Y ES ALCANZADO POR LA GRUA EN SU PIE CONTRA PASARELA</t>
  </si>
  <si>
    <t>MAYO LAFQUEN</t>
  </si>
  <si>
    <t>12248312-6</t>
  </si>
  <si>
    <t>SUMINISTRO</t>
  </si>
  <si>
    <t>TEC. SUMINISTRO</t>
  </si>
  <si>
    <t>SISTEMA CONTROL DE CL2</t>
  </si>
  <si>
    <t>SISTEMA CL2</t>
  </si>
  <si>
    <t>106-21</t>
  </si>
  <si>
    <t>TRABAJADOR REALIZANDO MONITOREO DE NIVELES CLORITO SIN GAFAS PROTECTORAS ES ALCANZADO POR PROYECCION DE PARTICULAS EN SU OJO</t>
  </si>
  <si>
    <t>Morales SOTO</t>
  </si>
  <si>
    <t>PABLO</t>
  </si>
  <si>
    <t>17683434-K</t>
  </si>
  <si>
    <t>102-21</t>
  </si>
  <si>
    <t>TRABAJADOR REALIZANDO COLGADO DE PRODUCTO EN CARROS DE HQ SE RESBALA PRODUCTO DE SU MANO Y S EGENERA CORTE CON CARRO</t>
  </si>
  <si>
    <t>PEÑA</t>
  </si>
  <si>
    <t>17229551-7</t>
  </si>
  <si>
    <t>OPERADOR MAQUINARIA</t>
  </si>
  <si>
    <t>103-21</t>
  </si>
  <si>
    <t>TRABAJADOR ELEIMIANDO CARRO VERDE TRABADO EN HQ SE GENERA CORTE PROFUNDO EN PALMA DE SU MANO DERECHA</t>
  </si>
  <si>
    <t>LIBERGE</t>
  </si>
  <si>
    <t xml:space="preserve">CHERY . </t>
  </si>
  <si>
    <t>26191219-8</t>
  </si>
  <si>
    <t>CINTA TRASPORTADORA</t>
  </si>
  <si>
    <t>semana 34</t>
  </si>
  <si>
    <t>TRABAJADORA ACOMODANDO CINTA EN LINEA ESTA SE RESBALA Y  GOLPEA SU DEDO ANULAR DERECHO</t>
  </si>
  <si>
    <t xml:space="preserve">ABARCA  </t>
  </si>
  <si>
    <t>104-21</t>
  </si>
  <si>
    <t>TRABAJADOR A RETIRAR PRODUCTO DE EQUIPO ISHIDA SE GENERA UN CORTE CON PROFUNDIDAD EN SU MANO DERECHA</t>
  </si>
  <si>
    <t>SEPTIEMBRE</t>
  </si>
  <si>
    <t>MARDONEZ</t>
  </si>
  <si>
    <t>IGNACIO</t>
  </si>
  <si>
    <t>19411864-3</t>
  </si>
  <si>
    <t>semana 35</t>
  </si>
  <si>
    <t>REALIZANDO UN ETIRO DE MANGUERA PLASTICA, APLICO UNA FUERZA MAYOR A LO ACUSTUMBRADO LO QUE PROBOCO QUE ARRASTRARA LA PISTOLA DE ACERO EN LA BOQUILLA Y ESTA GOLPEARA SU MANO</t>
  </si>
  <si>
    <t>LUCERO</t>
  </si>
  <si>
    <t>BENITO</t>
  </si>
  <si>
    <t>17902888-3</t>
  </si>
  <si>
    <t>REVISANDO INSUMOS DE RODILLO ESTE SE RESBALA Y EN SU CAIDA LE GOLPEA EN SU DEDO PULGAR DERECHO</t>
  </si>
  <si>
    <t>TERESA BAHAMONDEZ</t>
  </si>
  <si>
    <t xml:space="preserve">MARIA  </t>
  </si>
  <si>
    <t>11527148-2</t>
  </si>
  <si>
    <t>semana 36</t>
  </si>
  <si>
    <t>TRABAJADORA POR DECISIÓN AUTONOMA DECIDE LEVANTAR POLIN SIN PREVIA AUTORIZACION ESTE SE LE CAE SOBRE PIERNA GENERANDO DOLENCIA</t>
  </si>
  <si>
    <t>TORO</t>
  </si>
  <si>
    <t>JUAN</t>
  </si>
  <si>
    <t>semana 37</t>
  </si>
  <si>
    <t>MARADRIAGA</t>
  </si>
  <si>
    <t>DAVID</t>
  </si>
  <si>
    <t>18188291-3</t>
  </si>
  <si>
    <t>TRABAJADOR REALIZANDO PROCESO DE MANTENCION CON EQUIPO CALOR SE GENERA QUEMADURA EN LA MANO DERECHA</t>
  </si>
  <si>
    <t>GARCIA</t>
  </si>
  <si>
    <t>JORGE</t>
  </si>
  <si>
    <t>11777249-7</t>
  </si>
  <si>
    <t>115-21</t>
  </si>
  <si>
    <t>TRABAJADOR REALIZANDO ACOMODACION DE LAS CAJAS EN CARRO METALICO EN CAMARA DE FRIO ESTA RESBALA POR ACCION DEL MOVIMEINTO Y GENERA CAIDA DE OBJETO SOBRE LA CABEZA</t>
  </si>
  <si>
    <t>GUAJARDO</t>
  </si>
  <si>
    <t xml:space="preserve">SEBASTIAN  </t>
  </si>
  <si>
    <t>19211824-7</t>
  </si>
  <si>
    <t>INYECTADORA 450</t>
  </si>
  <si>
    <t>semana 38</t>
  </si>
  <si>
    <t>TRABAJADOR REALIZANDO LIMPIEZA DE CABEZAL EN INYECTADORA 450 GNERO APOYO EN PIPING  Y RESBALA GENERANDO APRETON EN SU MANO AL MOMENTO DE LA CAIDA AL SOSTENER SU CAIDA</t>
  </si>
  <si>
    <t>ASTUDILLO</t>
  </si>
  <si>
    <t>MELANY</t>
  </si>
  <si>
    <t>116-21</t>
  </si>
  <si>
    <t>TRABAJADORA REALIZANDO MOVIMIENTO DE CAJAS EN SUS PIES SE ENRREDA CON SUNCHO EN LOS DOS PIES LO QUE GENERA CAIDA DE MISMO NIVEL SOPORTANDO CAIDA CON SU MANO DERECHA</t>
  </si>
  <si>
    <t>QUIROGA</t>
  </si>
  <si>
    <t>CAROLINA</t>
  </si>
  <si>
    <t>13560054-7</t>
  </si>
  <si>
    <t xml:space="preserve">CAMARIN  </t>
  </si>
  <si>
    <t xml:space="preserve">TRABAJADORA EN MANIPULACION DE UN SIPER EN MAL ESTADO SE GENERA HERIDA CORTANTE SUPERFICIAL EN SU MANO DERECHA </t>
  </si>
  <si>
    <t xml:space="preserve">ESTEBAN </t>
  </si>
  <si>
    <t>18514044-K</t>
  </si>
  <si>
    <t>ESTACION INMERCION</t>
  </si>
  <si>
    <t>117-21</t>
  </si>
  <si>
    <t>FABIAN GONZALEZ</t>
  </si>
  <si>
    <t>TRABAJADOR REALIZANDO SANITIZACION DEL PRODUCTO EN DESHUEZADO DE POLLO SE GENERA ALCANCE A SUS PIES DE PROYECCION DE PARTICULAS DE ACIDO PERACETICO</t>
  </si>
  <si>
    <t>ROMANA</t>
  </si>
  <si>
    <t>TRABAJADOR REALIZANDO MOVIENTO DE PALLET EN SECTOR ROMANA DE REPORTE DE CAJAS NO S EPERCATA DE UN CLAVO SOBRE SALIENTE Y SE GENERA HERIDA PUNZANTE EN DEDO MEDIO MANO DERECHA</t>
  </si>
  <si>
    <t>COLINA</t>
  </si>
  <si>
    <t>ISABEL VILCHES</t>
  </si>
  <si>
    <t>11789453-7</t>
  </si>
  <si>
    <t>MATELUNA SILVA</t>
  </si>
  <si>
    <t>FRANCISCO</t>
  </si>
  <si>
    <t>21173172-9</t>
  </si>
  <si>
    <t>ESCALA RECEPCION DE BOTAS</t>
  </si>
  <si>
    <t>semana 39</t>
  </si>
  <si>
    <t xml:space="preserve"> N/A</t>
  </si>
  <si>
    <t>PATRICIO PALACIOS</t>
  </si>
  <si>
    <t>TRABAJADOR EN DECENSO DE ESCALAS COMUNES PASILLO RECEPCION DE BOTAS, EVIENCIA PISO HUMEDO Y SE GENERA CAIDA GENERANDO TORCEDURA DE PIE DERECHO</t>
  </si>
  <si>
    <t xml:space="preserve">INFANTE VILCHES </t>
  </si>
  <si>
    <t>ELCIRA</t>
  </si>
  <si>
    <t>11801059-0</t>
  </si>
  <si>
    <t>129-21</t>
  </si>
  <si>
    <t>TRABAJADORA EN PROCESO DE RECOGER PRODUCTO NIVEL DE SUELO CAE PRODUCTO DE CINTA (PECHUGA) EN SU CABEZA</t>
  </si>
  <si>
    <t>OCTUBRE</t>
  </si>
  <si>
    <t>CABEZAS</t>
  </si>
  <si>
    <t>GABRIEL</t>
  </si>
  <si>
    <t>20605017-9</t>
  </si>
  <si>
    <t>PAUL</t>
  </si>
  <si>
    <t>JEAN</t>
  </si>
  <si>
    <t>26040931-K</t>
  </si>
  <si>
    <t>PASILLO TAMBLER</t>
  </si>
  <si>
    <t>120-21</t>
  </si>
  <si>
    <t>RIQUELME</t>
  </si>
  <si>
    <t>LUCIA</t>
  </si>
  <si>
    <t>7577540-7</t>
  </si>
  <si>
    <t>OPERARIO DE ASEO</t>
  </si>
  <si>
    <t>OFICINA</t>
  </si>
  <si>
    <t>semana 40</t>
  </si>
  <si>
    <t>122-21</t>
  </si>
  <si>
    <t>TRABAJADORA REALIZANDO PROCESO DE ASEO CON CLORO ESTE SALPICA Y TIENE ALCANCE EN SUS OJOS</t>
  </si>
  <si>
    <t>Palma Cortes</t>
  </si>
  <si>
    <t>7400385-0</t>
  </si>
  <si>
    <t>CUCHILLO CORTA COGOTE</t>
  </si>
  <si>
    <t>123-21</t>
  </si>
  <si>
    <t xml:space="preserve">COLABORADOR AL REALIZAR TRABAJOS DE LIMPIEZA EN MAQUINA CORTADORA DE COGOTES, SUFRE HERIDA AVULSIVA EN ZONA DE GEMA DEL DEDO MEDIO </t>
  </si>
  <si>
    <t xml:space="preserve">COLABORADOR CUANDO RECOGIA PRODUCTO CAIDO A PISO RESBALA CON SU PIE ISQUIERDO GOLPEANDO SU RODILLA DERECHA CON ESTRUCTURA </t>
  </si>
  <si>
    <t xml:space="preserve">TOBAR MELLA </t>
  </si>
  <si>
    <t>11743338-2</t>
  </si>
  <si>
    <t xml:space="preserve">ESCALERA PASILLO PRINCIPAL </t>
  </si>
  <si>
    <t xml:space="preserve">TRABAJADORA AL BAJAR ESCALERA PRINCIPAL CAMINO A BUSCAR ROPA DE TRABAJO PISA FUERTE SINTIENDO DOLENCIA EN LA RODILLA </t>
  </si>
  <si>
    <t xml:space="preserve">VERA SANCHEZ </t>
  </si>
  <si>
    <t>16541466-7</t>
  </si>
  <si>
    <t>CORTADOR</t>
  </si>
  <si>
    <t>TOBOGAN DE HUESOS</t>
  </si>
  <si>
    <t>124-21</t>
  </si>
  <si>
    <t xml:space="preserve">TRABAJADOR AL RETIRAR TAPA DE TOBOGAN DE HUESOS ESTA SE RESBALA Y GOLPEA SU CEJA DERECHA PRODUCIOENDO CORTE </t>
  </si>
  <si>
    <t>RAMOS</t>
  </si>
  <si>
    <t>ANDERSON</t>
  </si>
  <si>
    <t>17152588-8</t>
  </si>
  <si>
    <t>OPERADOR</t>
  </si>
  <si>
    <t>EXTERIOR</t>
  </si>
  <si>
    <t>semana 41</t>
  </si>
  <si>
    <t>125-21</t>
  </si>
  <si>
    <t>JORGE CONTRERAS</t>
  </si>
  <si>
    <t>TRABAJADOR EN BUSQUEDA DE SUS PERTENENCIAS EN SECTOR DE ESTACIONAMIENTO TROPIEZA CON SUPERFICIE DE TRABAJO EN DESNIVEL DEL ESTACIONAMIENTO Y SE GENERA DOLENCIA EN EL TOBILLO DERECHO</t>
  </si>
  <si>
    <t xml:space="preserve">CADIN CADIN </t>
  </si>
  <si>
    <t xml:space="preserve">ABIGAIL </t>
  </si>
  <si>
    <t>18625132-6</t>
  </si>
  <si>
    <t>Sufre salpicadura de unas gotas de acido peracetico en ojo izquierdo. Sin enrojecimiento, sin fotosensibilidad, sin lagrimeo. Leve inflamación en parpado superior izquierdo.</t>
  </si>
  <si>
    <t xml:space="preserve">JARA HERNANDES </t>
  </si>
  <si>
    <t xml:space="preserve">IGNACIO </t>
  </si>
  <si>
    <t>18960169-7</t>
  </si>
  <si>
    <t>MOVILIZADOR ELECTRICO</t>
  </si>
  <si>
    <t>TUNEL 1</t>
  </si>
  <si>
    <t xml:space="preserve">CABLE </t>
  </si>
  <si>
    <t>Equipo electricos</t>
  </si>
  <si>
    <t>Contacto con electricidad</t>
  </si>
  <si>
    <t xml:space="preserve"> COLABORADOR AL INGRESAR A RETIRAR PALLET EN TUNEL 1 SUFRE GOLPE DE CORIENTE CON CABLE EN MAL ESTADO </t>
  </si>
  <si>
    <t>Mallea Miranda</t>
  </si>
  <si>
    <t>20310876-1</t>
  </si>
  <si>
    <t>131-21</t>
  </si>
  <si>
    <t xml:space="preserve">Sacando un palo roto de un pallet, sufre herida punzante en superficie plantar del pie derecho </t>
  </si>
  <si>
    <t>132-21</t>
  </si>
  <si>
    <t>TRABAJADORA TRANSPORTANDO MATERIALES (CUCHILLOS) ESTOS CAEN Y AL EVITAR QUE CAIGAN SE GENERA CORTE EN SU DEDO INDICE DE LA MANO DERECHA</t>
  </si>
  <si>
    <t>Espinoza Maldonado</t>
  </si>
  <si>
    <t>ROMINA</t>
  </si>
  <si>
    <t>17986193-3</t>
  </si>
  <si>
    <t>SALA DE BOTAS</t>
  </si>
  <si>
    <t>ARAÑA</t>
  </si>
  <si>
    <t>semana 43</t>
  </si>
  <si>
    <t>138-21</t>
  </si>
  <si>
    <t xml:space="preserve"> Colaboradora  al estar realizando aseo en muralla se percata de la presencia de una araña y al tratar de botarla con un escobillón esta cae sobre ella provocando una mordida en la mano izquierda </t>
  </si>
  <si>
    <t xml:space="preserve">VERA LOBOS </t>
  </si>
  <si>
    <t xml:space="preserve">CARLOS </t>
  </si>
  <si>
    <t>LAMINADOR</t>
  </si>
  <si>
    <t>SIERRA CIRCULAR</t>
  </si>
  <si>
    <t xml:space="preserve">COLABORADOR AL ESTAR CORTANDO TRUTO ALA CORTA SEÑALA QUEDAR ATRAPADO SU GUANTE EN EL DISCO DE CORTE EN MAL ESTADO </t>
  </si>
  <si>
    <t xml:space="preserve"> Jara Nuñez</t>
  </si>
  <si>
    <t>Britany</t>
  </si>
  <si>
    <t>20871278-0</t>
  </si>
  <si>
    <t>DESHUESADO POLLO B</t>
  </si>
  <si>
    <t xml:space="preserve">INMERSION FILETILLO </t>
  </si>
  <si>
    <t xml:space="preserve">COMPAÑERO AL HACER TRABAJOS DE INMERSION DE FILITILLO AL SACAR BANDEJAS CON PRODUCTO GENERA PROYECCION DE ACIDO PERACETICO  PRODUCIENDO EL CONTACTO CON LOS OJOS DE TRABAJADORA </t>
  </si>
  <si>
    <t xml:space="preserve"> Cabezas López</t>
  </si>
  <si>
    <t>20123754-8</t>
  </si>
  <si>
    <t>TUNEL</t>
  </si>
  <si>
    <t>semana 44</t>
  </si>
  <si>
    <t>FRANCISCO QUEZADA</t>
  </si>
  <si>
    <t xml:space="preserve">NIDIA AGUILERA </t>
  </si>
  <si>
    <t xml:space="preserve">COLABORADOR AL ABRIR PUERTA TUNEL RESIBE BRISA HIELO EN OJO </t>
  </si>
  <si>
    <t>muñoz</t>
  </si>
  <si>
    <t>Jessica</t>
  </si>
  <si>
    <t>16669807-3</t>
  </si>
  <si>
    <t xml:space="preserve">cueva  </t>
  </si>
  <si>
    <t>9462795-8</t>
  </si>
  <si>
    <t>VERA</t>
  </si>
  <si>
    <t>13345996-0</t>
  </si>
  <si>
    <t>realizando movimiento de bins en camara 208 se genera tiron en codo</t>
  </si>
  <si>
    <t>Tapia Vera</t>
  </si>
  <si>
    <t>Maria</t>
  </si>
  <si>
    <t>15404921-5</t>
  </si>
  <si>
    <t>154-21</t>
  </si>
  <si>
    <t xml:space="preserve">COLABORADORA AL JALAR CUERO DE PECHUGA  SIENTE DOLOR  EN DEDO PULGAR </t>
  </si>
  <si>
    <t>NOVIEMBRE</t>
  </si>
  <si>
    <t>Cristian Muñoz</t>
  </si>
  <si>
    <t>13338968-7</t>
  </si>
  <si>
    <t>PRINCE</t>
  </si>
  <si>
    <t>139-21</t>
  </si>
  <si>
    <t>RONALD ONELL</t>
  </si>
  <si>
    <t>Al guardar tornillo antiguo en envase de tornillo nuevo, este se resbala de sus manos y golpea de su dedo índice provocando herida.</t>
  </si>
  <si>
    <t xml:space="preserve"> Osorio Lizam</t>
  </si>
  <si>
    <t>Catalina</t>
  </si>
  <si>
    <t>1906877-1</t>
  </si>
  <si>
    <t>Sufre caída a mismo nivel a causa de piso resbaladizo. Refiere dolor en mano derecha luego de apoyarla contra el suelo al momento de caer.</t>
  </si>
  <si>
    <t xml:space="preserve"> Leiva Salazar</t>
  </si>
  <si>
    <t>Matias</t>
  </si>
  <si>
    <t>20279064-K</t>
  </si>
  <si>
    <t>semana 45</t>
  </si>
  <si>
    <t>colaborador armando palett se tuerse el dedo con caja de producto</t>
  </si>
  <si>
    <t>DANIELA</t>
  </si>
  <si>
    <t>Semana 48</t>
  </si>
  <si>
    <t>158-21</t>
  </si>
  <si>
    <t xml:space="preserve">TRABAJADORA REALIZANDO PROCESO DE TRABAJO EN AUTOMATICO LE CAE EN SU CABEZA CARRO DE COLGADO DE POLLO </t>
  </si>
  <si>
    <t>SILVA</t>
  </si>
  <si>
    <t>19069397-K</t>
  </si>
  <si>
    <t>Semana 44</t>
  </si>
  <si>
    <t>En proceso retiro de laborales trabajador sufre caida mismo nivel, generando  contusion en su codo izquierdo</t>
  </si>
  <si>
    <t>morales muñoz</t>
  </si>
  <si>
    <t>jaime</t>
  </si>
  <si>
    <t>10410053-8</t>
  </si>
  <si>
    <t>Sufre contusión en región parietal del cráneo con ventana del sector de Romana</t>
  </si>
  <si>
    <t>GUATEMALA</t>
  </si>
  <si>
    <t>26320174-4</t>
  </si>
  <si>
    <t>ESTANQUE SALMUELA</t>
  </si>
  <si>
    <t>Semana 46</t>
  </si>
  <si>
    <t>trabajador en proceso de limpieza equipo salmuela en IQF,  no mide su distancia visulamente ya que no tenia sus lentes opticos  y se genera golpe en su rodilla contra equipo</t>
  </si>
  <si>
    <t>Semana 47</t>
  </si>
  <si>
    <t>golpea su dedo indice izquierdo con rollo de film, el cual bajaba desde tarima muy fuerte para posicionarlo en el suelo</t>
  </si>
  <si>
    <t>Lacauty</t>
  </si>
  <si>
    <t>Junnior</t>
  </si>
  <si>
    <t>23746058-8</t>
  </si>
  <si>
    <t>trabajador realizando movimiento de pallet, este resbala y cae golpeando uno de sus dedos</t>
  </si>
  <si>
    <t>roa</t>
  </si>
  <si>
    <t>patricio</t>
  </si>
  <si>
    <t>17048139-6</t>
  </si>
  <si>
    <t xml:space="preserve">IQF </t>
  </si>
  <si>
    <t>156-21</t>
  </si>
  <si>
    <t>Realizando corte de fiml este se pasa a llevar su dedo indice derecho con corta carton ocasionando una herida abrasiva</t>
  </si>
  <si>
    <t>lucero</t>
  </si>
  <si>
    <t>miguel</t>
  </si>
  <si>
    <t>19419919-8</t>
  </si>
  <si>
    <t>SALA BATERIA</t>
  </si>
  <si>
    <t>Bahamundes</t>
  </si>
  <si>
    <t>LAMINADO DE BANDEJAS</t>
  </si>
  <si>
    <t>trabajadora realizando proceso de laminado en cercania de su compañera pasa a llevar con bandeja su codo generando contucion en la zona</t>
  </si>
  <si>
    <t>isabel</t>
  </si>
  <si>
    <t>PASILLO AUTOMATICO 208</t>
  </si>
  <si>
    <t>santibañez</t>
  </si>
  <si>
    <t>maria</t>
  </si>
  <si>
    <t>12798814-5</t>
  </si>
  <si>
    <t>trabajadora subre dolencia  en su hombro derecho al bajar bins para recibir productos</t>
  </si>
  <si>
    <t xml:space="preserve">González </t>
  </si>
  <si>
    <t>SHILLER</t>
  </si>
  <si>
    <t>155-21</t>
  </si>
  <si>
    <t xml:space="preserve">Al limpiar sus botas en filtro sanitario de chiller, resbala hacia delante golpeando ambas rodillas </t>
  </si>
  <si>
    <t xml:space="preserve">GONZALEZ </t>
  </si>
  <si>
    <t xml:space="preserve">JAVIER </t>
  </si>
  <si>
    <t>20145867-6</t>
  </si>
  <si>
    <t>157-21</t>
  </si>
  <si>
    <t>Sufre salpicadura de bio-remove (diluido en agua) en pierna izquierda a la altura de borde de la bota blanca, provocando quemadura tipo A-B</t>
  </si>
  <si>
    <t>DICIEMBRE</t>
  </si>
  <si>
    <t>Redondo Jimenez</t>
  </si>
  <si>
    <t xml:space="preserve">Felipe </t>
  </si>
  <si>
    <t>117082329-k</t>
  </si>
  <si>
    <t>Semana 49</t>
  </si>
  <si>
    <t>herida superficial en dedo pulgar sup. der. Con punta de gancho, al estar realizando mantencion en los carros de equipos HQ</t>
  </si>
  <si>
    <t>Viafara</t>
  </si>
  <si>
    <t>26734062-5</t>
  </si>
  <si>
    <t>Semana 50</t>
  </si>
  <si>
    <t>Refiere que al tropezar se golpeó el dedo provocando un rasmillón en el dedo</t>
  </si>
  <si>
    <t>Toro Caniuleo</t>
  </si>
  <si>
    <t>MAQUINISTA</t>
  </si>
  <si>
    <t>TRABAJADOR AL REALIZAR CAMBIO DE AGUJAS EN INYECTORA ESTAS AL ESTAR MUY AJUSTADAS REALIZA UN MAL MOVIMIENTO MECANICO CON LA HERRAMIENTA Y SE GENERA HERIDA SUPERFICIAL CORTANTE EN DEDO INDICE DE LA MANO DERECHA</t>
  </si>
  <si>
    <t>ROJAS</t>
  </si>
  <si>
    <t>ALEJANDRO</t>
  </si>
  <si>
    <t>14007603-1</t>
  </si>
  <si>
    <t xml:space="preserve">Trabajador al rebalar en piso al apoyarse en maquinagenera una por un corte pequeño superficial </t>
  </si>
  <si>
    <t>CASTRO</t>
  </si>
  <si>
    <t xml:space="preserve">ROBERTO </t>
  </si>
  <si>
    <t>14307188-K</t>
  </si>
  <si>
    <t>Trabajador realizando desplazamiento por areas exteriores de planta en proceso de trabajo se genera dobles de tobillo izquierdo</t>
  </si>
  <si>
    <t>FERRADA REBOLLEDO</t>
  </si>
  <si>
    <t xml:space="preserve">RODOLFO ANDRES </t>
  </si>
  <si>
    <t>21537415-7</t>
  </si>
  <si>
    <t>CONGELADORA PLACAS</t>
  </si>
  <si>
    <t>Semana 51</t>
  </si>
  <si>
    <t>REALIZANDO POSICIONAMIENTO DE PLACAS EN PULPA SE APRESIONA SU DEDO MEDIO ENTRE ELEMENTOS DE PLACAS AL POSICIONARLA</t>
  </si>
  <si>
    <t>GALAMES OSORIO</t>
  </si>
  <si>
    <t>JORGE IGNACIO</t>
  </si>
  <si>
    <t>18610937-6</t>
  </si>
  <si>
    <t>TRABAJADOR SUFRE LUXACION DE DEDO MEDIO DURANTE EL PROCESO LAMINADO CON CAJAS, AL RESBALAR CAJA EN PROCESO DE CARGA</t>
  </si>
  <si>
    <t>GONZALEZ</t>
  </si>
  <si>
    <t>9160233-4</t>
  </si>
  <si>
    <t>LINEA ESTRELLA</t>
  </si>
  <si>
    <t>TRABAJADOR TIRANDO LA LINEA DE CHILLER DE AIRE SE ATRAPA EL GUANTE DE LA MANO CON ESTRELLA GENERANDO CORTE PROFUNDO EN DEDO PULGAR DERECHO</t>
  </si>
  <si>
    <t>VELIZ CALDERON</t>
  </si>
  <si>
    <t xml:space="preserve"> KEVIN ARTURO</t>
  </si>
  <si>
    <t>19849329-5</t>
  </si>
  <si>
    <t>COLGADO DE POLLO</t>
  </si>
  <si>
    <t>REALIZANDO COLGADO DE AVE EN RECEPCION DE POLLO CAE RESIDUO ANIMAL A SUS OJOS SIN USO DE GAFAS</t>
  </si>
  <si>
    <t>ARAYA</t>
  </si>
  <si>
    <t>20136224-5</t>
  </si>
  <si>
    <t>ISMAEL SANTIS</t>
  </si>
  <si>
    <t xml:space="preserve">REALIZANDO CORTE DE LINEA SHILLER CON TECLE ESTE ESTE GOLPEA SU MANO CON HERRAMIENTA DE TRABAJO   </t>
  </si>
  <si>
    <t xml:space="preserve">  </t>
  </si>
  <si>
    <t>Acc. CTP</t>
  </si>
  <si>
    <t>DiaSuceso</t>
  </si>
  <si>
    <t>AGENTE ACC.</t>
  </si>
  <si>
    <t>TIPOLOGIA LESION</t>
  </si>
  <si>
    <t>TIPO ACC.</t>
  </si>
  <si>
    <t>ACCION INSEGURA</t>
  </si>
  <si>
    <t>INVESTIGACIÓN 
DE ACCIDENTE</t>
  </si>
  <si>
    <t>Acc. STP</t>
  </si>
  <si>
    <t>EP CTP</t>
  </si>
  <si>
    <t>Contacto con sustancias corrosivas</t>
  </si>
  <si>
    <t>Operar sin autorizacion</t>
  </si>
  <si>
    <t>EP STP</t>
  </si>
  <si>
    <t>Temperatura Extrema</t>
  </si>
  <si>
    <t>Cara</t>
  </si>
  <si>
    <t>Herida punzante</t>
  </si>
  <si>
    <t>Contacto con sustancias toxicas</t>
  </si>
  <si>
    <t>Operar a velocidad insegura</t>
  </si>
  <si>
    <t>Acc. Trayecto</t>
  </si>
  <si>
    <t>Herida abrasiva</t>
  </si>
  <si>
    <t>Omitir o neutralizar dispositivos de seguridad</t>
  </si>
  <si>
    <t>Acc. Grave</t>
  </si>
  <si>
    <t>CALIDAD</t>
  </si>
  <si>
    <t>Uso inadecuado de herramientas y elementos de proteccion</t>
  </si>
  <si>
    <t>Acc. Fatal</t>
  </si>
  <si>
    <t>Fractura</t>
  </si>
  <si>
    <t>Contacto con cuerpo punzante</t>
  </si>
  <si>
    <t>Mal manejo de materiales</t>
  </si>
  <si>
    <t>Sábado</t>
  </si>
  <si>
    <t xml:space="preserve"> Equipos Transporte de carga</t>
  </si>
  <si>
    <t>Amputacion</t>
  </si>
  <si>
    <t>Ubicarse en posiciones y posturas inseguras</t>
  </si>
  <si>
    <t>NEP</t>
  </si>
  <si>
    <t>piernas</t>
  </si>
  <si>
    <t>Lumbago</t>
  </si>
  <si>
    <t xml:space="preserve">Golpeado por </t>
  </si>
  <si>
    <t xml:space="preserve">Intervenir equipos energizados y/o en movimiento </t>
  </si>
  <si>
    <t>NAT Trayecto</t>
  </si>
  <si>
    <t>No uso de equipos proteccion personal</t>
  </si>
  <si>
    <t>Arrastre Acc. CTP</t>
  </si>
  <si>
    <t>Herramientas de mano</t>
  </si>
  <si>
    <t>No respeta señaletiza</t>
  </si>
  <si>
    <t>Arrastre EP</t>
  </si>
  <si>
    <t>Gases - vapores</t>
  </si>
  <si>
    <t>Lesion interna</t>
  </si>
  <si>
    <t>Accion de terceros</t>
  </si>
  <si>
    <t>Arrastre Acc. Trayecto</t>
  </si>
  <si>
    <t>Esguince</t>
  </si>
  <si>
    <t>Uso de vestuario o elementos inadecuados</t>
  </si>
  <si>
    <t>77 BIS</t>
  </si>
  <si>
    <t>Shock Electrico</t>
  </si>
  <si>
    <t>Conducta o coportamiento inadecuado</t>
  </si>
  <si>
    <t>Reingreso Acc.</t>
  </si>
  <si>
    <t>Muscular</t>
  </si>
  <si>
    <t>No advertir ni señalar</t>
  </si>
  <si>
    <t>Reingreso EP</t>
  </si>
  <si>
    <t>Exposicion a humo y gases</t>
  </si>
  <si>
    <t>Actuar sin avisar u orden</t>
  </si>
  <si>
    <t>Reingreso trayecto</t>
  </si>
  <si>
    <t>Desviarse del procedimiento de trabajo</t>
  </si>
  <si>
    <t>Elemento cortante</t>
  </si>
  <si>
    <t>Mal uso de EPP</t>
  </si>
  <si>
    <t>Nº NC/PNC</t>
  </si>
  <si>
    <t>CLASIFICACIÓN EMERGENCIA</t>
  </si>
  <si>
    <t>TIPO EMERGENCIA</t>
  </si>
  <si>
    <t>FECHA INCIDENTE</t>
  </si>
  <si>
    <t>HORA INCIDENTE</t>
  </si>
  <si>
    <t>FECHA DENUNCIA</t>
  </si>
  <si>
    <t xml:space="preserve">AREA </t>
  </si>
  <si>
    <t>LUGAR ESPECIFICO</t>
  </si>
  <si>
    <t>CAUSA</t>
  </si>
  <si>
    <t>EQUIPO</t>
  </si>
  <si>
    <t>DAÑO OCASIONADO</t>
  </si>
  <si>
    <t>ORGANISMO EXTERNO APOYO</t>
  </si>
  <si>
    <t>PARTICIPACION BRIGADA</t>
  </si>
  <si>
    <t>EVALUADO EN MATRIZ</t>
  </si>
  <si>
    <t>DESCRPCIÓN DE LA EMERGENCIA</t>
  </si>
  <si>
    <t>007-21</t>
  </si>
  <si>
    <t>SEGURIDAD</t>
  </si>
  <si>
    <t>Fuga Amoniaco</t>
  </si>
  <si>
    <t>SECTOR 4 -SADEMA</t>
  </si>
  <si>
    <t>FUGA DE VALVULA</t>
  </si>
  <si>
    <t>sistema de frio</t>
  </si>
  <si>
    <t>n/a</t>
  </si>
  <si>
    <t>no</t>
  </si>
  <si>
    <t>Si</t>
  </si>
  <si>
    <t>fuga en sector 4 con variantes de 24 a 100 ppm en sensores de sadema</t>
  </si>
  <si>
    <t>011-21</t>
  </si>
  <si>
    <t>ENTRE TECHO CAMARA 208</t>
  </si>
  <si>
    <t>VALVULA CONTROL SISTEMA FRIO 208</t>
  </si>
  <si>
    <t>SE EVIDENCIA PRESENCIA DE NH3 (AMONIACO) EN ENTRE TECHO DE IQF CON PROVINECIA DE CONTORL DE VALVULAS DE SISTEMA DE FRIO EN CAMARA 208</t>
  </si>
  <si>
    <t>010-21</t>
  </si>
  <si>
    <t>Derrames</t>
  </si>
  <si>
    <t>ESTACIÓN HIPOCLORITO</t>
  </si>
  <si>
    <t>ROTURA DE FLANJE</t>
  </si>
  <si>
    <t>ESTACION HIPOCLORITO</t>
  </si>
  <si>
    <t>Durante el proceso de limpieza de pretil de estación hipoclorito, se genera incidente en rotura de franje (parte de codo para trasvasije de sustancia peligrosa), generando derrame de aproximadamente 500 lt.</t>
  </si>
  <si>
    <t>023-21</t>
  </si>
  <si>
    <t>PRESURACION EN CONJUNTO VALVULA (MANOMETRO)</t>
  </si>
  <si>
    <t>CONJUNTO DE VALVULA</t>
  </si>
  <si>
    <t>EMISIONES NH3</t>
  </si>
  <si>
    <t>En conjunto de válvulas sistema de amoniaco (NH3) en CALIBRADO A (unidad evaporadora 59) se generó filtración en manómetro en el conjunto de control, logrando una medición de 100 ppm (nh3).</t>
  </si>
  <si>
    <t>056-21</t>
  </si>
  <si>
    <t>camara 202</t>
  </si>
  <si>
    <t>evaporador</t>
  </si>
  <si>
    <t xml:space="preserve">• Fuga de NH3 en equipo evaporador , lo cual genera una concentración máxima de 72 ppm en cámara 202 y 35 ppm pasillo C frigorífico. </t>
  </si>
  <si>
    <t>060-21</t>
  </si>
  <si>
    <t>ESTANQUE RECIBIDOR</t>
  </si>
  <si>
    <t>BOMBA CIRCULACION</t>
  </si>
  <si>
    <t>SISTEMA FRIO</t>
  </si>
  <si>
    <t>PRESENCIA DE AMONIACO SOBRE 45 PPM, EN SALA MAQUINAS EN ESTANQUE RECIBIDOR EN SISTEMA DE BOMBEO NH3</t>
  </si>
  <si>
    <t>Sismos</t>
  </si>
  <si>
    <t>AMBIENTAL</t>
  </si>
  <si>
    <t>Terremoto</t>
  </si>
  <si>
    <t>Sistemas Frontales</t>
  </si>
  <si>
    <t>INOCUIDAD</t>
  </si>
  <si>
    <t>Explosiones</t>
  </si>
  <si>
    <t>SEG./AMBIENTE</t>
  </si>
  <si>
    <t>SEG/AMB/CALIDAD</t>
  </si>
  <si>
    <t>Amago de Incendio</t>
  </si>
  <si>
    <t>AMB/CALIDAD</t>
  </si>
  <si>
    <t>Incendios químicos</t>
  </si>
  <si>
    <t>SEG/CALIDAD</t>
  </si>
  <si>
    <t>Incendio</t>
  </si>
  <si>
    <t>Incendio forestal</t>
  </si>
  <si>
    <t>Accidente grave o fatal</t>
  </si>
  <si>
    <t>Emergencia Sanitaria</t>
  </si>
  <si>
    <t>Huelgas y/o manifestaciones</t>
  </si>
  <si>
    <t>Terrorismo</t>
  </si>
  <si>
    <t>Bioterrorismo</t>
  </si>
  <si>
    <t>Fugas</t>
  </si>
  <si>
    <t>Exposición qca.</t>
  </si>
  <si>
    <t>Volcamiento Vehiculos</t>
  </si>
  <si>
    <t>AREA CTP</t>
  </si>
  <si>
    <t>Total</t>
  </si>
  <si>
    <t>Porcentaje</t>
  </si>
  <si>
    <t>Pareto</t>
  </si>
  <si>
    <t>PARTE DEL CUERPO AFECTADA</t>
  </si>
  <si>
    <t>TROZADO POLLO</t>
  </si>
  <si>
    <t>P.POSTERIORES</t>
  </si>
  <si>
    <t>TROZADO PAVO</t>
  </si>
  <si>
    <t>FRIGORÍFICO</t>
  </si>
  <si>
    <t>PERSONAL O PLANIFICACION</t>
  </si>
  <si>
    <t>ADMINISTRACION</t>
  </si>
  <si>
    <t>Multiples</t>
  </si>
  <si>
    <t>Otro</t>
  </si>
  <si>
    <t>Total Informado</t>
  </si>
  <si>
    <t>Lesion Interna</t>
  </si>
  <si>
    <t>TOTAL</t>
  </si>
  <si>
    <t>TIPO DE ACCIDENTE</t>
  </si>
  <si>
    <t xml:space="preserve"> MES</t>
  </si>
  <si>
    <t>CLACIFICACION LGF</t>
  </si>
  <si>
    <t>N°</t>
  </si>
  <si>
    <t>Enero</t>
  </si>
  <si>
    <t>ATROPELLO (LGF4)</t>
  </si>
  <si>
    <t>Febrero</t>
  </si>
  <si>
    <t>AMPUTACION (LGF7)</t>
  </si>
  <si>
    <t>DIAS</t>
  </si>
  <si>
    <t>Marzo</t>
  </si>
  <si>
    <t>ATRAPAMIENTO (LGF2)</t>
  </si>
  <si>
    <t>TOTAL DIAS PERDIDOS</t>
  </si>
  <si>
    <t>Abril</t>
  </si>
  <si>
    <t>CAIDA EN ALTURA (LGF1)</t>
  </si>
  <si>
    <t>Mayo</t>
  </si>
  <si>
    <t>C.SUSTANCIAS PELIGROSAS (LGF3)</t>
  </si>
  <si>
    <t>Promedio por Mes</t>
  </si>
  <si>
    <t>Junio</t>
  </si>
  <si>
    <t>INTOXICACION (LGF5)</t>
  </si>
  <si>
    <t>Julio</t>
  </si>
  <si>
    <t>C.ENERGIAS PELIGROSAS (LGF6)</t>
  </si>
  <si>
    <t>Agente de Lesion</t>
  </si>
  <si>
    <t>Agosto</t>
  </si>
  <si>
    <t>Septiembre</t>
  </si>
  <si>
    <t>Octubre</t>
  </si>
  <si>
    <t>Noviembre</t>
  </si>
  <si>
    <t>CLACIFICACION ACC. PERSONAL</t>
  </si>
  <si>
    <t>Diciembre</t>
  </si>
  <si>
    <t>INTERMEDIO</t>
  </si>
  <si>
    <t>ANTIGUO</t>
  </si>
  <si>
    <t>Genero</t>
  </si>
  <si>
    <t>Responsabilidad</t>
  </si>
  <si>
    <t>Accion</t>
  </si>
  <si>
    <t>Condicion</t>
  </si>
  <si>
    <t>Turnos</t>
  </si>
  <si>
    <t>Mañana (05:00 a 14:30)</t>
  </si>
  <si>
    <t>Tarde (12:00 a 21:00)</t>
  </si>
  <si>
    <t>Noche (21:00 a 05:00)</t>
  </si>
  <si>
    <t>Administrativo (08:00 a 18:30)</t>
  </si>
  <si>
    <t>Antigüedad</t>
  </si>
  <si>
    <t>Atencion</t>
  </si>
  <si>
    <t>Nuevo &lt;18 Meses</t>
  </si>
  <si>
    <t xml:space="preserve"> MES CTP</t>
  </si>
  <si>
    <t>Antiguo &gt;36 Meses</t>
  </si>
  <si>
    <t>Intermedio 18&lt;X&gt;36</t>
  </si>
  <si>
    <t>EP</t>
  </si>
  <si>
    <t>Proceso</t>
  </si>
  <si>
    <t>Trabajo Habitual</t>
  </si>
  <si>
    <t>Trabajo No Habitual</t>
  </si>
  <si>
    <t xml:space="preserve">SUPERVISORES  </t>
  </si>
  <si>
    <t>N° ACC.</t>
  </si>
  <si>
    <t>N° ACC CTP</t>
  </si>
  <si>
    <t>N° ACC STP</t>
  </si>
  <si>
    <t>Total Acc. CTP</t>
  </si>
  <si>
    <t>Total Acc. STP</t>
  </si>
  <si>
    <t>FAENA</t>
  </si>
  <si>
    <t>JUAN VILLAVICENCIO</t>
  </si>
  <si>
    <t>MICHEL CARVAJAL</t>
  </si>
  <si>
    <t>DANIEL GONZALEZ</t>
  </si>
  <si>
    <t>DAVID ROJAS</t>
  </si>
  <si>
    <t>PEDRO HUERTA</t>
  </si>
  <si>
    <t>SOLEDAD CARRASCO</t>
  </si>
  <si>
    <t>HECNIMAR URDANETA</t>
  </si>
  <si>
    <t xml:space="preserve"> MAXIMO CAMPOS</t>
  </si>
  <si>
    <t>Planificación</t>
  </si>
  <si>
    <t>CALIXTO DIAZ</t>
  </si>
  <si>
    <t>16856073-7</t>
  </si>
  <si>
    <t xml:space="preserve">BERRIOS ARANCIBIA </t>
  </si>
  <si>
    <t>DENISSE VALENTINA E</t>
  </si>
  <si>
    <t>TRABAJADORA REALIZANDO PROCESO DE LAMINADO, CAE A SUS OJOS LIQUIDO DE PRODUCTO</t>
  </si>
  <si>
    <t>NL</t>
  </si>
  <si>
    <t>CINTA RODILLOS</t>
  </si>
  <si>
    <t>POLINES</t>
  </si>
  <si>
    <t>EQUIPO GENERADOR DE CALOR</t>
  </si>
  <si>
    <t>LGF8</t>
  </si>
  <si>
    <t>LIMPIADOR DE BOTAS FILTRO SANITARIO</t>
  </si>
  <si>
    <t>Trabajador sufre golpeadura con bandejas, por un incedente de caida de objetos con EQUIPO PARA MOVIMIENTO DE CARGA (GRUAS Y TRANSPALETAS electrica en pasillo de reporte de cajas</t>
  </si>
  <si>
    <t>Trabajador siente roce de equipo al estar en cercania de movimeinto de cargas con EQUIPO PARA MOVIMIENTO DE CARGA (GRUAS Y TRANSPALETAS electrica en sector ishida</t>
  </si>
  <si>
    <t>Trabajador trasladandose por pasillo 3 es golpeado por estrutura metalica de carros por maniobra inadecuada de EQUIPO PARA MOVIMIENTO DE CARGA (GRUAS Y TRANSPALETAS electrica</t>
  </si>
  <si>
    <t>Trabajador refiere que mientras se encontraba realizando proceso de faena en ichida, una EQUIPO PARA MOVIMIENTO DE CARGA (GRUAS Y TRANSPALETAS electrica lo pasa a llevar en su pierna</t>
  </si>
  <si>
    <t>Trabajadora por paso Drop Point, topa con trabajador de faena en traslado de bandejas con EQUIPO PARA MOVIMIENTO DE CARGA (GRUAS Y TRANSPALETAS manual, las cuales soporta su caida con sus manos, para evitar caida de bandejas trasladadas</t>
  </si>
  <si>
    <t xml:space="preserve">Mientras se encontraba pistoleando pallet , al agacharse para alcanzar las ultimas cajas levantando el pie izquierdo el cual sufre contusión con EQUIPO PARA MOVIMIENTO DE CARGA (GRUAS Y TRANSPALETAS eléctrica </t>
  </si>
  <si>
    <t>mientras sacaba pallet de cámara 208 sufre contusión en talón izquierdo con EQUIPO PARA MOVIMIENTO DE CARGA (GRUAS Y TRANSPALETAS manual que movilizaba otro colaborador</t>
  </si>
  <si>
    <t>Trabajadora  de T.pavo en dirección a sala de calibrado colisiona con EQUIPO PARA MOVIMIENTO DE CARGA (GRUAS Y TRANSPALETAS eléctrica En pasillo</t>
  </si>
  <si>
    <t>Trabajador relizando proceso de movilizacion con EQUIPO PARA MOVIMIENTO DE CARGA (GRUAS Y TRANSPALETAS manual, genera dolor en hombro izquierdo</t>
  </si>
  <si>
    <t xml:space="preserve">mientras sacaba EQUIPO PARA MOVIMIENTO DE CARGA (GRUAS Y TRANSPALETAS se resbala y sufre contusión zona costal derecha y rodilla derecha con EQUIPO PARA MOVIMIENTO DE CARGA (GRUAS Y TRANSPALETAS  </t>
  </si>
  <si>
    <t>trabajador al liberar EQUIPO PARA MOVIMIENTO DE CARGA (GRUAS Y TRANSPALETAS con otro equipo EQUIPO PARA MOVIMIENTO DE CARGA (GRUAS Y TRANSPALETAS electrica genera golpeadura en su tobillo derecho</t>
  </si>
  <si>
    <t>TRABAJADOR REALIZANDO MOVIMIENTO CON EQUIPO PARA MOVIMIENTO DE CARGA (GRUAS Y TRANSPALETAS EN IQF SE RESBALA Y CAE SOBRE CODO</t>
  </si>
  <si>
    <t xml:space="preserve">TRABAJADOR REALIZANDO MOVIMIENTO CON EQUIPO PARA MOVIMIENTO DE CARGA (GRUAS Y TRANSPALETAS MANUAL SUBRE DOLENCIA DE HOMBRO </t>
  </si>
  <si>
    <t>TRABAJADORA REALIZANDO JUEGOS CON COMPAÑERO QUE MOVILIZABA EQUIPO EQUIPO PARA MOVIMIENTO DE CARGA (GRUAS Y TRANSPALETAS ELECTRICAS ESTE SE DESORIENTA Y GENERA APRETON EN PIE DE LA TRABAJADORA</t>
  </si>
  <si>
    <t>TRABAJADOR REALIZANDO MOVIMIENTOS DE CAJAS EN SALA DE EMPAQUE DE FRIGORIFICO, AL PASAR EQUIPOS EQUIPO PARA MOVIMIENTO DE CARGA (GRUAS Y TRANSPALETAS ELECTRICA ESTE LO PASA A LLEVAR EN SU ESPALDA</t>
  </si>
  <si>
    <t>TRABAJADOR EN DIRECCION A AUTOMATICO DE TROZADO DE POLLO CON EQUIPO PARA MOVIMIENTO DE CARGA (GRUAS Y TRANSPALETAS MANUAL, SE GENERA ATRAPAMIENTO CON CARGA DE BINS Y BARRERA EN SU PIE DERECHO AL INTERSECTAR CON EQUIPO EQUIPO PARA MOVIMIENTO DE CARGA (GRUAS Y TRANSPALETAS ELECTRICA, CON CARGA SUPERIOR A DOS BINS, MOVILIZADOR DE EQUIPOS EQUIPO PARA MOVIMIENTO DE CARGA (GRUAS Y TRANSPALETAS ELECTRICA SIN LICENCIA CLASE D</t>
  </si>
  <si>
    <t>operaria estaba desarrollando sus laborales de forma normal, cuando su compañero movilizaba bins con EQUIPO PARA MOVIMIENTO DE CARGA (GRUAS Y TRANSPALETAS manual y este la pasa golpearla en su torso con el bins de carga</t>
  </si>
  <si>
    <t>operaria estaba desarrollando sus laborales de forma normal, cuando su compañero movilizaba bins con EQUIPO PARA MOVIMIENTO DE CARGA (GRUAS Y TRANSPALETAS manual y este la pasa golpearla en su pie contra pasarela</t>
  </si>
  <si>
    <t>trabajador al realizar movimiento de bateria de equipo EQUIPO PARA MOVIMIENTO DE CARGA (GRUAS Y TRANSPALETAS electrica se genera tiron en muñeca</t>
  </si>
  <si>
    <t>trabajadora es pasada a llevar en su pie izquierod por equipo movilizador de pavo (EQUIPO PARA MOVIMIENTO DE CARGA (GRUAS Y TRANSPALETAS electrica) al transitar por pasillo camara 208 costado automatico</t>
  </si>
  <si>
    <t>Trabajador Refiere que al pasar por  pasillo de ingreso a sala 208 es golpeado por una EQUIPO PARA MOVIMIENTO DE CARGA (GRUAS Y TRANSPALETAS electrica que venia saliendo de sala 208 .</t>
  </si>
  <si>
    <t>al estar envolviendo un pallet un colega le pasa a llevar el pie derecho con un EQUIPO PARA MOVIMIENTO DE CARGA (GRUAS Y TRANSPALETAS eléctrica.</t>
  </si>
  <si>
    <t>Refiere golpe en dedo meñique sup. Der.  Con bins el que era movilizado por EQUIPO PARA MOVIMIENTO DE CARGA (GRUAS Y TRANSPALETAS manual el cual choca con barrera  desplazando el bins hacia la trabajadora</t>
  </si>
  <si>
    <t>Sufre contusión en región lateral externa de muslo izquierdo con bins el cual estaba sobre una EQUIPO PARA MOVIMIENTO DE CARGA (GRUAS Y TRANSPALETAS manual la que era manejada por compañero de trabajo.</t>
  </si>
  <si>
    <t xml:space="preserve"> Mientras esperaba que pasara EQUIPO PARA MOVIMIENTO DE CARGA (GRUAS Y TRANSPALETAS eléctrica transportando bins, la cual choca contra barrera de protección y bins se va hacia lado derecho provocando lesión en mano de colaborador.</t>
  </si>
  <si>
    <t>Al girar un bins y levantarlo con una EQUIPO PARA MOVIMIENTO DE CARGA (GRUAS Y TRANSPALETAS manual se cayó la orqueta del hueso sobre la mano izquierda.</t>
  </si>
  <si>
    <t>EQUIPO PARA MOVIMIENTO DE CARGA (GRUAS Y TRANSPALETAS manual golpea su pie derecho, causando caída y golpe en su zona lumbar y antebrazo derecho.</t>
  </si>
  <si>
    <t>EQUIPO PARA MOVIMIENTO DE CARGA (GRUAS Y TRANSPALETAS eléctrica golpea y aplasta levemente pie izquierdo del trabajador en la salida de automatico</t>
  </si>
  <si>
    <t>EQUIPO PARA MOVIMIENTO DE CARGA (GRUAS Y TRANSPALETAS)</t>
  </si>
  <si>
    <t xml:space="preserve">LGF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</si>
</sst>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name val="Arial"/>
      <family val="2"/>
    </font>
    <font>
      <b/>
      <sz val="10"/>
      <name val="Arial"/>
      <family val="2"/>
    </font>
    <font>
      <b/>
      <sz val="11"/>
      <name val="Calibri"/>
      <family val="2"/>
    </font>
    <font>
      <sz val="11"/>
      <name val="Calibri"/>
      <family val="2"/>
    </font>
    <font>
      <u/>
      <sz val="10"/>
      <color indexed="12"/>
      <name val="Arial"/>
      <family val="2"/>
    </font>
    <font>
      <b/>
      <sz val="9"/>
      <name val="Arial"/>
      <family val="2"/>
    </font>
    <font>
      <sz val="9"/>
      <name val="Arial"/>
      <family val="2"/>
    </font>
    <font>
      <sz val="10"/>
      <name val="Calibri"/>
      <family val="2"/>
    </font>
    <font>
      <sz val="10"/>
      <name val="Arial"/>
      <family val="2"/>
    </font>
    <font>
      <sz val="8"/>
      <name val="Arial"/>
      <family val="2"/>
    </font>
    <font>
      <sz val="11"/>
      <color theme="1"/>
      <name val="Calibri"/>
      <family val="2"/>
      <scheme val="minor"/>
    </font>
    <font>
      <b/>
      <sz val="11"/>
      <color theme="3"/>
      <name val="Calibri"/>
      <family val="2"/>
      <scheme val="minor"/>
    </font>
    <font>
      <u/>
      <sz val="10"/>
      <color theme="10"/>
      <name val="Arial"/>
      <family val="2"/>
    </font>
    <font>
      <b/>
      <sz val="11"/>
      <color theme="1"/>
      <name val="Calibri"/>
      <family val="2"/>
      <scheme val="minor"/>
    </font>
    <font>
      <b/>
      <sz val="9"/>
      <color theme="0"/>
      <name val="Arial"/>
      <family val="2"/>
    </font>
    <font>
      <sz val="11"/>
      <name val="Calibri"/>
      <family val="2"/>
      <scheme val="minor"/>
    </font>
    <font>
      <sz val="10"/>
      <color rgb="FF000000"/>
      <name val="Calibri"/>
      <family val="2"/>
    </font>
    <font>
      <sz val="10"/>
      <color theme="1"/>
      <name val="Calibri"/>
      <family val="2"/>
      <scheme val="minor"/>
    </font>
    <font>
      <sz val="10"/>
      <color indexed="8"/>
      <name val="Calibri"/>
      <family val="2"/>
      <scheme val="minor"/>
    </font>
    <font>
      <sz val="8"/>
      <color theme="1"/>
      <name val="Arial"/>
      <family val="2"/>
    </font>
    <font>
      <sz val="11"/>
      <color rgb="FF000000"/>
      <name val="Calibri"/>
      <family val="2"/>
    </font>
    <font>
      <b/>
      <sz val="11"/>
      <color rgb="FF000000"/>
      <name val="Calibri"/>
      <family val="2"/>
    </font>
    <font>
      <sz val="10"/>
      <color theme="1"/>
      <name val="Arial"/>
      <family val="2"/>
    </font>
    <font>
      <b/>
      <sz val="11"/>
      <color rgb="FFFF0000"/>
      <name val="Calibri"/>
      <family val="2"/>
      <scheme val="minor"/>
    </font>
    <font>
      <sz val="9"/>
      <color theme="1"/>
      <name val="Calibri"/>
      <family val="2"/>
      <scheme val="minor"/>
    </font>
    <font>
      <sz val="10"/>
      <color rgb="FF000000"/>
      <name val="Calibri"/>
      <family val="2"/>
      <scheme val="minor"/>
    </font>
    <font>
      <sz val="9"/>
      <color rgb="FF000000"/>
      <name val="Calibri"/>
      <family val="2"/>
      <scheme val="minor"/>
    </font>
    <font>
      <sz val="12"/>
      <color theme="1"/>
      <name val="Calibri"/>
      <family val="2"/>
      <scheme val="minor"/>
    </font>
    <font>
      <sz val="10"/>
      <name val="Calibri"/>
      <family val="2"/>
      <scheme val="minor"/>
    </font>
    <font>
      <b/>
      <sz val="10"/>
      <color indexed="8"/>
      <name val="Calibri"/>
      <family val="2"/>
      <scheme val="minor"/>
    </font>
    <font>
      <b/>
      <sz val="10"/>
      <name val="Calibri"/>
      <family val="2"/>
      <scheme val="minor"/>
    </font>
    <font>
      <b/>
      <sz val="10"/>
      <color theme="0"/>
      <name val="Calibri"/>
      <family val="2"/>
      <scheme val="minor"/>
    </font>
    <font>
      <b/>
      <sz val="10"/>
      <color rgb="FF000000"/>
      <name val="Calibri"/>
      <family val="2"/>
      <scheme val="minor"/>
    </font>
    <font>
      <b/>
      <sz val="10"/>
      <name val="Cambria"/>
      <family val="1"/>
      <scheme val="major"/>
    </font>
    <font>
      <b/>
      <sz val="10"/>
      <color rgb="FFFF0000"/>
      <name val="Cambria"/>
      <family val="1"/>
      <scheme val="major"/>
    </font>
    <font>
      <sz val="11"/>
      <color rgb="FF000000"/>
      <name val="Times New Roman"/>
      <family val="1"/>
    </font>
    <font>
      <sz val="11"/>
      <color rgb="FF000000"/>
      <name val="Calibri"/>
      <family val="2"/>
      <scheme val="minor"/>
    </font>
    <font>
      <sz val="8"/>
      <name val="Calibri"/>
      <family val="2"/>
      <scheme val="minor"/>
    </font>
  </fonts>
  <fills count="21">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6"/>
        <bgColor indexed="64"/>
      </patternFill>
    </fill>
    <fill>
      <patternFill patternType="solid">
        <fgColor indexed="60"/>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rgb="FF000000"/>
      </patternFill>
    </fill>
    <fill>
      <patternFill patternType="solid">
        <fgColor theme="1" tint="0.499984740745262"/>
        <bgColor indexed="64"/>
      </patternFill>
    </fill>
    <fill>
      <patternFill patternType="solid">
        <fgColor rgb="FFFFFFFF"/>
        <bgColor rgb="FF000000"/>
      </patternFill>
    </fill>
    <fill>
      <patternFill patternType="solid">
        <fgColor theme="5" tint="0.79998168889431442"/>
        <bgColor rgb="FF000000"/>
      </patternFill>
    </fill>
    <fill>
      <patternFill patternType="solid">
        <fgColor rgb="FFF2DDDC"/>
        <bgColor rgb="FF000000"/>
      </patternFill>
    </fill>
    <fill>
      <patternFill patternType="solid">
        <fgColor theme="0"/>
        <bgColor theme="0" tint="-4.9989318521683403E-2"/>
      </patternFill>
    </fill>
    <fill>
      <patternFill patternType="solid">
        <fgColor theme="0"/>
        <bgColor rgb="FF000000"/>
      </patternFill>
    </fill>
    <fill>
      <patternFill patternType="solid">
        <fgColor rgb="FFFFFF00"/>
        <bgColor theme="0" tint="-4.9989318521683403E-2"/>
      </patternFill>
    </fill>
    <fill>
      <patternFill patternType="solid">
        <fgColor rgb="FFFFC0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hair">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xf numFmtId="0" fontId="1" fillId="0" borderId="0" applyFont="0" applyFill="0" applyBorder="0" applyAlignment="0" applyProtection="0"/>
    <xf numFmtId="0" fontId="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9" fillId="0" borderId="0"/>
    <xf numFmtId="0" fontId="1" fillId="0" borderId="0"/>
    <xf numFmtId="9" fontId="11" fillId="0" borderId="0" applyFont="0" applyFill="0" applyBorder="0" applyAlignment="0" applyProtection="0"/>
    <xf numFmtId="9" fontId="1" fillId="0" borderId="0" applyFont="0" applyFill="0" applyBorder="0" applyAlignment="0" applyProtection="0"/>
  </cellStyleXfs>
  <cellXfs count="265">
    <xf numFmtId="0" fontId="0" fillId="0" borderId="0" xfId="0"/>
    <xf numFmtId="0" fontId="0" fillId="0" borderId="1" xfId="0" applyBorder="1"/>
    <xf numFmtId="0" fontId="15" fillId="8" borderId="2" xfId="4" applyFont="1" applyFill="1" applyBorder="1" applyAlignment="1">
      <alignment horizontal="center" vertical="center" wrapText="1"/>
    </xf>
    <xf numFmtId="0" fontId="1" fillId="0" borderId="0" xfId="4" applyAlignment="1">
      <alignment horizontal="left"/>
    </xf>
    <xf numFmtId="0" fontId="8" fillId="0" borderId="0" xfId="4" applyFont="1"/>
    <xf numFmtId="0" fontId="8" fillId="0" borderId="0" xfId="4" applyFont="1" applyAlignment="1">
      <alignment horizontal="center"/>
    </xf>
    <xf numFmtId="0" fontId="0" fillId="0" borderId="0" xfId="0" applyAlignment="1">
      <alignment horizontal="center"/>
    </xf>
    <xf numFmtId="0" fontId="16" fillId="9" borderId="0" xfId="0" applyFont="1" applyFill="1"/>
    <xf numFmtId="0" fontId="9" fillId="0" borderId="0" xfId="8"/>
    <xf numFmtId="0" fontId="1" fillId="0" borderId="0" xfId="8" applyFont="1"/>
    <xf numFmtId="0" fontId="0" fillId="0" borderId="1"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wrapText="1"/>
    </xf>
    <xf numFmtId="14" fontId="0" fillId="0" borderId="1" xfId="0" applyNumberFormat="1" applyBorder="1"/>
    <xf numFmtId="0" fontId="0" fillId="10" borderId="1" xfId="0" applyFill="1" applyBorder="1" applyAlignment="1">
      <alignment horizontal="left"/>
    </xf>
    <xf numFmtId="0" fontId="0" fillId="10" borderId="0" xfId="0" applyFill="1" applyAlignment="1">
      <alignment horizontal="left"/>
    </xf>
    <xf numFmtId="0" fontId="10" fillId="10" borderId="0" xfId="4" applyFont="1" applyFill="1" applyAlignment="1">
      <alignment horizontal="center" wrapText="1"/>
    </xf>
    <xf numFmtId="0" fontId="14" fillId="11" borderId="1" xfId="0" applyFont="1" applyFill="1" applyBorder="1" applyAlignment="1">
      <alignment horizontal="center"/>
    </xf>
    <xf numFmtId="0" fontId="14" fillId="11" borderId="1" xfId="0" applyFont="1" applyFill="1" applyBorder="1" applyAlignment="1">
      <alignment horizontal="center" vertical="center"/>
    </xf>
    <xf numFmtId="0" fontId="10" fillId="10" borderId="0" xfId="4" applyFont="1" applyFill="1" applyAlignment="1">
      <alignment horizontal="left" vertical="center" wrapText="1"/>
    </xf>
    <xf numFmtId="0" fontId="10" fillId="10" borderId="0" xfId="4" applyFont="1" applyFill="1" applyAlignment="1">
      <alignment horizontal="left" vertical="center"/>
    </xf>
    <xf numFmtId="0" fontId="0" fillId="10" borderId="2" xfId="0" applyFill="1" applyBorder="1" applyAlignment="1">
      <alignment horizontal="left"/>
    </xf>
    <xf numFmtId="20" fontId="0" fillId="0" borderId="1" xfId="0" applyNumberFormat="1" applyBorder="1" applyAlignment="1">
      <alignment horizontal="center"/>
    </xf>
    <xf numFmtId="0" fontId="17" fillId="0" borderId="0" xfId="4" applyFont="1" applyAlignment="1">
      <alignment horizontal="center"/>
    </xf>
    <xf numFmtId="0" fontId="0" fillId="0" borderId="1" xfId="0" applyBorder="1" applyAlignment="1">
      <alignment horizontal="left"/>
    </xf>
    <xf numFmtId="0" fontId="14" fillId="11" borderId="2" xfId="0" applyFont="1" applyFill="1" applyBorder="1" applyAlignment="1">
      <alignment horizontal="center"/>
    </xf>
    <xf numFmtId="0" fontId="1" fillId="11" borderId="1" xfId="4" applyFill="1" applyBorder="1" applyAlignment="1">
      <alignment horizontal="center" vertical="center" wrapText="1"/>
    </xf>
    <xf numFmtId="0" fontId="1" fillId="9" borderId="1" xfId="4" applyFill="1" applyBorder="1" applyAlignment="1">
      <alignment horizontal="center" vertical="center" wrapText="1"/>
    </xf>
    <xf numFmtId="0" fontId="10" fillId="10" borderId="3" xfId="4" applyFont="1" applyFill="1" applyBorder="1" applyAlignment="1">
      <alignment horizontal="center" wrapText="1"/>
    </xf>
    <xf numFmtId="0" fontId="10" fillId="10" borderId="3" xfId="0" applyFont="1" applyFill="1" applyBorder="1" applyAlignment="1">
      <alignment horizontal="center" wrapText="1"/>
    </xf>
    <xf numFmtId="0" fontId="0" fillId="0" borderId="4" xfId="0" applyBorder="1" applyAlignment="1">
      <alignment horizontal="center"/>
    </xf>
    <xf numFmtId="0" fontId="10" fillId="10" borderId="5" xfId="4" applyFont="1" applyFill="1" applyBorder="1" applyAlignment="1">
      <alignment horizontal="center" wrapText="1"/>
    </xf>
    <xf numFmtId="0" fontId="10" fillId="10" borderId="5" xfId="0" applyFont="1" applyFill="1" applyBorder="1" applyAlignment="1">
      <alignment horizontal="center" wrapText="1"/>
    </xf>
    <xf numFmtId="0" fontId="0" fillId="0" borderId="0" xfId="0" applyAlignment="1">
      <alignment horizontal="left"/>
    </xf>
    <xf numFmtId="0" fontId="0" fillId="0" borderId="0" xfId="0" applyAlignment="1">
      <alignment horizontal="right"/>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18" fillId="0" borderId="6" xfId="0" applyFont="1" applyBorder="1" applyAlignment="1">
      <alignment horizontal="center" vertical="center"/>
    </xf>
    <xf numFmtId="0" fontId="0" fillId="0" borderId="7" xfId="0" applyBorder="1" applyAlignment="1">
      <alignment horizontal="center"/>
    </xf>
    <xf numFmtId="0" fontId="19" fillId="10" borderId="8" xfId="9" applyFont="1" applyFill="1" applyBorder="1" applyAlignment="1">
      <alignment horizontal="left"/>
    </xf>
    <xf numFmtId="0" fontId="10" fillId="0" borderId="5" xfId="4" applyFont="1" applyBorder="1" applyAlignment="1">
      <alignment horizontal="center" wrapText="1"/>
    </xf>
    <xf numFmtId="0" fontId="10" fillId="0" borderId="5" xfId="0" applyFont="1" applyBorder="1" applyAlignment="1">
      <alignment horizontal="center" wrapText="1"/>
    </xf>
    <xf numFmtId="0" fontId="10" fillId="0" borderId="3" xfId="0" applyFont="1" applyBorder="1" applyAlignment="1">
      <alignment horizontal="center" wrapText="1"/>
    </xf>
    <xf numFmtId="0" fontId="20" fillId="0" borderId="1" xfId="0" applyFont="1" applyBorder="1" applyAlignment="1">
      <alignment horizontal="center"/>
    </xf>
    <xf numFmtId="0" fontId="0" fillId="0" borderId="1" xfId="0" applyBorder="1" applyAlignment="1">
      <alignment horizontal="center" vertical="center"/>
    </xf>
    <xf numFmtId="0" fontId="3" fillId="12" borderId="0" xfId="4" applyFont="1" applyFill="1" applyAlignment="1">
      <alignment horizontal="left"/>
    </xf>
    <xf numFmtId="0" fontId="21" fillId="0" borderId="0" xfId="4" applyFont="1" applyAlignment="1">
      <alignment horizontal="center"/>
    </xf>
    <xf numFmtId="0" fontId="6" fillId="13" borderId="9" xfId="4" applyFont="1" applyFill="1" applyBorder="1" applyAlignment="1">
      <alignment horizontal="center"/>
    </xf>
    <xf numFmtId="0" fontId="6" fillId="13" borderId="9" xfId="4" applyFont="1" applyFill="1" applyBorder="1" applyAlignment="1">
      <alignment horizontal="center" wrapText="1"/>
    </xf>
    <xf numFmtId="0" fontId="6" fillId="13" borderId="9" xfId="4" applyFont="1" applyFill="1" applyBorder="1" applyAlignment="1">
      <alignment wrapText="1"/>
    </xf>
    <xf numFmtId="0" fontId="7" fillId="13" borderId="10" xfId="0" applyFont="1" applyFill="1" applyBorder="1" applyAlignment="1">
      <alignment horizontal="center" wrapText="1"/>
    </xf>
    <xf numFmtId="0" fontId="7" fillId="13" borderId="0" xfId="0" applyFont="1" applyFill="1" applyAlignment="1">
      <alignment horizontal="center" wrapText="1"/>
    </xf>
    <xf numFmtId="0" fontId="22" fillId="14" borderId="0" xfId="4" applyFont="1" applyFill="1" applyAlignment="1">
      <alignment horizontal="left"/>
    </xf>
    <xf numFmtId="0" fontId="1" fillId="4" borderId="0" xfId="4" applyFill="1" applyAlignment="1">
      <alignment horizontal="center"/>
    </xf>
    <xf numFmtId="0" fontId="1" fillId="4" borderId="0" xfId="4" applyFill="1" applyAlignment="1">
      <alignment horizontal="left"/>
    </xf>
    <xf numFmtId="0" fontId="22" fillId="15" borderId="0" xfId="4" applyFont="1" applyFill="1" applyAlignment="1">
      <alignment horizontal="left"/>
    </xf>
    <xf numFmtId="0" fontId="4" fillId="0" borderId="0" xfId="5" applyFont="1" applyAlignment="1">
      <alignment horizontal="center"/>
    </xf>
    <xf numFmtId="0" fontId="4" fillId="0" borderId="8" xfId="5" applyFont="1" applyBorder="1" applyAlignment="1">
      <alignment horizontal="left"/>
    </xf>
    <xf numFmtId="0" fontId="4" fillId="0" borderId="8" xfId="5" applyFont="1" applyBorder="1" applyAlignment="1">
      <alignment horizontal="center"/>
    </xf>
    <xf numFmtId="0" fontId="22" fillId="0" borderId="0" xfId="4" applyFont="1" applyAlignment="1">
      <alignment horizontal="left"/>
    </xf>
    <xf numFmtId="0" fontId="3" fillId="14" borderId="0" xfId="4" applyFont="1" applyFill="1" applyAlignment="1">
      <alignment horizontal="left"/>
    </xf>
    <xf numFmtId="0" fontId="22" fillId="16" borderId="0" xfId="4" applyFont="1" applyFill="1" applyAlignment="1">
      <alignment horizontal="left"/>
    </xf>
    <xf numFmtId="0" fontId="2" fillId="4" borderId="0" xfId="4" applyFont="1" applyFill="1" applyAlignment="1">
      <alignment horizontal="left"/>
    </xf>
    <xf numFmtId="0" fontId="0" fillId="10" borderId="1" xfId="0" applyFill="1" applyBorder="1" applyAlignment="1">
      <alignment horizontal="center"/>
    </xf>
    <xf numFmtId="0" fontId="0" fillId="10" borderId="1" xfId="0" applyFill="1" applyBorder="1" applyAlignment="1">
      <alignment horizontal="center" vertical="center"/>
    </xf>
    <xf numFmtId="0" fontId="0" fillId="10" borderId="0" xfId="0" applyFill="1"/>
    <xf numFmtId="0" fontId="0" fillId="10" borderId="0" xfId="0" applyFill="1" applyAlignment="1">
      <alignment horizontal="center"/>
    </xf>
    <xf numFmtId="0" fontId="0" fillId="10" borderId="1" xfId="0" applyFill="1" applyBorder="1" applyAlignment="1">
      <alignment wrapText="1"/>
    </xf>
    <xf numFmtId="0" fontId="20" fillId="10" borderId="3" xfId="0" applyFont="1" applyFill="1" applyBorder="1" applyAlignment="1">
      <alignment horizontal="center"/>
    </xf>
    <xf numFmtId="0" fontId="20" fillId="10" borderId="5" xfId="0" applyFont="1" applyFill="1" applyBorder="1" applyAlignment="1">
      <alignment horizontal="center"/>
    </xf>
    <xf numFmtId="0" fontId="10" fillId="10" borderId="1" xfId="0" applyFont="1" applyFill="1" applyBorder="1" applyAlignment="1">
      <alignment horizontal="center" wrapText="1"/>
    </xf>
    <xf numFmtId="0" fontId="10" fillId="10" borderId="1" xfId="4" applyFont="1" applyFill="1" applyBorder="1" applyAlignment="1">
      <alignment horizontal="center" wrapText="1"/>
    </xf>
    <xf numFmtId="0" fontId="6" fillId="13" borderId="9" xfId="4" applyFont="1" applyFill="1" applyBorder="1" applyAlignment="1">
      <alignment horizontal="center" vertical="center" wrapText="1"/>
    </xf>
    <xf numFmtId="0" fontId="1" fillId="4" borderId="0" xfId="4" applyFill="1" applyAlignment="1">
      <alignment horizontal="center" vertical="center"/>
    </xf>
    <xf numFmtId="0" fontId="21" fillId="0" borderId="0" xfId="4" applyFont="1" applyAlignment="1">
      <alignment horizontal="center" vertical="center"/>
    </xf>
    <xf numFmtId="0" fontId="0" fillId="0" borderId="0" xfId="0" applyAlignment="1">
      <alignment wrapText="1"/>
    </xf>
    <xf numFmtId="0" fontId="1" fillId="11" borderId="1" xfId="0" applyFont="1" applyFill="1" applyBorder="1" applyAlignment="1">
      <alignment horizontal="center" vertical="center" wrapText="1"/>
    </xf>
    <xf numFmtId="14" fontId="0" fillId="10" borderId="1" xfId="0" applyNumberFormat="1" applyFill="1" applyBorder="1" applyAlignment="1">
      <alignment horizontal="center"/>
    </xf>
    <xf numFmtId="20" fontId="0" fillId="10" borderId="1" xfId="0" applyNumberFormat="1" applyFill="1" applyBorder="1" applyAlignment="1">
      <alignment horizontal="center"/>
    </xf>
    <xf numFmtId="0" fontId="12" fillId="0" borderId="0" xfId="0" applyFont="1" applyAlignment="1">
      <alignment horizontal="center"/>
    </xf>
    <xf numFmtId="0" fontId="12" fillId="0" borderId="0" xfId="0" applyFont="1"/>
    <xf numFmtId="0" fontId="12" fillId="10" borderId="1" xfId="0" applyFont="1" applyFill="1" applyBorder="1" applyAlignment="1">
      <alignment horizontal="center"/>
    </xf>
    <xf numFmtId="0" fontId="12" fillId="0" borderId="1" xfId="0" applyFont="1" applyBorder="1" applyAlignment="1">
      <alignment horizontal="center"/>
    </xf>
    <xf numFmtId="0" fontId="23" fillId="9" borderId="1" xfId="4" applyFont="1" applyFill="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wrapText="1"/>
    </xf>
    <xf numFmtId="0" fontId="24" fillId="10" borderId="1" xfId="0" applyFont="1" applyFill="1" applyBorder="1" applyAlignment="1">
      <alignment horizontal="center" vertical="center"/>
    </xf>
    <xf numFmtId="0" fontId="25" fillId="0" borderId="0" xfId="0" applyFont="1" applyAlignment="1">
      <alignment wrapText="1"/>
    </xf>
    <xf numFmtId="0" fontId="7" fillId="11" borderId="1" xfId="4" applyFont="1" applyFill="1" applyBorder="1" applyAlignment="1">
      <alignment horizontal="center" vertical="center" wrapText="1"/>
    </xf>
    <xf numFmtId="0" fontId="25" fillId="10" borderId="1" xfId="0" applyFont="1" applyFill="1" applyBorder="1" applyAlignment="1">
      <alignment wrapText="1"/>
    </xf>
    <xf numFmtId="0" fontId="25" fillId="0" borderId="1" xfId="0" applyFont="1" applyBorder="1" applyAlignment="1">
      <alignment wrapText="1"/>
    </xf>
    <xf numFmtId="0" fontId="26" fillId="0" borderId="1" xfId="0" applyFont="1" applyBorder="1"/>
    <xf numFmtId="0" fontId="0" fillId="10" borderId="1" xfId="0" applyFill="1" applyBorder="1"/>
    <xf numFmtId="0" fontId="25" fillId="10" borderId="1" xfId="0" applyFont="1" applyFill="1" applyBorder="1"/>
    <xf numFmtId="0" fontId="0" fillId="11" borderId="1" xfId="0" applyFill="1" applyBorder="1" applyAlignment="1">
      <alignment horizontal="center"/>
    </xf>
    <xf numFmtId="0" fontId="16" fillId="0" borderId="1" xfId="0" applyFont="1" applyBorder="1" applyAlignment="1">
      <alignment horizontal="center"/>
    </xf>
    <xf numFmtId="14" fontId="16" fillId="0" borderId="1" xfId="0" applyNumberFormat="1" applyFont="1" applyBorder="1" applyAlignment="1">
      <alignment horizontal="center"/>
    </xf>
    <xf numFmtId="14" fontId="0" fillId="0" borderId="0" xfId="0" applyNumberFormat="1" applyAlignment="1">
      <alignment horizontal="center"/>
    </xf>
    <xf numFmtId="0" fontId="0" fillId="0" borderId="1" xfId="0" applyBorder="1" applyAlignment="1">
      <alignment wrapText="1"/>
    </xf>
    <xf numFmtId="0" fontId="0" fillId="10" borderId="0" xfId="0" applyFill="1" applyAlignment="1">
      <alignment horizontal="center" vertical="center"/>
    </xf>
    <xf numFmtId="0" fontId="27" fillId="0" borderId="1" xfId="0" applyFont="1" applyBorder="1"/>
    <xf numFmtId="0" fontId="25" fillId="0" borderId="1" xfId="0" applyFont="1" applyBorder="1"/>
    <xf numFmtId="0" fontId="28" fillId="0" borderId="0" xfId="0" applyFont="1" applyAlignment="1">
      <alignment horizontal="center" vertical="center"/>
    </xf>
    <xf numFmtId="0" fontId="18" fillId="17" borderId="11" xfId="0" applyFont="1" applyFill="1" applyBorder="1"/>
    <xf numFmtId="0" fontId="18" fillId="17" borderId="8" xfId="0" applyFont="1" applyFill="1" applyBorder="1"/>
    <xf numFmtId="0" fontId="19" fillId="2" borderId="12" xfId="9" applyFont="1" applyFill="1" applyBorder="1"/>
    <xf numFmtId="0" fontId="29" fillId="0" borderId="0" xfId="8" applyFont="1"/>
    <xf numFmtId="0" fontId="30" fillId="5" borderId="13" xfId="9" applyFont="1" applyFill="1" applyBorder="1" applyAlignment="1">
      <alignment horizontal="center"/>
    </xf>
    <xf numFmtId="0" fontId="30" fillId="5" borderId="14" xfId="9" applyFont="1" applyFill="1" applyBorder="1" applyAlignment="1">
      <alignment horizontal="center"/>
    </xf>
    <xf numFmtId="0" fontId="30" fillId="5" borderId="15" xfId="9" applyFont="1" applyFill="1" applyBorder="1" applyAlignment="1">
      <alignment horizontal="center"/>
    </xf>
    <xf numFmtId="0" fontId="30" fillId="5" borderId="16" xfId="9" applyFont="1" applyFill="1" applyBorder="1" applyAlignment="1">
      <alignment horizontal="center"/>
    </xf>
    <xf numFmtId="0" fontId="30" fillId="5" borderId="9" xfId="9" applyFont="1" applyFill="1" applyBorder="1" applyAlignment="1">
      <alignment horizontal="center"/>
    </xf>
    <xf numFmtId="0" fontId="19" fillId="2" borderId="8" xfId="9" applyFont="1" applyFill="1" applyBorder="1" applyAlignment="1">
      <alignment horizontal="center"/>
    </xf>
    <xf numFmtId="9" fontId="19" fillId="2" borderId="9" xfId="11" applyFont="1" applyFill="1" applyBorder="1"/>
    <xf numFmtId="9" fontId="19" fillId="2" borderId="17" xfId="11" applyFont="1" applyFill="1" applyBorder="1"/>
    <xf numFmtId="0" fontId="19" fillId="2" borderId="9" xfId="9" applyFont="1" applyFill="1" applyBorder="1"/>
    <xf numFmtId="0" fontId="19" fillId="2" borderId="9" xfId="9" applyFont="1" applyFill="1" applyBorder="1" applyAlignment="1">
      <alignment horizontal="center"/>
    </xf>
    <xf numFmtId="9" fontId="19" fillId="2" borderId="18" xfId="11" applyFont="1" applyFill="1" applyBorder="1"/>
    <xf numFmtId="9" fontId="19" fillId="2" borderId="12" xfId="11" applyFont="1" applyFill="1" applyBorder="1"/>
    <xf numFmtId="0" fontId="19" fillId="2" borderId="12" xfId="9" applyFont="1" applyFill="1" applyBorder="1" applyAlignment="1">
      <alignment horizontal="center"/>
    </xf>
    <xf numFmtId="0" fontId="29" fillId="0" borderId="12" xfId="8" applyFont="1" applyBorder="1"/>
    <xf numFmtId="9" fontId="19" fillId="2" borderId="19" xfId="11" applyFont="1" applyFill="1" applyBorder="1"/>
    <xf numFmtId="0" fontId="30" fillId="6" borderId="14" xfId="9" applyFont="1" applyFill="1" applyBorder="1" applyAlignment="1">
      <alignment horizontal="center"/>
    </xf>
    <xf numFmtId="1" fontId="30" fillId="6" borderId="14" xfId="9" applyNumberFormat="1" applyFont="1" applyFill="1" applyBorder="1" applyAlignment="1">
      <alignment horizontal="center"/>
    </xf>
    <xf numFmtId="9" fontId="30" fillId="6" borderId="19" xfId="11" applyFont="1" applyFill="1" applyBorder="1"/>
    <xf numFmtId="9" fontId="30" fillId="6" borderId="14" xfId="11" applyFont="1" applyFill="1" applyBorder="1"/>
    <xf numFmtId="0" fontId="31" fillId="5" borderId="13" xfId="9" applyFont="1" applyFill="1" applyBorder="1" applyAlignment="1">
      <alignment horizontal="center"/>
    </xf>
    <xf numFmtId="0" fontId="31" fillId="5" borderId="14" xfId="9" applyFont="1" applyFill="1" applyBorder="1" applyAlignment="1">
      <alignment horizontal="center"/>
    </xf>
    <xf numFmtId="0" fontId="31" fillId="5" borderId="20" xfId="9" applyFont="1" applyFill="1" applyBorder="1" applyAlignment="1">
      <alignment horizontal="center"/>
    </xf>
    <xf numFmtId="0" fontId="19" fillId="2" borderId="8" xfId="9" applyFont="1" applyFill="1" applyBorder="1" applyAlignment="1">
      <alignment horizontal="left"/>
    </xf>
    <xf numFmtId="0" fontId="29" fillId="10" borderId="8" xfId="5" applyFont="1" applyFill="1" applyBorder="1" applyAlignment="1">
      <alignment horizontal="left"/>
    </xf>
    <xf numFmtId="9" fontId="19" fillId="2" borderId="21" xfId="11" applyFont="1" applyFill="1" applyBorder="1"/>
    <xf numFmtId="0" fontId="29" fillId="0" borderId="19" xfId="8" applyFont="1" applyBorder="1"/>
    <xf numFmtId="0" fontId="30" fillId="5" borderId="20" xfId="9" applyFont="1" applyFill="1" applyBorder="1" applyAlignment="1">
      <alignment horizontal="center"/>
    </xf>
    <xf numFmtId="0" fontId="30" fillId="6" borderId="13" xfId="9" applyFont="1" applyFill="1" applyBorder="1"/>
    <xf numFmtId="9" fontId="30" fillId="6" borderId="20" xfId="11" applyFont="1" applyFill="1" applyBorder="1"/>
    <xf numFmtId="0" fontId="19" fillId="2" borderId="22" xfId="9" applyFont="1" applyFill="1" applyBorder="1"/>
    <xf numFmtId="1" fontId="19" fillId="2" borderId="12" xfId="9" applyNumberFormat="1" applyFont="1" applyFill="1" applyBorder="1" applyAlignment="1">
      <alignment horizontal="center"/>
    </xf>
    <xf numFmtId="9" fontId="19" fillId="2" borderId="0" xfId="11" applyFont="1" applyFill="1" applyBorder="1"/>
    <xf numFmtId="1" fontId="19" fillId="0" borderId="12" xfId="9" applyNumberFormat="1" applyFont="1" applyBorder="1" applyAlignment="1">
      <alignment horizontal="center"/>
    </xf>
    <xf numFmtId="0" fontId="32" fillId="3" borderId="23" xfId="9" applyFont="1" applyFill="1" applyBorder="1"/>
    <xf numFmtId="1" fontId="32" fillId="3" borderId="19" xfId="9" applyNumberFormat="1" applyFont="1" applyFill="1" applyBorder="1" applyAlignment="1">
      <alignment horizontal="center"/>
    </xf>
    <xf numFmtId="0" fontId="32" fillId="7" borderId="14" xfId="9" applyFont="1" applyFill="1" applyBorder="1"/>
    <xf numFmtId="1" fontId="32" fillId="7" borderId="14" xfId="8" applyNumberFormat="1" applyFont="1" applyFill="1" applyBorder="1" applyAlignment="1">
      <alignment horizontal="center"/>
    </xf>
    <xf numFmtId="0" fontId="29" fillId="10" borderId="9" xfId="5" applyFont="1" applyFill="1" applyBorder="1" applyAlignment="1">
      <alignment horizontal="left"/>
    </xf>
    <xf numFmtId="0" fontId="29" fillId="10" borderId="12" xfId="5" applyFont="1" applyFill="1" applyBorder="1" applyAlignment="1">
      <alignment horizontal="left"/>
    </xf>
    <xf numFmtId="0" fontId="19" fillId="2" borderId="24" xfId="9" applyFont="1" applyFill="1" applyBorder="1"/>
    <xf numFmtId="0" fontId="19" fillId="0" borderId="25" xfId="9" applyFont="1" applyBorder="1" applyAlignment="1">
      <alignment horizontal="center"/>
    </xf>
    <xf numFmtId="0" fontId="19" fillId="2" borderId="26" xfId="9" applyFont="1" applyFill="1" applyBorder="1"/>
    <xf numFmtId="0" fontId="19" fillId="2" borderId="19" xfId="9" applyFont="1" applyFill="1" applyBorder="1"/>
    <xf numFmtId="0" fontId="30" fillId="6" borderId="14" xfId="9" applyFont="1" applyFill="1" applyBorder="1"/>
    <xf numFmtId="1" fontId="19" fillId="2" borderId="22" xfId="8" applyNumberFormat="1" applyFont="1" applyFill="1" applyBorder="1"/>
    <xf numFmtId="0" fontId="19" fillId="2" borderId="11" xfId="9" applyFont="1" applyFill="1" applyBorder="1" applyAlignment="1">
      <alignment horizontal="left"/>
    </xf>
    <xf numFmtId="0" fontId="19" fillId="2" borderId="11" xfId="9" applyFont="1" applyFill="1" applyBorder="1" applyAlignment="1">
      <alignment horizontal="center"/>
    </xf>
    <xf numFmtId="1" fontId="29" fillId="0" borderId="0" xfId="8" applyNumberFormat="1" applyFont="1"/>
    <xf numFmtId="0" fontId="30" fillId="6" borderId="16" xfId="9" applyFont="1" applyFill="1" applyBorder="1"/>
    <xf numFmtId="9" fontId="30" fillId="6" borderId="27" xfId="11" applyFont="1" applyFill="1" applyBorder="1"/>
    <xf numFmtId="1" fontId="30" fillId="6" borderId="28" xfId="9" applyNumberFormat="1" applyFont="1" applyFill="1" applyBorder="1" applyAlignment="1">
      <alignment horizontal="center"/>
    </xf>
    <xf numFmtId="0" fontId="30" fillId="5" borderId="29" xfId="9" applyFont="1" applyFill="1" applyBorder="1" applyAlignment="1">
      <alignment horizontal="center"/>
    </xf>
    <xf numFmtId="0" fontId="19" fillId="2" borderId="8" xfId="9" applyFont="1" applyFill="1" applyBorder="1"/>
    <xf numFmtId="0" fontId="19" fillId="2" borderId="30" xfId="9" applyFont="1" applyFill="1" applyBorder="1"/>
    <xf numFmtId="0" fontId="19" fillId="2" borderId="31" xfId="9" applyFont="1" applyFill="1" applyBorder="1"/>
    <xf numFmtId="0" fontId="30" fillId="6" borderId="19" xfId="9" applyFont="1" applyFill="1" applyBorder="1" applyAlignment="1">
      <alignment horizontal="center"/>
    </xf>
    <xf numFmtId="1" fontId="30" fillId="6" borderId="32" xfId="9" applyNumberFormat="1" applyFont="1" applyFill="1" applyBorder="1" applyAlignment="1">
      <alignment horizontal="center"/>
    </xf>
    <xf numFmtId="0" fontId="19" fillId="2" borderId="19" xfId="9" applyFont="1" applyFill="1" applyBorder="1" applyAlignment="1">
      <alignment horizontal="center"/>
    </xf>
    <xf numFmtId="0" fontId="30" fillId="5" borderId="33" xfId="9" applyFont="1" applyFill="1" applyBorder="1" applyAlignment="1">
      <alignment horizontal="center"/>
    </xf>
    <xf numFmtId="0" fontId="29" fillId="0" borderId="34" xfId="8" applyFont="1" applyBorder="1"/>
    <xf numFmtId="0" fontId="19" fillId="2" borderId="35" xfId="9" applyFont="1" applyFill="1" applyBorder="1" applyAlignment="1">
      <alignment horizontal="center"/>
    </xf>
    <xf numFmtId="9" fontId="19" fillId="2" borderId="35" xfId="11" applyFont="1" applyFill="1" applyBorder="1"/>
    <xf numFmtId="9" fontId="29" fillId="0" borderId="36" xfId="8" applyNumberFormat="1" applyFont="1" applyBorder="1"/>
    <xf numFmtId="0" fontId="33" fillId="18" borderId="11" xfId="4" applyFont="1" applyFill="1" applyBorder="1" applyAlignment="1">
      <alignment horizontal="left"/>
    </xf>
    <xf numFmtId="0" fontId="19" fillId="10" borderId="9" xfId="9" applyFont="1" applyFill="1" applyBorder="1" applyAlignment="1">
      <alignment horizontal="center"/>
    </xf>
    <xf numFmtId="9" fontId="19" fillId="10" borderId="9" xfId="11" applyFont="1" applyFill="1" applyBorder="1"/>
    <xf numFmtId="0" fontId="29" fillId="0" borderId="37" xfId="8" applyFont="1" applyBorder="1"/>
    <xf numFmtId="0" fontId="19" fillId="2" borderId="1" xfId="9" applyFont="1" applyFill="1" applyBorder="1" applyAlignment="1">
      <alignment horizontal="center"/>
    </xf>
    <xf numFmtId="9" fontId="19" fillId="2" borderId="1" xfId="11" applyFont="1" applyFill="1" applyBorder="1"/>
    <xf numFmtId="9" fontId="19" fillId="2" borderId="38" xfId="11" applyFont="1" applyFill="1" applyBorder="1"/>
    <xf numFmtId="0" fontId="31" fillId="18" borderId="8" xfId="4" applyFont="1" applyFill="1" applyBorder="1" applyAlignment="1">
      <alignment horizontal="left"/>
    </xf>
    <xf numFmtId="0" fontId="19" fillId="10" borderId="12" xfId="9" applyFont="1" applyFill="1" applyBorder="1" applyAlignment="1">
      <alignment horizontal="center"/>
    </xf>
    <xf numFmtId="9" fontId="19" fillId="10" borderId="12" xfId="11" applyFont="1" applyFill="1" applyBorder="1"/>
    <xf numFmtId="0" fontId="33" fillId="10" borderId="8" xfId="4" applyFont="1" applyFill="1" applyBorder="1" applyAlignment="1">
      <alignment horizontal="left"/>
    </xf>
    <xf numFmtId="0" fontId="30" fillId="6" borderId="39" xfId="9" applyFont="1" applyFill="1" applyBorder="1" applyAlignment="1">
      <alignment horizontal="center"/>
    </xf>
    <xf numFmtId="1" fontId="30" fillId="6" borderId="40" xfId="9" applyNumberFormat="1" applyFont="1" applyFill="1" applyBorder="1" applyAlignment="1">
      <alignment horizontal="center"/>
    </xf>
    <xf numFmtId="9" fontId="30" fillId="6" borderId="40" xfId="11" applyFont="1" applyFill="1" applyBorder="1"/>
    <xf numFmtId="9" fontId="30" fillId="6" borderId="41" xfId="11" applyFont="1" applyFill="1" applyBorder="1"/>
    <xf numFmtId="0" fontId="33" fillId="18" borderId="30" xfId="4" applyFont="1" applyFill="1" applyBorder="1" applyAlignment="1">
      <alignment horizontal="left"/>
    </xf>
    <xf numFmtId="0" fontId="19" fillId="10" borderId="19" xfId="9" applyFont="1" applyFill="1" applyBorder="1" applyAlignment="1">
      <alignment horizontal="center"/>
    </xf>
    <xf numFmtId="9" fontId="19" fillId="10" borderId="19" xfId="11" applyFont="1" applyFill="1" applyBorder="1"/>
    <xf numFmtId="0" fontId="30" fillId="5" borderId="34" xfId="9" applyFont="1" applyFill="1" applyBorder="1" applyAlignment="1">
      <alignment horizontal="center"/>
    </xf>
    <xf numFmtId="0" fontId="30" fillId="5" borderId="35" xfId="9" applyFont="1" applyFill="1" applyBorder="1" applyAlignment="1">
      <alignment horizontal="center"/>
    </xf>
    <xf numFmtId="0" fontId="30" fillId="5" borderId="36" xfId="9" applyFont="1" applyFill="1" applyBorder="1" applyAlignment="1">
      <alignment horizontal="center"/>
    </xf>
    <xf numFmtId="0" fontId="19" fillId="2" borderId="37" xfId="9" applyFont="1" applyFill="1" applyBorder="1" applyAlignment="1">
      <alignment horizontal="left"/>
    </xf>
    <xf numFmtId="0" fontId="31" fillId="18" borderId="0" xfId="4" applyFont="1" applyFill="1" applyAlignment="1">
      <alignment horizontal="left"/>
    </xf>
    <xf numFmtId="0" fontId="19" fillId="10" borderId="0" xfId="9" applyFont="1" applyFill="1" applyAlignment="1">
      <alignment horizontal="center"/>
    </xf>
    <xf numFmtId="9" fontId="19" fillId="10" borderId="0" xfId="11" applyFont="1" applyFill="1" applyBorder="1"/>
    <xf numFmtId="0" fontId="33" fillId="10" borderId="0" xfId="4" applyFont="1" applyFill="1" applyAlignment="1">
      <alignment horizontal="left"/>
    </xf>
    <xf numFmtId="0" fontId="33" fillId="18" borderId="0" xfId="4" applyFont="1" applyFill="1" applyAlignment="1">
      <alignment horizontal="left"/>
    </xf>
    <xf numFmtId="0" fontId="19" fillId="2" borderId="25" xfId="9" applyFont="1" applyFill="1" applyBorder="1" applyAlignment="1">
      <alignment horizontal="center"/>
    </xf>
    <xf numFmtId="0" fontId="31" fillId="10" borderId="0" xfId="4" applyFont="1" applyFill="1" applyAlignment="1">
      <alignment horizontal="left"/>
    </xf>
    <xf numFmtId="0" fontId="29" fillId="10" borderId="0" xfId="8" applyFont="1" applyFill="1"/>
    <xf numFmtId="0" fontId="29" fillId="0" borderId="0" xfId="8" applyFont="1" applyAlignment="1">
      <alignment horizontal="left"/>
    </xf>
    <xf numFmtId="0" fontId="29" fillId="0" borderId="1" xfId="8" applyFont="1" applyBorder="1" applyAlignment="1">
      <alignment horizontal="center" vertical="center"/>
    </xf>
    <xf numFmtId="0" fontId="18" fillId="17" borderId="37" xfId="0" applyFont="1" applyFill="1" applyBorder="1"/>
    <xf numFmtId="0" fontId="19" fillId="10" borderId="37" xfId="9" applyFont="1" applyFill="1" applyBorder="1" applyAlignment="1">
      <alignment horizontal="left"/>
    </xf>
    <xf numFmtId="9" fontId="30" fillId="6" borderId="39" xfId="11" applyFont="1" applyFill="1" applyBorder="1"/>
    <xf numFmtId="9" fontId="30" fillId="6" borderId="41" xfId="10" applyFont="1" applyFill="1" applyBorder="1" applyAlignment="1">
      <alignment horizontal="center"/>
    </xf>
    <xf numFmtId="1" fontId="30" fillId="6" borderId="40" xfId="11" applyNumberFormat="1" applyFont="1" applyFill="1" applyBorder="1" applyAlignment="1">
      <alignment horizontal="center"/>
    </xf>
    <xf numFmtId="9" fontId="29" fillId="0" borderId="38" xfId="10" applyFont="1" applyBorder="1" applyAlignment="1">
      <alignment horizontal="center"/>
    </xf>
    <xf numFmtId="1" fontId="30" fillId="6" borderId="40" xfId="11" applyNumberFormat="1" applyFont="1" applyFill="1" applyBorder="1" applyAlignment="1">
      <alignment horizontal="center" vertical="center"/>
    </xf>
    <xf numFmtId="0" fontId="0" fillId="0" borderId="0" xfId="0" applyAlignment="1">
      <alignment horizontal="left" vertical="center"/>
    </xf>
    <xf numFmtId="0" fontId="29" fillId="11" borderId="37" xfId="8" applyFont="1" applyFill="1" applyBorder="1"/>
    <xf numFmtId="0" fontId="29" fillId="11" borderId="1" xfId="8" applyFont="1" applyFill="1" applyBorder="1" applyAlignment="1">
      <alignment horizontal="center" vertical="center"/>
    </xf>
    <xf numFmtId="9" fontId="29" fillId="11" borderId="38" xfId="10" applyFont="1" applyFill="1" applyBorder="1" applyAlignment="1">
      <alignment horizontal="center"/>
    </xf>
    <xf numFmtId="0" fontId="30" fillId="6" borderId="39" xfId="9" applyFont="1" applyFill="1" applyBorder="1"/>
    <xf numFmtId="0" fontId="30" fillId="6" borderId="40" xfId="9" applyFont="1" applyFill="1" applyBorder="1" applyAlignment="1">
      <alignment horizontal="center" vertical="center"/>
    </xf>
    <xf numFmtId="0" fontId="30" fillId="6" borderId="42" xfId="9" applyFont="1" applyFill="1" applyBorder="1"/>
    <xf numFmtId="0" fontId="30" fillId="6" borderId="2" xfId="9" applyFont="1" applyFill="1" applyBorder="1" applyAlignment="1">
      <alignment horizontal="center" vertical="center"/>
    </xf>
    <xf numFmtId="0" fontId="30" fillId="5" borderId="43" xfId="9" applyFont="1" applyFill="1" applyBorder="1" applyAlignment="1">
      <alignment horizontal="center"/>
    </xf>
    <xf numFmtId="0" fontId="30" fillId="5" borderId="43" xfId="9" applyFont="1" applyFill="1" applyBorder="1" applyAlignment="1">
      <alignment horizontal="center" vertical="center"/>
    </xf>
    <xf numFmtId="0" fontId="30" fillId="5" borderId="20" xfId="9" applyFont="1" applyFill="1" applyBorder="1" applyAlignment="1">
      <alignment horizontal="center" vertical="center"/>
    </xf>
    <xf numFmtId="9" fontId="30" fillId="6" borderId="44" xfId="9" applyNumberFormat="1" applyFont="1" applyFill="1" applyBorder="1" applyAlignment="1">
      <alignment horizontal="center" vertical="center"/>
    </xf>
    <xf numFmtId="9" fontId="29" fillId="0" borderId="26" xfId="10" applyFont="1" applyBorder="1" applyAlignment="1">
      <alignment horizontal="center" vertical="center"/>
    </xf>
    <xf numFmtId="9" fontId="30" fillId="6" borderId="41" xfId="9" applyNumberFormat="1" applyFont="1" applyFill="1" applyBorder="1" applyAlignment="1">
      <alignment horizontal="center" vertical="center"/>
    </xf>
    <xf numFmtId="0" fontId="29" fillId="11" borderId="24" xfId="8" applyFont="1" applyFill="1" applyBorder="1"/>
    <xf numFmtId="0" fontId="29" fillId="11" borderId="7" xfId="8" applyFont="1" applyFill="1" applyBorder="1" applyAlignment="1">
      <alignment horizontal="center" vertical="center"/>
    </xf>
    <xf numFmtId="9" fontId="29" fillId="11" borderId="26" xfId="10" applyFont="1" applyFill="1" applyBorder="1" applyAlignment="1">
      <alignment horizontal="center" vertical="center"/>
    </xf>
    <xf numFmtId="14" fontId="0" fillId="10" borderId="4" xfId="0" applyNumberFormat="1" applyFill="1" applyBorder="1" applyAlignment="1">
      <alignment horizontal="center"/>
    </xf>
    <xf numFmtId="0" fontId="0" fillId="10" borderId="7" xfId="0" applyFill="1" applyBorder="1" applyAlignment="1">
      <alignment horizontal="center"/>
    </xf>
    <xf numFmtId="0" fontId="28" fillId="0" borderId="1" xfId="0" applyFont="1" applyBorder="1" applyAlignment="1">
      <alignment horizontal="center" vertical="center" wrapText="1"/>
    </xf>
    <xf numFmtId="0" fontId="12" fillId="10" borderId="1" xfId="0" applyFont="1" applyFill="1" applyBorder="1" applyAlignment="1">
      <alignment horizontal="center" vertical="center"/>
    </xf>
    <xf numFmtId="14" fontId="0" fillId="10" borderId="1" xfId="0" applyNumberFormat="1" applyFill="1" applyBorder="1" applyAlignment="1">
      <alignment horizontal="center" vertical="center"/>
    </xf>
    <xf numFmtId="20" fontId="0" fillId="10" borderId="1" xfId="0" applyNumberFormat="1" applyFill="1" applyBorder="1" applyAlignment="1">
      <alignment horizontal="center" vertical="center"/>
    </xf>
    <xf numFmtId="0" fontId="28" fillId="0" borderId="1" xfId="0" applyFont="1" applyBorder="1" applyAlignment="1">
      <alignment horizontal="center" vertical="center"/>
    </xf>
    <xf numFmtId="0" fontId="18" fillId="0" borderId="1" xfId="0" applyFont="1" applyBorder="1" applyAlignment="1">
      <alignment horizontal="center" vertical="center"/>
    </xf>
    <xf numFmtId="0" fontId="18" fillId="10" borderId="1" xfId="0" applyFont="1" applyFill="1" applyBorder="1" applyAlignment="1">
      <alignment horizontal="center" vertical="center"/>
    </xf>
    <xf numFmtId="0" fontId="0" fillId="0" borderId="1" xfId="0" applyBorder="1" applyAlignment="1">
      <alignment horizontal="left" vertical="center"/>
    </xf>
    <xf numFmtId="0" fontId="0" fillId="10" borderId="0" xfId="0" applyFill="1" applyAlignment="1">
      <alignment horizontal="left" vertical="center"/>
    </xf>
    <xf numFmtId="0" fontId="28" fillId="0" borderId="0" xfId="0" applyFont="1" applyAlignment="1">
      <alignment horizontal="center"/>
    </xf>
    <xf numFmtId="14" fontId="0" fillId="11" borderId="1" xfId="0" applyNumberFormat="1" applyFill="1" applyBorder="1" applyAlignment="1">
      <alignment horizontal="center"/>
    </xf>
    <xf numFmtId="0" fontId="18" fillId="19" borderId="37" xfId="0" applyFont="1" applyFill="1" applyBorder="1"/>
    <xf numFmtId="0" fontId="26" fillId="0" borderId="0" xfId="0" applyFont="1" applyAlignment="1">
      <alignment horizontal="center"/>
    </xf>
    <xf numFmtId="20" fontId="36" fillId="0" borderId="0" xfId="0" applyNumberFormat="1" applyFont="1" applyAlignment="1">
      <alignment horizontal="center" vertical="center"/>
    </xf>
    <xf numFmtId="14" fontId="0" fillId="0" borderId="0" xfId="0" applyNumberFormat="1" applyAlignment="1">
      <alignment horizontal="center" vertical="center"/>
    </xf>
    <xf numFmtId="0" fontId="37" fillId="0" borderId="0" xfId="0" applyFont="1" applyAlignment="1">
      <alignment horizontal="center" vertical="center"/>
    </xf>
    <xf numFmtId="20" fontId="37" fillId="0" borderId="0" xfId="0" applyNumberFormat="1" applyFont="1" applyAlignment="1">
      <alignment horizontal="center" vertical="center"/>
    </xf>
    <xf numFmtId="14" fontId="0" fillId="0" borderId="1" xfId="0" applyNumberFormat="1" applyBorder="1" applyAlignment="1">
      <alignment horizontal="center" vertical="center"/>
    </xf>
    <xf numFmtId="0" fontId="19" fillId="2" borderId="0" xfId="9" applyFont="1" applyFill="1" applyAlignment="1">
      <alignment horizontal="center"/>
    </xf>
    <xf numFmtId="0" fontId="19" fillId="2" borderId="0" xfId="9" applyFont="1" applyFill="1"/>
    <xf numFmtId="0" fontId="19" fillId="2" borderId="0" xfId="9" applyFont="1" applyFill="1" applyAlignment="1">
      <alignment horizontal="left"/>
    </xf>
    <xf numFmtId="0" fontId="10" fillId="11" borderId="1" xfId="4" applyFont="1" applyFill="1" applyBorder="1" applyAlignment="1">
      <alignment horizontal="center" vertical="center" wrapText="1"/>
    </xf>
    <xf numFmtId="0" fontId="29" fillId="10" borderId="22" xfId="5" applyFont="1" applyFill="1" applyBorder="1" applyAlignment="1">
      <alignment horizontal="left"/>
    </xf>
    <xf numFmtId="0" fontId="19" fillId="2" borderId="11" xfId="9" applyFont="1" applyFill="1" applyBorder="1"/>
    <xf numFmtId="0" fontId="0" fillId="20" borderId="1" xfId="0" applyFill="1" applyBorder="1" applyAlignment="1">
      <alignment horizontal="center"/>
    </xf>
    <xf numFmtId="0" fontId="28" fillId="20" borderId="1" xfId="0" applyFont="1" applyFill="1" applyBorder="1" applyAlignment="1">
      <alignment horizontal="center"/>
    </xf>
    <xf numFmtId="0" fontId="34" fillId="4" borderId="45" xfId="4" applyFont="1" applyFill="1" applyBorder="1" applyAlignment="1">
      <alignment horizontal="center" vertical="center"/>
    </xf>
    <xf numFmtId="0" fontId="34" fillId="10" borderId="45" xfId="4" applyFont="1" applyFill="1" applyBorder="1" applyAlignment="1">
      <alignment horizontal="center" vertical="center"/>
    </xf>
    <xf numFmtId="0" fontId="35" fillId="4" borderId="45" xfId="4"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cellXfs>
  <cellStyles count="12">
    <cellStyle name="Euro" xfId="1" xr:uid="{00000000-0005-0000-0000-000000000000}"/>
    <cellStyle name="Hipervínculo 2" xfId="2" xr:uid="{00000000-0005-0000-0000-000001000000}"/>
    <cellStyle name="Hipervínculo 3" xfId="3" xr:uid="{00000000-0005-0000-0000-000002000000}"/>
    <cellStyle name="Normal" xfId="0" builtinId="0"/>
    <cellStyle name="Normal 2" xfId="4" xr:uid="{00000000-0005-0000-0000-000004000000}"/>
    <cellStyle name="Normal 2 2" xfId="5" xr:uid="{00000000-0005-0000-0000-000005000000}"/>
    <cellStyle name="Normal 3" xfId="6" xr:uid="{00000000-0005-0000-0000-000006000000}"/>
    <cellStyle name="Normal 3 2" xfId="7" xr:uid="{00000000-0005-0000-0000-000007000000}"/>
    <cellStyle name="Normal 4" xfId="8" xr:uid="{00000000-0005-0000-0000-000008000000}"/>
    <cellStyle name="Normal_Trimestral" xfId="9" xr:uid="{00000000-0005-0000-0000-000009000000}"/>
    <cellStyle name="Porcentaje" xfId="10" builtinId="5"/>
    <cellStyle name="Porcentual 2"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197029246991235E-2"/>
          <c:y val="4.8611275944267916E-2"/>
          <c:w val="0.75378927295897236"/>
          <c:h val="0.70139126719586631"/>
        </c:manualLayout>
      </c:layout>
      <c:barChart>
        <c:barDir val="col"/>
        <c:grouping val="clustered"/>
        <c:varyColors val="0"/>
        <c:ser>
          <c:idx val="0"/>
          <c:order val="0"/>
          <c:tx>
            <c:strRef>
              <c:f>'Datos Total'!$B$3</c:f>
              <c:strCache>
                <c:ptCount val="1"/>
                <c:pt idx="0">
                  <c:v>AREA CTP</c:v>
                </c:pt>
              </c:strCache>
            </c:strRef>
          </c:tx>
          <c:spPr>
            <a:solidFill>
              <a:srgbClr val="FFFF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Total'!$B$4:$B$14</c:f>
              <c:strCache>
                <c:ptCount val="11"/>
                <c:pt idx="0">
                  <c:v>TROZADO POLLO</c:v>
                </c:pt>
                <c:pt idx="1">
                  <c:v>SSGG</c:v>
                </c:pt>
                <c:pt idx="2">
                  <c:v>FAENACION</c:v>
                </c:pt>
                <c:pt idx="3">
                  <c:v>MANTENCION</c:v>
                </c:pt>
                <c:pt idx="4">
                  <c:v>IQF Y CALIBRADO</c:v>
                </c:pt>
                <c:pt idx="5">
                  <c:v>P.POSTERIORES</c:v>
                </c:pt>
                <c:pt idx="6">
                  <c:v>TROZADO PAVO</c:v>
                </c:pt>
                <c:pt idx="7">
                  <c:v>FRIGORÍFICO</c:v>
                </c:pt>
                <c:pt idx="8">
                  <c:v>BODEGA</c:v>
                </c:pt>
                <c:pt idx="9">
                  <c:v>CALIDAD</c:v>
                </c:pt>
                <c:pt idx="10">
                  <c:v>ADMINISTRACION</c:v>
                </c:pt>
              </c:strCache>
            </c:strRef>
          </c:cat>
          <c:val>
            <c:numRef>
              <c:f>'Datos Total'!$C$4:$C$14</c:f>
              <c:numCache>
                <c:formatCode>General</c:formatCode>
                <c:ptCount val="11"/>
                <c:pt idx="0">
                  <c:v>12</c:v>
                </c:pt>
                <c:pt idx="1">
                  <c:v>7</c:v>
                </c:pt>
                <c:pt idx="2">
                  <c:v>5</c:v>
                </c:pt>
                <c:pt idx="3">
                  <c:v>5</c:v>
                </c:pt>
                <c:pt idx="4">
                  <c:v>4</c:v>
                </c:pt>
                <c:pt idx="5">
                  <c:v>5</c:v>
                </c:pt>
                <c:pt idx="6">
                  <c:v>2</c:v>
                </c:pt>
                <c:pt idx="7">
                  <c:v>2</c:v>
                </c:pt>
                <c:pt idx="8">
                  <c:v>1</c:v>
                </c:pt>
                <c:pt idx="9">
                  <c:v>0</c:v>
                </c:pt>
                <c:pt idx="10">
                  <c:v>0</c:v>
                </c:pt>
              </c:numCache>
            </c:numRef>
          </c:val>
          <c:extLst>
            <c:ext xmlns:c16="http://schemas.microsoft.com/office/drawing/2014/chart" uri="{C3380CC4-5D6E-409C-BE32-E72D297353CC}">
              <c16:uniqueId val="{00000000-6D9C-4277-9D57-9AEE31FC3063}"/>
            </c:ext>
          </c:extLst>
        </c:ser>
        <c:dLbls>
          <c:showLegendKey val="0"/>
          <c:showVal val="0"/>
          <c:showCatName val="0"/>
          <c:showSerName val="0"/>
          <c:showPercent val="0"/>
          <c:showBubbleSize val="0"/>
        </c:dLbls>
        <c:gapWidth val="219"/>
        <c:overlap val="-27"/>
        <c:axId val="516322728"/>
        <c:axId val="516326256"/>
      </c:barChart>
      <c:lineChart>
        <c:grouping val="standard"/>
        <c:varyColors val="0"/>
        <c:ser>
          <c:idx val="2"/>
          <c:order val="1"/>
          <c:tx>
            <c:strRef>
              <c:f>'Datos Total'!$E$3</c:f>
              <c:strCache>
                <c:ptCount val="1"/>
                <c:pt idx="0">
                  <c:v>Pareto</c:v>
                </c:pt>
              </c:strCache>
            </c:strRef>
          </c:tx>
          <c:spPr>
            <a:ln w="28575" cap="rnd">
              <a:solidFill>
                <a:schemeClr val="accent3"/>
              </a:solidFill>
              <a:round/>
            </a:ln>
            <a:effectLst/>
          </c:spPr>
          <c:marker>
            <c:symbol val="none"/>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'[2]Datos Total'!$B$10:$B$16</c:f>
              <c:strCache>
                <c:ptCount val="7"/>
                <c:pt idx="0">
                  <c:v>Operador Recibio y Almacenamiento</c:v>
                </c:pt>
                <c:pt idx="1">
                  <c:v>Administrativo</c:v>
                </c:pt>
                <c:pt idx="2">
                  <c:v>Ayudante Refineria Fisica</c:v>
                </c:pt>
                <c:pt idx="3">
                  <c:v>Ayudante de Cocina</c:v>
                </c:pt>
                <c:pt idx="4">
                  <c:v>Ayudante Refineria Quimica</c:v>
                </c:pt>
                <c:pt idx="5">
                  <c:v>electrico</c:v>
                </c:pt>
                <c:pt idx="6">
                  <c:v>Formulador</c:v>
                </c:pt>
              </c:strCache>
            </c:strRef>
          </c:cat>
          <c:val>
            <c:numRef>
              <c:f>'Datos Total'!$E$4:$E$16</c:f>
              <c:numCache>
                <c:formatCode>0%</c:formatCode>
                <c:ptCount val="13"/>
                <c:pt idx="0">
                  <c:v>0.27906976744186046</c:v>
                </c:pt>
                <c:pt idx="1">
                  <c:v>0.44186046511627908</c:v>
                </c:pt>
                <c:pt idx="2">
                  <c:v>0.55813953488372092</c:v>
                </c:pt>
                <c:pt idx="3">
                  <c:v>0.67441860465116277</c:v>
                </c:pt>
                <c:pt idx="4">
                  <c:v>0.76744186046511631</c:v>
                </c:pt>
                <c:pt idx="5">
                  <c:v>0.88372093023255816</c:v>
                </c:pt>
                <c:pt idx="6">
                  <c:v>0.93023255813953487</c:v>
                </c:pt>
                <c:pt idx="7">
                  <c:v>0.97674418604651159</c:v>
                </c:pt>
                <c:pt idx="8">
                  <c:v>1</c:v>
                </c:pt>
                <c:pt idx="9">
                  <c:v>1</c:v>
                </c:pt>
                <c:pt idx="10">
                  <c:v>1</c:v>
                </c:pt>
              </c:numCache>
            </c:numRef>
          </c:val>
          <c:smooth val="0"/>
          <c:extLst>
            <c:ext xmlns:c16="http://schemas.microsoft.com/office/drawing/2014/chart" uri="{C3380CC4-5D6E-409C-BE32-E72D297353CC}">
              <c16:uniqueId val="{00000001-6D9C-4277-9D57-9AEE31FC3063}"/>
            </c:ext>
          </c:extLst>
        </c:ser>
        <c:dLbls>
          <c:showLegendKey val="0"/>
          <c:showVal val="0"/>
          <c:showCatName val="0"/>
          <c:showSerName val="0"/>
          <c:showPercent val="0"/>
          <c:showBubbleSize val="0"/>
        </c:dLbls>
        <c:marker val="1"/>
        <c:smooth val="0"/>
        <c:axId val="516322728"/>
        <c:axId val="516326256"/>
      </c:lineChart>
      <c:catAx>
        <c:axId val="516322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600000" vert="horz"/>
          <a:lstStyle/>
          <a:p>
            <a:pPr>
              <a:defRPr sz="600" b="1" i="0" u="none" strike="noStrike" baseline="0">
                <a:solidFill>
                  <a:srgbClr val="333333"/>
                </a:solidFill>
                <a:latin typeface="Calibri"/>
                <a:ea typeface="Calibri"/>
                <a:cs typeface="Calibri"/>
              </a:defRPr>
            </a:pPr>
            <a:endParaRPr lang="es-ES"/>
          </a:p>
        </c:txPr>
        <c:crossAx val="516326256"/>
        <c:crosses val="autoZero"/>
        <c:auto val="1"/>
        <c:lblAlgn val="ctr"/>
        <c:lblOffset val="100"/>
        <c:noMultiLvlLbl val="0"/>
      </c:catAx>
      <c:valAx>
        <c:axId val="516326256"/>
        <c:scaling>
          <c:orientation val="minMax"/>
        </c:scaling>
        <c:delete val="1"/>
        <c:axPos val="l"/>
        <c:numFmt formatCode="General" sourceLinked="1"/>
        <c:majorTickMark val="out"/>
        <c:minorTickMark val="none"/>
        <c:tickLblPos val="nextTo"/>
        <c:crossAx val="516322728"/>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288001390864298E-2"/>
          <c:y val="5.2434648710530454E-2"/>
          <c:w val="0.65909212811488005"/>
          <c:h val="0.51685582300380084"/>
        </c:manualLayout>
      </c:layout>
      <c:barChart>
        <c:barDir val="col"/>
        <c:grouping val="clustered"/>
        <c:varyColors val="0"/>
        <c:ser>
          <c:idx val="0"/>
          <c:order val="0"/>
          <c:tx>
            <c:strRef>
              <c:f>'Datos Total'!$G$26</c:f>
              <c:strCache>
                <c:ptCount val="1"/>
                <c:pt idx="0">
                  <c:v>Agente de Lesion</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Total'!$G$27:$G$34</c:f>
              <c:strCache>
                <c:ptCount val="8"/>
                <c:pt idx="0">
                  <c:v>Maquinarias</c:v>
                </c:pt>
                <c:pt idx="1">
                  <c:v>Materiales</c:v>
                </c:pt>
                <c:pt idx="2">
                  <c:v>Infraestructura</c:v>
                </c:pt>
                <c:pt idx="3">
                  <c:v>Superficies de trabajo</c:v>
                </c:pt>
                <c:pt idx="4">
                  <c:v>Equipos Transporte de carga</c:v>
                </c:pt>
                <c:pt idx="5">
                  <c:v>Producto quimico</c:v>
                </c:pt>
                <c:pt idx="6">
                  <c:v>Bandejas</c:v>
                </c:pt>
                <c:pt idx="7">
                  <c:v>Materia Prima</c:v>
                </c:pt>
              </c:strCache>
            </c:strRef>
          </c:cat>
          <c:val>
            <c:numRef>
              <c:f>'Datos Total'!$H$27:$H$34</c:f>
              <c:numCache>
                <c:formatCode>General</c:formatCode>
                <c:ptCount val="8"/>
                <c:pt idx="0">
                  <c:v>41</c:v>
                </c:pt>
                <c:pt idx="1">
                  <c:v>27</c:v>
                </c:pt>
                <c:pt idx="2">
                  <c:v>24</c:v>
                </c:pt>
                <c:pt idx="3">
                  <c:v>24</c:v>
                </c:pt>
                <c:pt idx="4">
                  <c:v>19</c:v>
                </c:pt>
                <c:pt idx="5">
                  <c:v>16</c:v>
                </c:pt>
                <c:pt idx="6">
                  <c:v>15</c:v>
                </c:pt>
                <c:pt idx="7">
                  <c:v>14</c:v>
                </c:pt>
              </c:numCache>
            </c:numRef>
          </c:val>
          <c:extLst>
            <c:ext xmlns:c16="http://schemas.microsoft.com/office/drawing/2014/chart" uri="{C3380CC4-5D6E-409C-BE32-E72D297353CC}">
              <c16:uniqueId val="{00000000-420A-4642-B669-53A2E4F048A5}"/>
            </c:ext>
          </c:extLst>
        </c:ser>
        <c:dLbls>
          <c:showLegendKey val="0"/>
          <c:showVal val="0"/>
          <c:showCatName val="0"/>
          <c:showSerName val="0"/>
          <c:showPercent val="0"/>
          <c:showBubbleSize val="0"/>
        </c:dLbls>
        <c:gapWidth val="219"/>
        <c:overlap val="-27"/>
        <c:axId val="516323120"/>
        <c:axId val="516324688"/>
      </c:barChart>
      <c:lineChart>
        <c:grouping val="standard"/>
        <c:varyColors val="0"/>
        <c:ser>
          <c:idx val="2"/>
          <c:order val="1"/>
          <c:tx>
            <c:strRef>
              <c:f>'Datos Total'!$J$26</c:f>
              <c:strCache>
                <c:ptCount val="1"/>
                <c:pt idx="0">
                  <c:v>Pareto</c:v>
                </c:pt>
              </c:strCache>
            </c:strRef>
          </c:tx>
          <c:spPr>
            <a:ln w="28575" cap="rnd">
              <a:solidFill>
                <a:schemeClr val="accent3"/>
              </a:solidFill>
              <a:round/>
            </a:ln>
            <a:effectLst/>
          </c:spPr>
          <c:marker>
            <c:symbol val="none"/>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Total'!$J$27:$J$34</c:f>
              <c:numCache>
                <c:formatCode>0%</c:formatCode>
                <c:ptCount val="8"/>
                <c:pt idx="0">
                  <c:v>0.17826086956521739</c:v>
                </c:pt>
                <c:pt idx="1">
                  <c:v>0.29565217391304349</c:v>
                </c:pt>
                <c:pt idx="2">
                  <c:v>0.4</c:v>
                </c:pt>
                <c:pt idx="3">
                  <c:v>0.5043478260869565</c:v>
                </c:pt>
                <c:pt idx="4">
                  <c:v>0.58695652173913038</c:v>
                </c:pt>
                <c:pt idx="5">
                  <c:v>0.65652173913043477</c:v>
                </c:pt>
                <c:pt idx="6">
                  <c:v>0.72173913043478255</c:v>
                </c:pt>
                <c:pt idx="7">
                  <c:v>0.78260869565217384</c:v>
                </c:pt>
              </c:numCache>
            </c:numRef>
          </c:val>
          <c:smooth val="0"/>
          <c:extLst>
            <c:ext xmlns:c16="http://schemas.microsoft.com/office/drawing/2014/chart" uri="{C3380CC4-5D6E-409C-BE32-E72D297353CC}">
              <c16:uniqueId val="{00000001-420A-4642-B669-53A2E4F048A5}"/>
            </c:ext>
          </c:extLst>
        </c:ser>
        <c:dLbls>
          <c:showLegendKey val="0"/>
          <c:showVal val="0"/>
          <c:showCatName val="0"/>
          <c:showSerName val="0"/>
          <c:showPercent val="0"/>
          <c:showBubbleSize val="0"/>
        </c:dLbls>
        <c:marker val="1"/>
        <c:smooth val="0"/>
        <c:axId val="516323120"/>
        <c:axId val="516324688"/>
      </c:lineChart>
      <c:catAx>
        <c:axId val="51632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800" b="1" i="0" u="none" strike="noStrike" baseline="0">
                <a:solidFill>
                  <a:srgbClr val="333333"/>
                </a:solidFill>
                <a:latin typeface="Calibri"/>
                <a:ea typeface="Calibri"/>
                <a:cs typeface="Calibri"/>
              </a:defRPr>
            </a:pPr>
            <a:endParaRPr lang="es-ES"/>
          </a:p>
        </c:txPr>
        <c:crossAx val="516324688"/>
        <c:crosses val="autoZero"/>
        <c:auto val="1"/>
        <c:lblAlgn val="ctr"/>
        <c:lblOffset val="100"/>
        <c:noMultiLvlLbl val="0"/>
      </c:catAx>
      <c:valAx>
        <c:axId val="516324688"/>
        <c:scaling>
          <c:orientation val="minMax"/>
        </c:scaling>
        <c:delete val="1"/>
        <c:axPos val="l"/>
        <c:numFmt formatCode="General" sourceLinked="1"/>
        <c:majorTickMark val="out"/>
        <c:minorTickMark val="none"/>
        <c:tickLblPos val="nextTo"/>
        <c:crossAx val="516323120"/>
        <c:crosses val="autoZero"/>
        <c:crossBetween val="between"/>
      </c:valAx>
      <c:spPr>
        <a:noFill/>
        <a:ln w="25400">
          <a:noFill/>
        </a:ln>
      </c:spPr>
    </c:plotArea>
    <c:legend>
      <c:legendPos val="r"/>
      <c:layout>
        <c:manualLayout>
          <c:xMode val="edge"/>
          <c:yMode val="edge"/>
          <c:x val="0.32197020826942135"/>
          <c:y val="0.9026248685206486"/>
          <c:w val="0.34659144879617304"/>
          <c:h val="6.7416123546354428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4574691870248137E-2"/>
          <c:y val="5.283028602278534E-2"/>
          <c:w val="0.81285519263128514"/>
          <c:h val="0.70566167759006093"/>
        </c:manualLayout>
      </c:layout>
      <c:barChart>
        <c:barDir val="col"/>
        <c:grouping val="clustered"/>
        <c:varyColors val="0"/>
        <c:ser>
          <c:idx val="0"/>
          <c:order val="0"/>
          <c:tx>
            <c:strRef>
              <c:f>'Datos Total'!$L$18</c:f>
              <c:strCache>
                <c:ptCount val="1"/>
                <c:pt idx="0">
                  <c:v> MES</c:v>
                </c:pt>
              </c:strCache>
            </c:strRef>
          </c:tx>
          <c:spPr>
            <a:solidFill>
              <a:srgbClr val="FFFF00"/>
            </a:solidFill>
            <a:ln w="25400">
              <a:noFill/>
            </a:ln>
          </c:spPr>
          <c:invertIfNegative val="0"/>
          <c:dLbls>
            <c:spPr>
              <a:noFill/>
              <a:ln w="25400">
                <a:noFill/>
              </a:ln>
            </c:spPr>
            <c:txPr>
              <a:bodyPr/>
              <a:lstStyle/>
              <a:p>
                <a:pPr>
                  <a:defRPr sz="900" b="1" i="0" u="none" strike="noStrike" baseline="0">
                    <a:solidFill>
                      <a:srgbClr val="FF0000"/>
                    </a:solidFill>
                    <a:latin typeface="Calibri"/>
                    <a:ea typeface="Calibri"/>
                    <a:cs typeface="Calibri"/>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Total'!$M$19:$M$30</c:f>
              <c:numCache>
                <c:formatCode>0</c:formatCode>
                <c:ptCount val="12"/>
                <c:pt idx="0">
                  <c:v>20</c:v>
                </c:pt>
                <c:pt idx="1">
                  <c:v>24</c:v>
                </c:pt>
                <c:pt idx="2">
                  <c:v>23</c:v>
                </c:pt>
                <c:pt idx="3">
                  <c:v>19</c:v>
                </c:pt>
                <c:pt idx="4">
                  <c:v>18</c:v>
                </c:pt>
                <c:pt idx="5">
                  <c:v>23</c:v>
                </c:pt>
                <c:pt idx="6">
                  <c:v>26</c:v>
                </c:pt>
                <c:pt idx="7">
                  <c:v>15</c:v>
                </c:pt>
                <c:pt idx="8">
                  <c:v>15</c:v>
                </c:pt>
                <c:pt idx="9">
                  <c:v>20</c:v>
                </c:pt>
                <c:pt idx="10">
                  <c:v>16</c:v>
                </c:pt>
                <c:pt idx="11">
                  <c:v>11</c:v>
                </c:pt>
              </c:numCache>
            </c:numRef>
          </c:val>
          <c:extLst>
            <c:ext xmlns:c16="http://schemas.microsoft.com/office/drawing/2014/chart" uri="{C3380CC4-5D6E-409C-BE32-E72D297353CC}">
              <c16:uniqueId val="{00000000-1A53-423D-8110-8A08BC0F0027}"/>
            </c:ext>
          </c:extLst>
        </c:ser>
        <c:ser>
          <c:idx val="1"/>
          <c:order val="1"/>
          <c:tx>
            <c:strRef>
              <c:f>'Datos Total'!$L$51</c:f>
              <c:strCache>
                <c:ptCount val="1"/>
                <c:pt idx="0">
                  <c:v> MES CTP</c:v>
                </c:pt>
              </c:strCache>
            </c:strRef>
          </c:tx>
          <c:spPr>
            <a:solidFill>
              <a:srgbClr val="FF0000"/>
            </a:solidFill>
          </c:spPr>
          <c:invertIfNegative val="0"/>
          <c:dLbls>
            <c:spPr>
              <a:noFill/>
              <a:ln>
                <a:noFill/>
              </a:ln>
              <a:effectLst/>
            </c:spPr>
            <c:txPr>
              <a:bodyPr/>
              <a:lstStyle/>
              <a:p>
                <a:pPr>
                  <a:defRPr lang="es-CL" sz="900" b="1">
                    <a:solidFill>
                      <a:srgbClr val="FF0000"/>
                    </a:solidFil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Total'!$M$52:$M$63</c:f>
              <c:numCache>
                <c:formatCode>0</c:formatCode>
                <c:ptCount val="12"/>
                <c:pt idx="0">
                  <c:v>3</c:v>
                </c:pt>
                <c:pt idx="1">
                  <c:v>3</c:v>
                </c:pt>
                <c:pt idx="2">
                  <c:v>5</c:v>
                </c:pt>
                <c:pt idx="3">
                  <c:v>1</c:v>
                </c:pt>
                <c:pt idx="4">
                  <c:v>1</c:v>
                </c:pt>
                <c:pt idx="5">
                  <c:v>9</c:v>
                </c:pt>
                <c:pt idx="6">
                  <c:v>2</c:v>
                </c:pt>
                <c:pt idx="7">
                  <c:v>6</c:v>
                </c:pt>
                <c:pt idx="8">
                  <c:v>3</c:v>
                </c:pt>
                <c:pt idx="9">
                  <c:v>6</c:v>
                </c:pt>
                <c:pt idx="10">
                  <c:v>3</c:v>
                </c:pt>
                <c:pt idx="11">
                  <c:v>1</c:v>
                </c:pt>
              </c:numCache>
            </c:numRef>
          </c:val>
          <c:extLst>
            <c:ext xmlns:c16="http://schemas.microsoft.com/office/drawing/2014/chart" uri="{C3380CC4-5D6E-409C-BE32-E72D297353CC}">
              <c16:uniqueId val="{00000001-1A53-423D-8110-8A08BC0F0027}"/>
            </c:ext>
          </c:extLst>
        </c:ser>
        <c:dLbls>
          <c:showLegendKey val="0"/>
          <c:showVal val="0"/>
          <c:showCatName val="0"/>
          <c:showSerName val="0"/>
          <c:showPercent val="0"/>
          <c:showBubbleSize val="0"/>
        </c:dLbls>
        <c:gapWidth val="219"/>
        <c:axId val="516326648"/>
        <c:axId val="516321944"/>
      </c:barChart>
      <c:catAx>
        <c:axId val="516326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900" b="0" i="0" u="none" strike="noStrike" baseline="0">
                <a:solidFill>
                  <a:srgbClr val="333333"/>
                </a:solidFill>
                <a:latin typeface="Calibri"/>
                <a:ea typeface="Calibri"/>
                <a:cs typeface="Calibri"/>
              </a:defRPr>
            </a:pPr>
            <a:endParaRPr lang="es-ES"/>
          </a:p>
        </c:txPr>
        <c:crossAx val="516321944"/>
        <c:crosses val="autoZero"/>
        <c:auto val="1"/>
        <c:lblAlgn val="ctr"/>
        <c:lblOffset val="100"/>
        <c:noMultiLvlLbl val="0"/>
      </c:catAx>
      <c:valAx>
        <c:axId val="516321944"/>
        <c:scaling>
          <c:orientation val="minMax"/>
        </c:scaling>
        <c:delete val="1"/>
        <c:axPos val="l"/>
        <c:numFmt formatCode="0" sourceLinked="1"/>
        <c:majorTickMark val="out"/>
        <c:minorTickMark val="none"/>
        <c:tickLblPos val="nextTo"/>
        <c:crossAx val="516326648"/>
        <c:crosses val="autoZero"/>
        <c:crossBetween val="between"/>
      </c:valAx>
      <c:spPr>
        <a:noFill/>
        <a:ln w="25400">
          <a:noFill/>
        </a:ln>
      </c:spPr>
    </c:plotArea>
    <c:legend>
      <c:legendPos val="r"/>
      <c:layout>
        <c:manualLayout>
          <c:xMode val="edge"/>
          <c:yMode val="edge"/>
          <c:x val="0.41020844316706656"/>
          <c:y val="0.90566196206606242"/>
          <c:w val="0.16635181941350186"/>
          <c:h val="6.7924528301886791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s-CL"/>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0643977576012046"/>
          <c:y val="0.21678358689287008"/>
          <c:w val="0.58712229803336957"/>
          <c:h val="0.67832283640672275"/>
        </c:manualLayout>
      </c:layout>
      <c:pie3DChart>
        <c:varyColors val="1"/>
        <c:ser>
          <c:idx val="0"/>
          <c:order val="0"/>
          <c:tx>
            <c:strRef>
              <c:f>'Datos Total'!$L$34</c:f>
              <c:strCache>
                <c:ptCount val="1"/>
                <c:pt idx="0">
                  <c:v>Genero</c:v>
                </c:pt>
              </c:strCache>
            </c:strRef>
          </c:tx>
          <c:dPt>
            <c:idx val="0"/>
            <c:bubble3D val="0"/>
            <c:spPr>
              <a:solidFill>
                <a:srgbClr val="FF0000"/>
              </a:solidFill>
            </c:spPr>
            <c:extLst>
              <c:ext xmlns:c16="http://schemas.microsoft.com/office/drawing/2014/chart" uri="{C3380CC4-5D6E-409C-BE32-E72D297353CC}">
                <c16:uniqueId val="{00000000-A31D-4840-8D17-2FAB528B338D}"/>
              </c:ext>
            </c:extLst>
          </c:dPt>
          <c:dPt>
            <c:idx val="1"/>
            <c:bubble3D val="0"/>
            <c:spPr>
              <a:solidFill>
                <a:srgbClr val="FFFF00"/>
              </a:solidFill>
            </c:spPr>
            <c:extLst>
              <c:ext xmlns:c16="http://schemas.microsoft.com/office/drawing/2014/chart" uri="{C3380CC4-5D6E-409C-BE32-E72D297353CC}">
                <c16:uniqueId val="{00000001-A31D-4840-8D17-2FAB528B338D}"/>
              </c:ext>
            </c:extLst>
          </c:dPt>
          <c:dLbls>
            <c:dLbl>
              <c:idx val="0"/>
              <c:layout>
                <c:manualLayout>
                  <c:x val="-0.1812746312151125"/>
                  <c:y val="-0.1952399151540722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31D-4840-8D17-2FAB528B338D}"/>
                </c:ext>
              </c:extLst>
            </c:dLbl>
            <c:dLbl>
              <c:idx val="1"/>
              <c:layout>
                <c:manualLayout>
                  <c:x val="0.21156697041486144"/>
                  <c:y val="5.89062937992538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31D-4840-8D17-2FAB528B338D}"/>
                </c:ext>
              </c:extLst>
            </c:dLbl>
            <c:spPr>
              <a:noFill/>
              <a:ln>
                <a:noFill/>
              </a:ln>
              <a:effectLst/>
            </c:spPr>
            <c:txPr>
              <a:bodyPr/>
              <a:lstStyle/>
              <a:p>
                <a:pPr>
                  <a:defRPr lang="es-CL" b="1"/>
                </a:pPr>
                <a:endParaRPr lang="es-ES"/>
              </a:p>
            </c:txPr>
            <c:showLegendKey val="0"/>
            <c:showVal val="0"/>
            <c:showCatName val="1"/>
            <c:showSerName val="0"/>
            <c:showPercent val="1"/>
            <c:showBubbleSize val="0"/>
            <c:showLeaderLines val="1"/>
            <c:extLst>
              <c:ext xmlns:c15="http://schemas.microsoft.com/office/drawing/2012/chart" uri="{CE6537A1-D6FC-4f65-9D91-7224C49458BB}"/>
            </c:extLst>
          </c:dLbls>
          <c:cat>
            <c:strRef>
              <c:f>'Datos Total'!$L$35:$L$36</c:f>
              <c:strCache>
                <c:ptCount val="2"/>
                <c:pt idx="0">
                  <c:v>Masculino</c:v>
                </c:pt>
                <c:pt idx="1">
                  <c:v>Femenino</c:v>
                </c:pt>
              </c:strCache>
            </c:strRef>
          </c:cat>
          <c:val>
            <c:numRef>
              <c:f>'Datos Total'!$M$35:$M$36</c:f>
              <c:numCache>
                <c:formatCode>General</c:formatCode>
                <c:ptCount val="2"/>
                <c:pt idx="0">
                  <c:v>159</c:v>
                </c:pt>
                <c:pt idx="1">
                  <c:v>70</c:v>
                </c:pt>
              </c:numCache>
            </c:numRef>
          </c:val>
          <c:extLst>
            <c:ext xmlns:c16="http://schemas.microsoft.com/office/drawing/2014/chart" uri="{C3380CC4-5D6E-409C-BE32-E72D297353CC}">
              <c16:uniqueId val="{00000002-A31D-4840-8D17-2FAB528B338D}"/>
            </c:ext>
          </c:extLst>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310610334195842"/>
          <c:y val="0.30449878436348493"/>
          <c:w val="0.52083429664250602"/>
          <c:h val="0.59861692835094082"/>
        </c:manualLayout>
      </c:layout>
      <c:pie3DChart>
        <c:varyColors val="1"/>
        <c:ser>
          <c:idx val="0"/>
          <c:order val="0"/>
          <c:tx>
            <c:strRef>
              <c:f>'Datos Total'!$L$39</c:f>
              <c:strCache>
                <c:ptCount val="1"/>
                <c:pt idx="0">
                  <c:v>Responsabilidad</c:v>
                </c:pt>
              </c:strCache>
            </c:strRef>
          </c:tx>
          <c:dPt>
            <c:idx val="0"/>
            <c:bubble3D val="0"/>
            <c:spPr>
              <a:solidFill>
                <a:srgbClr val="4F81BD"/>
              </a:solidFill>
              <a:ln w="25400">
                <a:solidFill>
                  <a:srgbClr val="FFFFFF"/>
                </a:solidFill>
                <a:prstDash val="solid"/>
              </a:ln>
            </c:spPr>
            <c:extLst>
              <c:ext xmlns:c16="http://schemas.microsoft.com/office/drawing/2014/chart" uri="{C3380CC4-5D6E-409C-BE32-E72D297353CC}">
                <c16:uniqueId val="{00000000-165A-4D86-B70A-2D8CF4082D66}"/>
              </c:ext>
            </c:extLst>
          </c:dPt>
          <c:dPt>
            <c:idx val="1"/>
            <c:bubble3D val="0"/>
            <c:spPr>
              <a:solidFill>
                <a:srgbClr val="C0504D"/>
              </a:solidFill>
              <a:ln w="25400">
                <a:solidFill>
                  <a:srgbClr val="FFFFFF"/>
                </a:solidFill>
                <a:prstDash val="solid"/>
              </a:ln>
            </c:spPr>
            <c:extLst>
              <c:ext xmlns:c16="http://schemas.microsoft.com/office/drawing/2014/chart" uri="{C3380CC4-5D6E-409C-BE32-E72D297353CC}">
                <c16:uniqueId val="{00000001-165A-4D86-B70A-2D8CF4082D66}"/>
              </c:ext>
            </c:extLst>
          </c:dPt>
          <c:dLbls>
            <c:dLbl>
              <c:idx val="0"/>
              <c:layout>
                <c:manualLayout>
                  <c:x val="-4.0438599084727314E-2"/>
                  <c:y val="-0.2480157403570499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165A-4D86-B70A-2D8CF4082D66}"/>
                </c:ext>
              </c:extLst>
            </c:dLbl>
            <c:dLbl>
              <c:idx val="1"/>
              <c:layout>
                <c:manualLayout>
                  <c:x val="0.14834982437135091"/>
                  <c:y val="6.267539589550810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65A-4D86-B70A-2D8CF4082D66}"/>
                </c:ext>
              </c:extLst>
            </c:dLbl>
            <c:dLbl>
              <c:idx val="2"/>
              <c:layout>
                <c:manualLayout>
                  <c:x val="3.1065775868928232E-2"/>
                  <c:y val="8.725862554377970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65A-4D86-B70A-2D8CF4082D66}"/>
                </c:ext>
              </c:extLst>
            </c:dLbl>
            <c:spPr>
              <a:noFill/>
              <a:ln>
                <a:noFill/>
              </a:ln>
              <a:effectLst/>
            </c:spPr>
            <c:txPr>
              <a:bodyPr/>
              <a:lstStyle/>
              <a:p>
                <a:pPr>
                  <a:defRPr lang="es-CL" b="1">
                    <a:solidFill>
                      <a:schemeClr val="bg1"/>
                    </a:solidFill>
                  </a:defRPr>
                </a:pPr>
                <a:endParaRPr lang="es-ES"/>
              </a:p>
            </c:txPr>
            <c:showLegendKey val="0"/>
            <c:showVal val="0"/>
            <c:showCatName val="0"/>
            <c:showSerName val="0"/>
            <c:showPercent val="1"/>
            <c:showBubbleSize val="0"/>
            <c:showLeaderLines val="1"/>
            <c:extLst>
              <c:ext xmlns:c15="http://schemas.microsoft.com/office/drawing/2012/chart" uri="{CE6537A1-D6FC-4f65-9D91-7224C49458BB}"/>
            </c:extLst>
          </c:dLbls>
          <c:cat>
            <c:strRef>
              <c:f>'Datos Total'!$L$40:$L$41</c:f>
              <c:strCache>
                <c:ptCount val="2"/>
                <c:pt idx="0">
                  <c:v>Accion</c:v>
                </c:pt>
                <c:pt idx="1">
                  <c:v>Condicion</c:v>
                </c:pt>
              </c:strCache>
            </c:strRef>
          </c:cat>
          <c:val>
            <c:numRef>
              <c:f>'Datos Total'!$M$40:$M$41</c:f>
              <c:numCache>
                <c:formatCode>General</c:formatCode>
                <c:ptCount val="2"/>
                <c:pt idx="0">
                  <c:v>160</c:v>
                </c:pt>
                <c:pt idx="1">
                  <c:v>70</c:v>
                </c:pt>
              </c:numCache>
            </c:numRef>
          </c:val>
          <c:extLst>
            <c:ext xmlns:c16="http://schemas.microsoft.com/office/drawing/2014/chart" uri="{C3380CC4-5D6E-409C-BE32-E72D297353CC}">
              <c16:uniqueId val="{00000003-165A-4D86-B70A-2D8CF4082D66}"/>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36363704536932884"/>
          <c:y val="0.1314882525497463"/>
          <c:w val="0.27083387303859741"/>
          <c:h val="8.304498269896203E-2"/>
        </c:manualLayout>
      </c:layout>
      <c:overlay val="0"/>
      <c:txPr>
        <a:bodyPr/>
        <a:lstStyle/>
        <a:p>
          <a:pPr>
            <a:defRPr lang="es-CL"/>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0"/>
    </c:view3D>
    <c:floor>
      <c:thickness val="0"/>
    </c:floor>
    <c:sideWall>
      <c:thickness val="0"/>
    </c:sideWall>
    <c:backWall>
      <c:thickness val="0"/>
    </c:backWall>
    <c:plotArea>
      <c:layout/>
      <c:pie3DChart>
        <c:varyColors val="1"/>
        <c:ser>
          <c:idx val="0"/>
          <c:order val="0"/>
          <c:tx>
            <c:strRef>
              <c:f>'[2]Datos Total'!$L$56</c:f>
              <c:strCache>
                <c:ptCount val="1"/>
                <c:pt idx="0">
                  <c:v>Atencion</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9632-4C19-B500-6FE54521FA80}"/>
              </c:ext>
            </c:extLst>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632-4C19-B500-6FE54521FA80}"/>
              </c:ext>
            </c:extLst>
          </c:dPt>
          <c:dLbls>
            <c:spPr>
              <a:noFill/>
              <a:ln w="25400">
                <a:noFill/>
              </a:ln>
            </c:spPr>
            <c:txPr>
              <a:bodyPr/>
              <a:lstStyle/>
              <a:p>
                <a:pPr>
                  <a:defRPr sz="900" b="0" i="0" u="none" strike="noStrike" baseline="0">
                    <a:solidFill>
                      <a:srgbClr val="C0C0C0"/>
                    </a:solidFill>
                    <a:latin typeface="Calibri"/>
                    <a:ea typeface="Calibri"/>
                    <a:cs typeface="Calibri"/>
                  </a:defRPr>
                </a:pPr>
                <a:endParaRPr lang="es-E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'[2]Datos Total'!$L$57:$L$58</c:f>
              <c:strCache>
                <c:ptCount val="2"/>
                <c:pt idx="0">
                  <c:v>Trabajo</c:v>
                </c:pt>
                <c:pt idx="1">
                  <c:v>Enfermedad Profesional</c:v>
                </c:pt>
              </c:strCache>
            </c:strRef>
          </c:cat>
          <c:val>
            <c:numRef>
              <c:f>'[2]Datos Total'!$N$57:$N$58</c:f>
              <c:numCache>
                <c:formatCode>General</c:formatCode>
                <c:ptCount val="2"/>
                <c:pt idx="0">
                  <c:v>0</c:v>
                </c:pt>
                <c:pt idx="1">
                  <c:v>0</c:v>
                </c:pt>
              </c:numCache>
            </c:numRef>
          </c:val>
          <c:extLst>
            <c:ext xmlns:c16="http://schemas.microsoft.com/office/drawing/2014/chart" uri="{C3380CC4-5D6E-409C-BE32-E72D297353CC}">
              <c16:uniqueId val="{00000002-9632-4C19-B500-6FE54521FA80}"/>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33901580484257687"/>
          <c:y val="0.92307821522309785"/>
          <c:w val="0.31628841849314288"/>
          <c:h val="5.5384615384615407E-2"/>
        </c:manualLayout>
      </c:layout>
      <c:overlay val="0"/>
      <c:spPr>
        <a:noFill/>
        <a:ln w="25400">
          <a:noFill/>
        </a:ln>
      </c:spPr>
      <c:txPr>
        <a:bodyPr/>
        <a:lstStyle/>
        <a:p>
          <a:pPr>
            <a:defRPr lang="es-CO" sz="690" b="0" i="0" u="none" strike="noStrike" baseline="0">
              <a:solidFill>
                <a:srgbClr val="C0C0C0"/>
              </a:solidFill>
              <a:latin typeface="Calibri"/>
              <a:ea typeface="Calibri"/>
              <a:cs typeface="Calibri"/>
            </a:defRPr>
          </a:pPr>
          <a:endParaRPr lang="es-E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515200556345757E-2"/>
          <c:y val="4.8780487804878127E-2"/>
          <c:w val="0.78409235930908072"/>
          <c:h val="0.83972125435540157"/>
        </c:manualLayout>
      </c:layout>
      <c:barChart>
        <c:barDir val="col"/>
        <c:grouping val="clustered"/>
        <c:varyColors val="0"/>
        <c:ser>
          <c:idx val="0"/>
          <c:order val="0"/>
          <c:tx>
            <c:strRef>
              <c:f>'Datos Total'!$B$38</c:f>
              <c:strCache>
                <c:ptCount val="1"/>
                <c:pt idx="0">
                  <c:v>DIA</c:v>
                </c:pt>
              </c:strCache>
            </c:strRef>
          </c:tx>
          <c:spPr>
            <a:solidFill>
              <a:srgbClr val="FFFF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Total'!$B$39:$B$45</c:f>
              <c:strCache>
                <c:ptCount val="7"/>
                <c:pt idx="0">
                  <c:v>Jueves</c:v>
                </c:pt>
                <c:pt idx="1">
                  <c:v>Viernes</c:v>
                </c:pt>
                <c:pt idx="2">
                  <c:v>Martes</c:v>
                </c:pt>
                <c:pt idx="3">
                  <c:v>Lunes</c:v>
                </c:pt>
                <c:pt idx="4">
                  <c:v>Miercoles</c:v>
                </c:pt>
                <c:pt idx="5">
                  <c:v>Sabado</c:v>
                </c:pt>
                <c:pt idx="6">
                  <c:v>Domingo</c:v>
                </c:pt>
              </c:strCache>
            </c:strRef>
          </c:cat>
          <c:val>
            <c:numRef>
              <c:f>'Datos Total'!$C$39:$C$45</c:f>
              <c:numCache>
                <c:formatCode>General</c:formatCode>
                <c:ptCount val="7"/>
                <c:pt idx="0">
                  <c:v>47</c:v>
                </c:pt>
                <c:pt idx="1">
                  <c:v>43</c:v>
                </c:pt>
                <c:pt idx="2">
                  <c:v>44</c:v>
                </c:pt>
                <c:pt idx="3">
                  <c:v>36</c:v>
                </c:pt>
                <c:pt idx="4">
                  <c:v>35</c:v>
                </c:pt>
                <c:pt idx="5">
                  <c:v>22</c:v>
                </c:pt>
                <c:pt idx="6">
                  <c:v>3</c:v>
                </c:pt>
              </c:numCache>
            </c:numRef>
          </c:val>
          <c:extLst>
            <c:ext xmlns:c16="http://schemas.microsoft.com/office/drawing/2014/chart" uri="{C3380CC4-5D6E-409C-BE32-E72D297353CC}">
              <c16:uniqueId val="{00000000-824D-4222-8AC5-1173B24A3E30}"/>
            </c:ext>
          </c:extLst>
        </c:ser>
        <c:dLbls>
          <c:showLegendKey val="0"/>
          <c:showVal val="0"/>
          <c:showCatName val="0"/>
          <c:showSerName val="0"/>
          <c:showPercent val="0"/>
          <c:showBubbleSize val="0"/>
        </c:dLbls>
        <c:gapWidth val="219"/>
        <c:overlap val="-27"/>
        <c:axId val="516327824"/>
        <c:axId val="516317632"/>
      </c:barChart>
      <c:lineChart>
        <c:grouping val="standard"/>
        <c:varyColors val="0"/>
        <c:ser>
          <c:idx val="2"/>
          <c:order val="1"/>
          <c:tx>
            <c:strRef>
              <c:f>'Datos Total'!$E$38</c:f>
              <c:strCache>
                <c:ptCount val="1"/>
                <c:pt idx="0">
                  <c:v>Pareto</c:v>
                </c:pt>
              </c:strCache>
            </c:strRef>
          </c:tx>
          <c:spPr>
            <a:ln w="28575" cap="rnd">
              <a:solidFill>
                <a:schemeClr val="accent3"/>
              </a:solidFill>
              <a:round/>
            </a:ln>
            <a:effectLst/>
          </c:spPr>
          <c:marker>
            <c:symbol val="none"/>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'[2]Datos Total'!$B$59:$B$65</c:f>
              <c:strCache>
                <c:ptCount val="7"/>
                <c:pt idx="0">
                  <c:v>Lunes</c:v>
                </c:pt>
                <c:pt idx="1">
                  <c:v>Jueves</c:v>
                </c:pt>
                <c:pt idx="2">
                  <c:v>Viernes</c:v>
                </c:pt>
                <c:pt idx="3">
                  <c:v>Sabado</c:v>
                </c:pt>
                <c:pt idx="4">
                  <c:v>Miercoles</c:v>
                </c:pt>
                <c:pt idx="5">
                  <c:v>Martes</c:v>
                </c:pt>
                <c:pt idx="6">
                  <c:v>Domingo</c:v>
                </c:pt>
              </c:strCache>
            </c:strRef>
          </c:cat>
          <c:val>
            <c:numRef>
              <c:f>'Datos Total'!$E$39:$E$45</c:f>
              <c:numCache>
                <c:formatCode>0%</c:formatCode>
                <c:ptCount val="7"/>
                <c:pt idx="0">
                  <c:v>0.20434782608695654</c:v>
                </c:pt>
                <c:pt idx="1">
                  <c:v>0.39130434782608697</c:v>
                </c:pt>
                <c:pt idx="2">
                  <c:v>0.58260869565217388</c:v>
                </c:pt>
                <c:pt idx="3">
                  <c:v>0.73913043478260865</c:v>
                </c:pt>
                <c:pt idx="4">
                  <c:v>0.89130434782608692</c:v>
                </c:pt>
                <c:pt idx="5">
                  <c:v>0.9869565217391304</c:v>
                </c:pt>
                <c:pt idx="6">
                  <c:v>1</c:v>
                </c:pt>
              </c:numCache>
            </c:numRef>
          </c:val>
          <c:smooth val="0"/>
          <c:extLst>
            <c:ext xmlns:c16="http://schemas.microsoft.com/office/drawing/2014/chart" uri="{C3380CC4-5D6E-409C-BE32-E72D297353CC}">
              <c16:uniqueId val="{00000001-824D-4222-8AC5-1173B24A3E30}"/>
            </c:ext>
          </c:extLst>
        </c:ser>
        <c:dLbls>
          <c:showLegendKey val="0"/>
          <c:showVal val="0"/>
          <c:showCatName val="0"/>
          <c:showSerName val="0"/>
          <c:showPercent val="0"/>
          <c:showBubbleSize val="0"/>
        </c:dLbls>
        <c:marker val="1"/>
        <c:smooth val="0"/>
        <c:axId val="516327824"/>
        <c:axId val="516317632"/>
      </c:lineChart>
      <c:catAx>
        <c:axId val="51632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s-ES"/>
          </a:p>
        </c:txPr>
        <c:crossAx val="516317632"/>
        <c:crosses val="autoZero"/>
        <c:auto val="1"/>
        <c:lblAlgn val="ctr"/>
        <c:lblOffset val="100"/>
        <c:noMultiLvlLbl val="0"/>
      </c:catAx>
      <c:valAx>
        <c:axId val="516317632"/>
        <c:scaling>
          <c:orientation val="minMax"/>
        </c:scaling>
        <c:delete val="1"/>
        <c:axPos val="l"/>
        <c:numFmt formatCode="General" sourceLinked="1"/>
        <c:majorTickMark val="out"/>
        <c:minorTickMark val="none"/>
        <c:tickLblPos val="nextTo"/>
        <c:crossAx val="51632782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504797436936515E-2"/>
          <c:y val="4.778156996587031E-2"/>
          <c:w val="0.53686249931926655"/>
          <c:h val="0.70307167235494938"/>
        </c:manualLayout>
      </c:layout>
      <c:barChart>
        <c:barDir val="col"/>
        <c:grouping val="clustered"/>
        <c:varyColors val="0"/>
        <c:ser>
          <c:idx val="0"/>
          <c:order val="0"/>
          <c:tx>
            <c:strRef>
              <c:f>'Datos Total'!$G$3</c:f>
              <c:strCache>
                <c:ptCount val="1"/>
                <c:pt idx="0">
                  <c:v>PARTE DEL CUERPO AFECTADA</c:v>
                </c:pt>
              </c:strCache>
            </c:strRef>
          </c:tx>
          <c:spPr>
            <a:solidFill>
              <a:srgbClr val="FF0000"/>
            </a:solidFill>
            <a:ln w="25400">
              <a:noFill/>
            </a:ln>
          </c:spPr>
          <c:invertIfNegative val="0"/>
          <c:dLbls>
            <c:spPr>
              <a:solidFill>
                <a:srgbClr val="FFFF00"/>
              </a:solidFill>
              <a:ln w="25400">
                <a:noFill/>
              </a:ln>
            </c:spPr>
            <c:txPr>
              <a:bodyPr/>
              <a:lstStyle/>
              <a:p>
                <a:pPr>
                  <a:defRPr sz="900" b="0" i="0" u="none" strike="noStrike" baseline="0">
                    <a:solidFill>
                      <a:srgbClr val="FF0000"/>
                    </a:solidFill>
                    <a:latin typeface="Calibri"/>
                    <a:ea typeface="Calibri"/>
                    <a:cs typeface="Calibri"/>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Total'!$G$4:$G$13</c:f>
              <c:strCache>
                <c:ptCount val="10"/>
                <c:pt idx="0">
                  <c:v>Manos / dedos</c:v>
                </c:pt>
                <c:pt idx="1">
                  <c:v>Pie</c:v>
                </c:pt>
                <c:pt idx="2">
                  <c:v>Ojos</c:v>
                </c:pt>
                <c:pt idx="3">
                  <c:v>Brazo</c:v>
                </c:pt>
                <c:pt idx="4">
                  <c:v>Pierna</c:v>
                </c:pt>
                <c:pt idx="5">
                  <c:v>Rostro</c:v>
                </c:pt>
                <c:pt idx="6">
                  <c:v>Espalda</c:v>
                </c:pt>
                <c:pt idx="7">
                  <c:v>Tronco</c:v>
                </c:pt>
                <c:pt idx="8">
                  <c:v>Cabeza</c:v>
                </c:pt>
                <c:pt idx="9">
                  <c:v>Pelvis</c:v>
                </c:pt>
              </c:strCache>
            </c:strRef>
          </c:cat>
          <c:val>
            <c:numRef>
              <c:f>'Datos Total'!$H$4:$H$13</c:f>
              <c:numCache>
                <c:formatCode>General</c:formatCode>
                <c:ptCount val="10"/>
                <c:pt idx="0">
                  <c:v>95</c:v>
                </c:pt>
                <c:pt idx="1">
                  <c:v>31</c:v>
                </c:pt>
                <c:pt idx="2">
                  <c:v>29</c:v>
                </c:pt>
                <c:pt idx="3">
                  <c:v>24</c:v>
                </c:pt>
                <c:pt idx="4">
                  <c:v>18</c:v>
                </c:pt>
                <c:pt idx="5">
                  <c:v>11</c:v>
                </c:pt>
                <c:pt idx="6">
                  <c:v>8</c:v>
                </c:pt>
                <c:pt idx="7">
                  <c:v>6</c:v>
                </c:pt>
                <c:pt idx="8">
                  <c:v>6</c:v>
                </c:pt>
                <c:pt idx="9">
                  <c:v>1</c:v>
                </c:pt>
              </c:numCache>
            </c:numRef>
          </c:val>
          <c:extLst>
            <c:ext xmlns:c16="http://schemas.microsoft.com/office/drawing/2014/chart" uri="{C3380CC4-5D6E-409C-BE32-E72D297353CC}">
              <c16:uniqueId val="{00000000-F6C9-4805-8BAB-A5E86B99F4A4}"/>
            </c:ext>
          </c:extLst>
        </c:ser>
        <c:dLbls>
          <c:showLegendKey val="0"/>
          <c:showVal val="0"/>
          <c:showCatName val="0"/>
          <c:showSerName val="0"/>
          <c:showPercent val="0"/>
          <c:showBubbleSize val="0"/>
        </c:dLbls>
        <c:gapWidth val="219"/>
        <c:axId val="516329000"/>
        <c:axId val="516328608"/>
      </c:barChart>
      <c:lineChart>
        <c:grouping val="stacked"/>
        <c:varyColors val="0"/>
        <c:ser>
          <c:idx val="2"/>
          <c:order val="1"/>
          <c:tx>
            <c:strRef>
              <c:f>'Datos Total'!$J$3</c:f>
              <c:strCache>
                <c:ptCount val="1"/>
                <c:pt idx="0">
                  <c:v>Pareto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Lbl>
              <c:idx val="3"/>
              <c:layout>
                <c:manualLayout>
                  <c:x val="-4.0090780247473534E-2"/>
                  <c:y val="-0.1007606386768756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C9-4805-8BAB-A5E86B99F4A4}"/>
                </c:ext>
              </c:extLst>
            </c:dLbl>
            <c:spPr>
              <a:noFill/>
              <a:ln w="25400">
                <a:noFill/>
              </a:ln>
            </c:spPr>
            <c:txPr>
              <a:bodyPr/>
              <a:lstStyle/>
              <a:p>
                <a:pPr>
                  <a:defRPr sz="900" b="0" i="0" u="none" strike="noStrike" baseline="0">
                    <a:solidFill>
                      <a:srgbClr val="333333"/>
                    </a:solidFill>
                    <a:latin typeface="Calibri"/>
                    <a:ea typeface="Calibri"/>
                    <a:cs typeface="Calibri"/>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Total'!$G$4:$G$13</c:f>
              <c:strCache>
                <c:ptCount val="10"/>
                <c:pt idx="0">
                  <c:v>Manos / dedos</c:v>
                </c:pt>
                <c:pt idx="1">
                  <c:v>Pie</c:v>
                </c:pt>
                <c:pt idx="2">
                  <c:v>Ojos</c:v>
                </c:pt>
                <c:pt idx="3">
                  <c:v>Brazo</c:v>
                </c:pt>
                <c:pt idx="4">
                  <c:v>Pierna</c:v>
                </c:pt>
                <c:pt idx="5">
                  <c:v>Rostro</c:v>
                </c:pt>
                <c:pt idx="6">
                  <c:v>Espalda</c:v>
                </c:pt>
                <c:pt idx="7">
                  <c:v>Tronco</c:v>
                </c:pt>
                <c:pt idx="8">
                  <c:v>Cabeza</c:v>
                </c:pt>
                <c:pt idx="9">
                  <c:v>Pelvis</c:v>
                </c:pt>
              </c:strCache>
            </c:strRef>
          </c:cat>
          <c:val>
            <c:numRef>
              <c:f>'Datos Total'!$J$4:$J$13</c:f>
              <c:numCache>
                <c:formatCode>0%</c:formatCode>
                <c:ptCount val="10"/>
                <c:pt idx="0">
                  <c:v>0.41304347826086957</c:v>
                </c:pt>
                <c:pt idx="1">
                  <c:v>0.54782608695652169</c:v>
                </c:pt>
                <c:pt idx="2">
                  <c:v>0.67391304347826075</c:v>
                </c:pt>
                <c:pt idx="3">
                  <c:v>0.77826086956521723</c:v>
                </c:pt>
                <c:pt idx="4">
                  <c:v>0.85652173913043461</c:v>
                </c:pt>
                <c:pt idx="5">
                  <c:v>0.90434782608695641</c:v>
                </c:pt>
                <c:pt idx="6">
                  <c:v>0.9391304347826086</c:v>
                </c:pt>
                <c:pt idx="7">
                  <c:v>0.96521739130434769</c:v>
                </c:pt>
                <c:pt idx="8">
                  <c:v>0.99130434782608678</c:v>
                </c:pt>
                <c:pt idx="9">
                  <c:v>0.99565217391304328</c:v>
                </c:pt>
              </c:numCache>
            </c:numRef>
          </c:val>
          <c:smooth val="0"/>
          <c:extLst>
            <c:ext xmlns:c16="http://schemas.microsoft.com/office/drawing/2014/chart" uri="{C3380CC4-5D6E-409C-BE32-E72D297353CC}">
              <c16:uniqueId val="{00000002-F6C9-4805-8BAB-A5E86B99F4A4}"/>
            </c:ext>
          </c:extLst>
        </c:ser>
        <c:dLbls>
          <c:showLegendKey val="0"/>
          <c:showVal val="0"/>
          <c:showCatName val="0"/>
          <c:showSerName val="0"/>
          <c:showPercent val="0"/>
          <c:showBubbleSize val="0"/>
        </c:dLbls>
        <c:marker val="1"/>
        <c:smooth val="0"/>
        <c:axId val="516318024"/>
        <c:axId val="516329392"/>
      </c:lineChart>
      <c:catAx>
        <c:axId val="516329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900" b="0" i="0" u="none" strike="noStrike" baseline="0">
                <a:solidFill>
                  <a:srgbClr val="333333"/>
                </a:solidFill>
                <a:latin typeface="Calibri"/>
                <a:ea typeface="Calibri"/>
                <a:cs typeface="Calibri"/>
              </a:defRPr>
            </a:pPr>
            <a:endParaRPr lang="es-ES"/>
          </a:p>
        </c:txPr>
        <c:crossAx val="516328608"/>
        <c:crosses val="autoZero"/>
        <c:auto val="1"/>
        <c:lblAlgn val="ctr"/>
        <c:lblOffset val="100"/>
        <c:noMultiLvlLbl val="0"/>
      </c:catAx>
      <c:valAx>
        <c:axId val="516328608"/>
        <c:scaling>
          <c:orientation val="minMax"/>
        </c:scaling>
        <c:delete val="1"/>
        <c:axPos val="l"/>
        <c:numFmt formatCode="General" sourceLinked="1"/>
        <c:majorTickMark val="out"/>
        <c:minorTickMark val="none"/>
        <c:tickLblPos val="nextTo"/>
        <c:crossAx val="516329000"/>
        <c:crosses val="autoZero"/>
        <c:crossBetween val="between"/>
      </c:valAx>
      <c:catAx>
        <c:axId val="516318024"/>
        <c:scaling>
          <c:orientation val="minMax"/>
        </c:scaling>
        <c:delete val="1"/>
        <c:axPos val="b"/>
        <c:numFmt formatCode="General" sourceLinked="1"/>
        <c:majorTickMark val="out"/>
        <c:minorTickMark val="none"/>
        <c:tickLblPos val="nextTo"/>
        <c:crossAx val="516329392"/>
        <c:crosses val="autoZero"/>
        <c:auto val="1"/>
        <c:lblAlgn val="ctr"/>
        <c:lblOffset val="100"/>
        <c:noMultiLvlLbl val="0"/>
      </c:catAx>
      <c:valAx>
        <c:axId val="516329392"/>
        <c:scaling>
          <c:orientation val="minMax"/>
        </c:scaling>
        <c:delete val="1"/>
        <c:axPos val="r"/>
        <c:numFmt formatCode="0%" sourceLinked="1"/>
        <c:majorTickMark val="out"/>
        <c:minorTickMark val="none"/>
        <c:tickLblPos val="nextTo"/>
        <c:crossAx val="516318024"/>
        <c:crosses val="max"/>
        <c:crossBetween val="between"/>
      </c:valAx>
      <c:spPr>
        <a:noFill/>
        <a:ln w="25400">
          <a:noFill/>
        </a:ln>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227430359682818E-2"/>
          <c:y val="4.8780487804878127E-2"/>
          <c:w val="0.61931932728036088"/>
          <c:h val="0.4425087108013937"/>
        </c:manualLayout>
      </c:layout>
      <c:barChart>
        <c:barDir val="col"/>
        <c:grouping val="clustered"/>
        <c:varyColors val="0"/>
        <c:ser>
          <c:idx val="0"/>
          <c:order val="0"/>
          <c:tx>
            <c:strRef>
              <c:f>'Datos Total'!$B$17</c:f>
              <c:strCache>
                <c:ptCount val="1"/>
                <c:pt idx="0">
                  <c:v>TIPO DE ACCIDENTE</c:v>
                </c:pt>
              </c:strCache>
            </c:strRef>
          </c:tx>
          <c:spPr>
            <a:solidFill>
              <a:srgbClr val="FF0000"/>
            </a:solidFill>
            <a:ln w="25400">
              <a:noFill/>
            </a:ln>
          </c:spPr>
          <c:invertIfNegative val="0"/>
          <c:dLbls>
            <c:spPr>
              <a:solidFill>
                <a:srgbClr val="FFFF00"/>
              </a:solidFill>
              <a:ln w="25400">
                <a:noFill/>
              </a:ln>
            </c:spPr>
            <c:txPr>
              <a:bodyPr/>
              <a:lstStyle/>
              <a:p>
                <a:pPr>
                  <a:defRPr sz="900" b="0" i="0" u="none" strike="noStrike" baseline="0">
                    <a:solidFill>
                      <a:srgbClr val="FF0000"/>
                    </a:solidFill>
                    <a:latin typeface="Calibri"/>
                    <a:ea typeface="Calibri"/>
                    <a:cs typeface="Calibri"/>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Total'!$B$18:$B$31</c:f>
              <c:strCache>
                <c:ptCount val="14"/>
                <c:pt idx="0">
                  <c:v>Golpeado por </c:v>
                </c:pt>
                <c:pt idx="1">
                  <c:v>Caida de mismo nivel</c:v>
                </c:pt>
                <c:pt idx="2">
                  <c:v>Contacto con cuerpo cortante</c:v>
                </c:pt>
                <c:pt idx="3">
                  <c:v>Proyeccion de particulas</c:v>
                </c:pt>
                <c:pt idx="4">
                  <c:v>Golpeado contra</c:v>
                </c:pt>
                <c:pt idx="5">
                  <c:v>Sobreesfuerzo</c:v>
                </c:pt>
                <c:pt idx="6">
                  <c:v>Atrapamiento</c:v>
                </c:pt>
                <c:pt idx="7">
                  <c:v>Caida de distinto nivel</c:v>
                </c:pt>
                <c:pt idx="8">
                  <c:v>Contacto con temperaturas extremas</c:v>
                </c:pt>
                <c:pt idx="9">
                  <c:v>Picadura</c:v>
                </c:pt>
                <c:pt idx="10">
                  <c:v>Otros</c:v>
                </c:pt>
                <c:pt idx="11">
                  <c:v>Contacto con electricidad</c:v>
                </c:pt>
                <c:pt idx="12">
                  <c:v>Contacto con sustancias corrosivas</c:v>
                </c:pt>
                <c:pt idx="13">
                  <c:v>Contacto con cuerpo punzante</c:v>
                </c:pt>
              </c:strCache>
            </c:strRef>
          </c:cat>
          <c:val>
            <c:numRef>
              <c:f>'Datos Total'!$C$18:$C$31</c:f>
              <c:numCache>
                <c:formatCode>General</c:formatCode>
                <c:ptCount val="14"/>
                <c:pt idx="0">
                  <c:v>80</c:v>
                </c:pt>
                <c:pt idx="1">
                  <c:v>33</c:v>
                </c:pt>
                <c:pt idx="2">
                  <c:v>26</c:v>
                </c:pt>
                <c:pt idx="3">
                  <c:v>27</c:v>
                </c:pt>
                <c:pt idx="4">
                  <c:v>27</c:v>
                </c:pt>
                <c:pt idx="5">
                  <c:v>12</c:v>
                </c:pt>
                <c:pt idx="6">
                  <c:v>12</c:v>
                </c:pt>
                <c:pt idx="7">
                  <c:v>7</c:v>
                </c:pt>
                <c:pt idx="8">
                  <c:v>2</c:v>
                </c:pt>
                <c:pt idx="9">
                  <c:v>2</c:v>
                </c:pt>
                <c:pt idx="10">
                  <c:v>1</c:v>
                </c:pt>
                <c:pt idx="11">
                  <c:v>1</c:v>
                </c:pt>
                <c:pt idx="12">
                  <c:v>0</c:v>
                </c:pt>
                <c:pt idx="13">
                  <c:v>0</c:v>
                </c:pt>
              </c:numCache>
            </c:numRef>
          </c:val>
          <c:extLst>
            <c:ext xmlns:c16="http://schemas.microsoft.com/office/drawing/2014/chart" uri="{C3380CC4-5D6E-409C-BE32-E72D297353CC}">
              <c16:uniqueId val="{00000000-5876-4ABD-8340-33FF1B47A621}"/>
            </c:ext>
          </c:extLst>
        </c:ser>
        <c:dLbls>
          <c:showLegendKey val="0"/>
          <c:showVal val="0"/>
          <c:showCatName val="0"/>
          <c:showSerName val="0"/>
          <c:showPercent val="0"/>
          <c:showBubbleSize val="0"/>
        </c:dLbls>
        <c:gapWidth val="338"/>
        <c:axId val="516321160"/>
        <c:axId val="516318416"/>
      </c:barChart>
      <c:lineChart>
        <c:grouping val="stacked"/>
        <c:varyColors val="0"/>
        <c:ser>
          <c:idx val="2"/>
          <c:order val="1"/>
          <c:tx>
            <c:strRef>
              <c:f>'Datos Total'!$E$17</c:f>
              <c:strCache>
                <c:ptCount val="1"/>
                <c:pt idx="0">
                  <c:v>Pareto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Total'!$B$18:$B$29</c:f>
              <c:strCache>
                <c:ptCount val="12"/>
                <c:pt idx="0">
                  <c:v>Golpeado por </c:v>
                </c:pt>
                <c:pt idx="1">
                  <c:v>Caida de mismo nivel</c:v>
                </c:pt>
                <c:pt idx="2">
                  <c:v>Contacto con cuerpo cortante</c:v>
                </c:pt>
                <c:pt idx="3">
                  <c:v>Proyeccion de particulas</c:v>
                </c:pt>
                <c:pt idx="4">
                  <c:v>Golpeado contra</c:v>
                </c:pt>
                <c:pt idx="5">
                  <c:v>Sobreesfuerzo</c:v>
                </c:pt>
                <c:pt idx="6">
                  <c:v>Atrapamiento</c:v>
                </c:pt>
                <c:pt idx="7">
                  <c:v>Caida de distinto nivel</c:v>
                </c:pt>
                <c:pt idx="8">
                  <c:v>Contacto con temperaturas extremas</c:v>
                </c:pt>
                <c:pt idx="9">
                  <c:v>Picadura</c:v>
                </c:pt>
                <c:pt idx="10">
                  <c:v>Otros</c:v>
                </c:pt>
                <c:pt idx="11">
                  <c:v>Contacto con electricidad</c:v>
                </c:pt>
              </c:strCache>
            </c:strRef>
          </c:cat>
          <c:val>
            <c:numRef>
              <c:f>'Datos Total'!$E$18:$E$31</c:f>
              <c:numCache>
                <c:formatCode>0%</c:formatCode>
                <c:ptCount val="14"/>
                <c:pt idx="0">
                  <c:v>0.34782608695652173</c:v>
                </c:pt>
                <c:pt idx="1">
                  <c:v>0.49130434782608695</c:v>
                </c:pt>
                <c:pt idx="2">
                  <c:v>0.60434782608695647</c:v>
                </c:pt>
                <c:pt idx="3">
                  <c:v>0.72173913043478255</c:v>
                </c:pt>
                <c:pt idx="4">
                  <c:v>0.83913043478260863</c:v>
                </c:pt>
                <c:pt idx="5">
                  <c:v>0.89130434782608692</c:v>
                </c:pt>
                <c:pt idx="6">
                  <c:v>0.94347826086956521</c:v>
                </c:pt>
                <c:pt idx="7">
                  <c:v>0.97391304347826091</c:v>
                </c:pt>
                <c:pt idx="8">
                  <c:v>0.9826086956521739</c:v>
                </c:pt>
                <c:pt idx="9">
                  <c:v>0.9913043478260869</c:v>
                </c:pt>
                <c:pt idx="10">
                  <c:v>0.99565217391304339</c:v>
                </c:pt>
                <c:pt idx="11">
                  <c:v>0.99999999999999989</c:v>
                </c:pt>
                <c:pt idx="12">
                  <c:v>0.99999999999999989</c:v>
                </c:pt>
                <c:pt idx="13">
                  <c:v>0.99999999999999989</c:v>
                </c:pt>
              </c:numCache>
            </c:numRef>
          </c:val>
          <c:smooth val="0"/>
          <c:extLst>
            <c:ext xmlns:c16="http://schemas.microsoft.com/office/drawing/2014/chart" uri="{C3380CC4-5D6E-409C-BE32-E72D297353CC}">
              <c16:uniqueId val="{00000001-5876-4ABD-8340-33FF1B47A621}"/>
            </c:ext>
          </c:extLst>
        </c:ser>
        <c:dLbls>
          <c:showLegendKey val="0"/>
          <c:showVal val="0"/>
          <c:showCatName val="0"/>
          <c:showSerName val="0"/>
          <c:showPercent val="0"/>
          <c:showBubbleSize val="0"/>
        </c:dLbls>
        <c:marker val="1"/>
        <c:smooth val="0"/>
        <c:axId val="516321552"/>
        <c:axId val="516331744"/>
      </c:lineChart>
      <c:catAx>
        <c:axId val="516321160"/>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vert="horz"/>
          <a:lstStyle/>
          <a:p>
            <a:pPr>
              <a:defRPr sz="800" b="1" i="0" u="none" strike="noStrike" baseline="0">
                <a:solidFill>
                  <a:srgbClr val="333333"/>
                </a:solidFill>
                <a:latin typeface="Calibri"/>
                <a:ea typeface="Calibri"/>
                <a:cs typeface="Calibri"/>
              </a:defRPr>
            </a:pPr>
            <a:endParaRPr lang="es-ES"/>
          </a:p>
        </c:txPr>
        <c:crossAx val="516318416"/>
        <c:crosses val="autoZero"/>
        <c:auto val="1"/>
        <c:lblAlgn val="ctr"/>
        <c:lblOffset val="100"/>
        <c:noMultiLvlLbl val="0"/>
      </c:catAx>
      <c:valAx>
        <c:axId val="516318416"/>
        <c:scaling>
          <c:orientation val="minMax"/>
        </c:scaling>
        <c:delete val="1"/>
        <c:axPos val="l"/>
        <c:numFmt formatCode="General" sourceLinked="1"/>
        <c:majorTickMark val="out"/>
        <c:minorTickMark val="none"/>
        <c:tickLblPos val="nextTo"/>
        <c:crossAx val="516321160"/>
        <c:crosses val="autoZero"/>
        <c:crossBetween val="between"/>
      </c:valAx>
      <c:catAx>
        <c:axId val="516321552"/>
        <c:scaling>
          <c:orientation val="minMax"/>
        </c:scaling>
        <c:delete val="1"/>
        <c:axPos val="b"/>
        <c:numFmt formatCode="General" sourceLinked="1"/>
        <c:majorTickMark val="out"/>
        <c:minorTickMark val="none"/>
        <c:tickLblPos val="nextTo"/>
        <c:crossAx val="516331744"/>
        <c:crosses val="autoZero"/>
        <c:auto val="1"/>
        <c:lblAlgn val="ctr"/>
        <c:lblOffset val="100"/>
        <c:noMultiLvlLbl val="0"/>
      </c:catAx>
      <c:valAx>
        <c:axId val="516331744"/>
        <c:scaling>
          <c:orientation val="minMax"/>
        </c:scaling>
        <c:delete val="1"/>
        <c:axPos val="r"/>
        <c:numFmt formatCode="0%" sourceLinked="1"/>
        <c:majorTickMark val="out"/>
        <c:minorTickMark val="none"/>
        <c:tickLblPos val="nextTo"/>
        <c:crossAx val="516321552"/>
        <c:crosses val="max"/>
        <c:crossBetween val="between"/>
      </c:valAx>
      <c:spPr>
        <a:noFill/>
        <a:ln w="25400">
          <a:noFill/>
        </a:ln>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598491504075494E-2"/>
          <c:y val="5.2434648710530454E-2"/>
          <c:w val="0.79734995958725352"/>
          <c:h val="0.71161308964291337"/>
        </c:manualLayout>
      </c:layout>
      <c:barChart>
        <c:barDir val="col"/>
        <c:grouping val="clustered"/>
        <c:varyColors val="0"/>
        <c:ser>
          <c:idx val="0"/>
          <c:order val="0"/>
          <c:tx>
            <c:strRef>
              <c:f>'Datos Total'!$L$3</c:f>
              <c:strCache>
                <c:ptCount val="1"/>
                <c:pt idx="0">
                  <c:v>AREA</c:v>
                </c:pt>
              </c:strCache>
            </c:strRef>
          </c:tx>
          <c:spPr>
            <a:solidFill>
              <a:srgbClr val="FFFF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Total'!$B$4:$B$13</c:f>
              <c:strCache>
                <c:ptCount val="10"/>
                <c:pt idx="0">
                  <c:v>TROZADO POLLO</c:v>
                </c:pt>
                <c:pt idx="1">
                  <c:v>SSGG</c:v>
                </c:pt>
                <c:pt idx="2">
                  <c:v>FAENACION</c:v>
                </c:pt>
                <c:pt idx="3">
                  <c:v>MANTENCION</c:v>
                </c:pt>
                <c:pt idx="4">
                  <c:v>IQF Y CALIBRADO</c:v>
                </c:pt>
                <c:pt idx="5">
                  <c:v>P.POSTERIORES</c:v>
                </c:pt>
                <c:pt idx="6">
                  <c:v>TROZADO PAVO</c:v>
                </c:pt>
                <c:pt idx="7">
                  <c:v>FRIGORÍFICO</c:v>
                </c:pt>
                <c:pt idx="8">
                  <c:v>BODEGA</c:v>
                </c:pt>
                <c:pt idx="9">
                  <c:v>CALIDAD</c:v>
                </c:pt>
              </c:strCache>
            </c:strRef>
          </c:cat>
          <c:val>
            <c:numRef>
              <c:f>'Datos Total'!$M$4:$M$13</c:f>
              <c:numCache>
                <c:formatCode>General</c:formatCode>
                <c:ptCount val="10"/>
                <c:pt idx="0">
                  <c:v>61</c:v>
                </c:pt>
                <c:pt idx="1">
                  <c:v>37</c:v>
                </c:pt>
                <c:pt idx="2">
                  <c:v>31</c:v>
                </c:pt>
                <c:pt idx="3">
                  <c:v>29</c:v>
                </c:pt>
                <c:pt idx="4">
                  <c:v>22</c:v>
                </c:pt>
                <c:pt idx="5">
                  <c:v>17</c:v>
                </c:pt>
                <c:pt idx="6">
                  <c:v>16</c:v>
                </c:pt>
                <c:pt idx="7">
                  <c:v>13</c:v>
                </c:pt>
                <c:pt idx="8">
                  <c:v>2</c:v>
                </c:pt>
                <c:pt idx="9">
                  <c:v>2</c:v>
                </c:pt>
              </c:numCache>
            </c:numRef>
          </c:val>
          <c:extLst>
            <c:ext xmlns:c16="http://schemas.microsoft.com/office/drawing/2014/chart" uri="{C3380CC4-5D6E-409C-BE32-E72D297353CC}">
              <c16:uniqueId val="{00000000-9C7B-40DA-B357-6E82DD45A255}"/>
            </c:ext>
          </c:extLst>
        </c:ser>
        <c:ser>
          <c:idx val="1"/>
          <c:order val="1"/>
          <c:tx>
            <c:strRef>
              <c:f>'Datos Total'!$B$3</c:f>
              <c:strCache>
                <c:ptCount val="1"/>
                <c:pt idx="0">
                  <c:v>AREA CTP</c:v>
                </c:pt>
              </c:strCache>
            </c:strRef>
          </c:tx>
          <c:invertIfNegative val="0"/>
          <c:dLbls>
            <c:spPr>
              <a:noFill/>
              <a:ln>
                <a:noFill/>
              </a:ln>
              <a:effectLst/>
            </c:spPr>
            <c:txPr>
              <a:bodyPr/>
              <a:lstStyle/>
              <a:p>
                <a:pPr>
                  <a:defRPr lang="es-CL"/>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Total'!$B$4:$B$13</c:f>
              <c:strCache>
                <c:ptCount val="10"/>
                <c:pt idx="0">
                  <c:v>TROZADO POLLO</c:v>
                </c:pt>
                <c:pt idx="1">
                  <c:v>SSGG</c:v>
                </c:pt>
                <c:pt idx="2">
                  <c:v>FAENACION</c:v>
                </c:pt>
                <c:pt idx="3">
                  <c:v>MANTENCION</c:v>
                </c:pt>
                <c:pt idx="4">
                  <c:v>IQF Y CALIBRADO</c:v>
                </c:pt>
                <c:pt idx="5">
                  <c:v>P.POSTERIORES</c:v>
                </c:pt>
                <c:pt idx="6">
                  <c:v>TROZADO PAVO</c:v>
                </c:pt>
                <c:pt idx="7">
                  <c:v>FRIGORÍFICO</c:v>
                </c:pt>
                <c:pt idx="8">
                  <c:v>BODEGA</c:v>
                </c:pt>
                <c:pt idx="9">
                  <c:v>CALIDAD</c:v>
                </c:pt>
              </c:strCache>
            </c:strRef>
          </c:cat>
          <c:val>
            <c:numRef>
              <c:f>'Datos Total'!$C$4:$C$13</c:f>
              <c:numCache>
                <c:formatCode>General</c:formatCode>
                <c:ptCount val="10"/>
                <c:pt idx="0">
                  <c:v>12</c:v>
                </c:pt>
                <c:pt idx="1">
                  <c:v>7</c:v>
                </c:pt>
                <c:pt idx="2">
                  <c:v>5</c:v>
                </c:pt>
                <c:pt idx="3">
                  <c:v>5</c:v>
                </c:pt>
                <c:pt idx="4">
                  <c:v>4</c:v>
                </c:pt>
                <c:pt idx="5">
                  <c:v>5</c:v>
                </c:pt>
                <c:pt idx="6">
                  <c:v>2</c:v>
                </c:pt>
                <c:pt idx="7">
                  <c:v>2</c:v>
                </c:pt>
                <c:pt idx="8">
                  <c:v>1</c:v>
                </c:pt>
                <c:pt idx="9">
                  <c:v>0</c:v>
                </c:pt>
              </c:numCache>
            </c:numRef>
          </c:val>
          <c:extLst>
            <c:ext xmlns:c16="http://schemas.microsoft.com/office/drawing/2014/chart" uri="{C3380CC4-5D6E-409C-BE32-E72D297353CC}">
              <c16:uniqueId val="{00000001-9C7B-40DA-B357-6E82DD45A255}"/>
            </c:ext>
          </c:extLst>
        </c:ser>
        <c:dLbls>
          <c:showLegendKey val="0"/>
          <c:showVal val="0"/>
          <c:showCatName val="0"/>
          <c:showSerName val="0"/>
          <c:showPercent val="0"/>
          <c:showBubbleSize val="0"/>
        </c:dLbls>
        <c:gapWidth val="150"/>
        <c:overlap val="-25"/>
        <c:axId val="516332920"/>
        <c:axId val="516330568"/>
      </c:barChart>
      <c:catAx>
        <c:axId val="516332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ES"/>
          </a:p>
        </c:txPr>
        <c:crossAx val="516330568"/>
        <c:crosses val="autoZero"/>
        <c:auto val="1"/>
        <c:lblAlgn val="ctr"/>
        <c:lblOffset val="100"/>
        <c:noMultiLvlLbl val="0"/>
      </c:catAx>
      <c:valAx>
        <c:axId val="516330568"/>
        <c:scaling>
          <c:orientation val="minMax"/>
        </c:scaling>
        <c:delete val="1"/>
        <c:axPos val="l"/>
        <c:numFmt formatCode="General" sourceLinked="1"/>
        <c:majorTickMark val="out"/>
        <c:minorTickMark val="none"/>
        <c:tickLblPos val="nextTo"/>
        <c:crossAx val="516332920"/>
        <c:crosses val="autoZero"/>
        <c:crossBetween val="between"/>
      </c:valAx>
      <c:spPr>
        <a:noFill/>
        <a:ln w="25400">
          <a:noFill/>
        </a:ln>
      </c:spPr>
    </c:plotArea>
    <c:legend>
      <c:legendPos val="r"/>
      <c:layout>
        <c:manualLayout>
          <c:xMode val="edge"/>
          <c:yMode val="edge"/>
          <c:x val="0.40719773664655534"/>
          <c:y val="2.9962546816479401E-2"/>
          <c:w val="0.17424276510890691"/>
          <c:h val="6.7416123546354484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5151543175054698E-2"/>
          <c:y val="5.2434648710530454E-2"/>
          <c:w val="0.79545601669037225"/>
          <c:h val="0.59925312812034737"/>
        </c:manualLayout>
      </c:layout>
      <c:barChart>
        <c:barDir val="col"/>
        <c:grouping val="clustered"/>
        <c:varyColors val="0"/>
        <c:ser>
          <c:idx val="0"/>
          <c:order val="0"/>
          <c:tx>
            <c:strRef>
              <c:f>'Datos Total'!$L$44</c:f>
              <c:strCache>
                <c:ptCount val="1"/>
                <c:pt idx="0">
                  <c:v>Turnos</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Total'!$L$45:$L$48</c:f>
              <c:strCache>
                <c:ptCount val="4"/>
                <c:pt idx="0">
                  <c:v>Mañana (05:00 a 14:30)</c:v>
                </c:pt>
                <c:pt idx="1">
                  <c:v>Tarde (12:00 a 21:00)</c:v>
                </c:pt>
                <c:pt idx="2">
                  <c:v>Noche (21:00 a 05:00)</c:v>
                </c:pt>
                <c:pt idx="3">
                  <c:v>Administrativo (08:00 a 18:30)</c:v>
                </c:pt>
              </c:strCache>
            </c:strRef>
          </c:cat>
          <c:val>
            <c:numRef>
              <c:f>'Datos Total'!$M$45:$M$48</c:f>
              <c:numCache>
                <c:formatCode>General</c:formatCode>
                <c:ptCount val="4"/>
                <c:pt idx="0">
                  <c:v>96</c:v>
                </c:pt>
                <c:pt idx="1">
                  <c:v>93</c:v>
                </c:pt>
                <c:pt idx="2">
                  <c:v>41</c:v>
                </c:pt>
                <c:pt idx="3">
                  <c:v>0</c:v>
                </c:pt>
              </c:numCache>
            </c:numRef>
          </c:val>
          <c:extLst>
            <c:ext xmlns:c16="http://schemas.microsoft.com/office/drawing/2014/chart" uri="{C3380CC4-5D6E-409C-BE32-E72D297353CC}">
              <c16:uniqueId val="{00000000-A912-4132-8148-C6BA13059493}"/>
            </c:ext>
          </c:extLst>
        </c:ser>
        <c:dLbls>
          <c:showLegendKey val="0"/>
          <c:showVal val="0"/>
          <c:showCatName val="0"/>
          <c:showSerName val="0"/>
          <c:showPercent val="0"/>
          <c:showBubbleSize val="0"/>
        </c:dLbls>
        <c:gapWidth val="219"/>
        <c:overlap val="-27"/>
        <c:axId val="516332136"/>
        <c:axId val="516332528"/>
      </c:barChart>
      <c:lineChart>
        <c:grouping val="standard"/>
        <c:varyColors val="0"/>
        <c:ser>
          <c:idx val="2"/>
          <c:order val="1"/>
          <c:tx>
            <c:strRef>
              <c:f>'Datos Total'!$O$44</c:f>
              <c:strCache>
                <c:ptCount val="1"/>
                <c:pt idx="0">
                  <c:v>Pareto</c:v>
                </c:pt>
              </c:strCache>
            </c:strRef>
          </c:tx>
          <c:spPr>
            <a:ln w="28575" cap="rnd">
              <a:solidFill>
                <a:schemeClr val="accent3"/>
              </a:solidFill>
              <a:round/>
            </a:ln>
            <a:effectLst/>
          </c:spPr>
          <c:marker>
            <c:symbol val="none"/>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Total'!$O$45:$O$48</c:f>
              <c:numCache>
                <c:formatCode>0%</c:formatCode>
                <c:ptCount val="4"/>
                <c:pt idx="0">
                  <c:v>0.41739130434782606</c:v>
                </c:pt>
                <c:pt idx="1">
                  <c:v>0.82173913043478253</c:v>
                </c:pt>
                <c:pt idx="2">
                  <c:v>0.99999999999999989</c:v>
                </c:pt>
                <c:pt idx="3">
                  <c:v>0.99999999999999989</c:v>
                </c:pt>
              </c:numCache>
            </c:numRef>
          </c:val>
          <c:smooth val="0"/>
          <c:extLst>
            <c:ext xmlns:c16="http://schemas.microsoft.com/office/drawing/2014/chart" uri="{C3380CC4-5D6E-409C-BE32-E72D297353CC}">
              <c16:uniqueId val="{00000001-A912-4132-8148-C6BA13059493}"/>
            </c:ext>
          </c:extLst>
        </c:ser>
        <c:dLbls>
          <c:showLegendKey val="0"/>
          <c:showVal val="0"/>
          <c:showCatName val="0"/>
          <c:showSerName val="0"/>
          <c:showPercent val="0"/>
          <c:showBubbleSize val="0"/>
        </c:dLbls>
        <c:marker val="1"/>
        <c:smooth val="0"/>
        <c:axId val="516332136"/>
        <c:axId val="516332528"/>
      </c:lineChart>
      <c:catAx>
        <c:axId val="516332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ES"/>
          </a:p>
        </c:txPr>
        <c:crossAx val="516332528"/>
        <c:crosses val="autoZero"/>
        <c:auto val="1"/>
        <c:lblAlgn val="ctr"/>
        <c:lblOffset val="100"/>
        <c:noMultiLvlLbl val="0"/>
      </c:catAx>
      <c:valAx>
        <c:axId val="516332528"/>
        <c:scaling>
          <c:orientation val="minMax"/>
        </c:scaling>
        <c:delete val="1"/>
        <c:axPos val="l"/>
        <c:numFmt formatCode="General" sourceLinked="1"/>
        <c:majorTickMark val="out"/>
        <c:minorTickMark val="none"/>
        <c:tickLblPos val="nextTo"/>
        <c:crossAx val="516332136"/>
        <c:crosses val="autoZero"/>
        <c:crossBetween val="between"/>
      </c:valAx>
      <c:spPr>
        <a:noFill/>
        <a:ln w="25400">
          <a:noFill/>
        </a:ln>
      </c:spPr>
    </c:plotArea>
    <c:legend>
      <c:legendPos val="r"/>
      <c:layout>
        <c:manualLayout>
          <c:xMode val="edge"/>
          <c:yMode val="edge"/>
          <c:x val="0.36174296394768879"/>
          <c:y val="0.90637018687270787"/>
          <c:w val="0.25947006624171981"/>
          <c:h val="6.7416123546354428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5000046238840284"/>
          <c:y val="0.20415259406188169"/>
          <c:w val="0.49431909608615981"/>
          <c:h val="0.56401479376418173"/>
        </c:manualLayout>
      </c:layout>
      <c:pie3DChart>
        <c:varyColors val="1"/>
        <c:ser>
          <c:idx val="0"/>
          <c:order val="0"/>
          <c:tx>
            <c:strRef>
              <c:f>'Datos Total'!$G$50</c:f>
              <c:strCache>
                <c:ptCount val="1"/>
                <c:pt idx="0">
                  <c:v>Atencion</c:v>
                </c:pt>
              </c:strCache>
            </c:strRef>
          </c:tx>
          <c:dPt>
            <c:idx val="0"/>
            <c:bubble3D val="0"/>
            <c:spPr>
              <a:solidFill>
                <a:srgbClr val="00B0F0"/>
              </a:solidFill>
              <a:ln w="25400">
                <a:solidFill>
                  <a:srgbClr val="FFFFFF"/>
                </a:solidFill>
                <a:prstDash val="solid"/>
              </a:ln>
            </c:spPr>
            <c:extLst>
              <c:ext xmlns:c16="http://schemas.microsoft.com/office/drawing/2014/chart" uri="{C3380CC4-5D6E-409C-BE32-E72D297353CC}">
                <c16:uniqueId val="{00000000-77AB-4E3F-B731-2640C419DEAA}"/>
              </c:ext>
            </c:extLst>
          </c:dPt>
          <c:dPt>
            <c:idx val="1"/>
            <c:bubble3D val="0"/>
            <c:spPr>
              <a:solidFill>
                <a:srgbClr val="FF0000"/>
              </a:solidFill>
              <a:ln w="25400">
                <a:solidFill>
                  <a:srgbClr val="FFFFFF"/>
                </a:solidFill>
                <a:prstDash val="solid"/>
              </a:ln>
            </c:spPr>
            <c:extLst>
              <c:ext xmlns:c16="http://schemas.microsoft.com/office/drawing/2014/chart" uri="{C3380CC4-5D6E-409C-BE32-E72D297353CC}">
                <c16:uniqueId val="{00000001-77AB-4E3F-B731-2640C419DEAA}"/>
              </c:ext>
            </c:extLst>
          </c:dPt>
          <c:dPt>
            <c:idx val="2"/>
            <c:bubble3D val="0"/>
            <c:spPr>
              <a:solidFill>
                <a:srgbClr val="FFFF00"/>
              </a:solidFill>
              <a:ln w="25400">
                <a:solidFill>
                  <a:srgbClr val="FFFFFF"/>
                </a:solidFill>
                <a:prstDash val="solid"/>
              </a:ln>
            </c:spPr>
            <c:extLst>
              <c:ext xmlns:c16="http://schemas.microsoft.com/office/drawing/2014/chart" uri="{C3380CC4-5D6E-409C-BE32-E72D297353CC}">
                <c16:uniqueId val="{00000002-77AB-4E3F-B731-2640C419DEAA}"/>
              </c:ext>
            </c:extLst>
          </c:dPt>
          <c:dLbls>
            <c:dLbl>
              <c:idx val="0"/>
              <c:layout>
                <c:manualLayout>
                  <c:x val="-7.8176250695935728E-2"/>
                  <c:y val="-0.237312481268561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7AB-4E3F-B731-2640C419DEAA}"/>
                </c:ext>
              </c:extLst>
            </c:dLbl>
            <c:dLbl>
              <c:idx val="1"/>
              <c:layout>
                <c:manualLayout>
                  <c:x val="7.1747991728307023E-2"/>
                  <c:y val="8.680162384546222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AB-4E3F-B731-2640C419DEAA}"/>
                </c:ext>
              </c:extLst>
            </c:dLbl>
            <c:dLbl>
              <c:idx val="2"/>
              <c:layout>
                <c:manualLayout>
                  <c:x val="1.8751690129642885E-2"/>
                  <c:y val="-1.470579153384373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7AB-4E3F-B731-2640C419DEAA}"/>
                </c:ext>
              </c:extLst>
            </c:dLbl>
            <c:dLbl>
              <c:idx val="3"/>
              <c:layout>
                <c:manualLayout>
                  <c:x val="5.44514425873052E-2"/>
                  <c:y val="-1.95760570863453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AB-4E3F-B731-2640C419DEAA}"/>
                </c:ext>
              </c:extLst>
            </c:dLbl>
            <c:spPr>
              <a:noFill/>
              <a:ln>
                <a:noFill/>
              </a:ln>
              <a:effectLst/>
            </c:spPr>
            <c:txPr>
              <a:bodyPr/>
              <a:lstStyle/>
              <a:p>
                <a:pPr>
                  <a:defRPr lang="es-CL" b="1">
                    <a:solidFill>
                      <a:sysClr val="windowText" lastClr="000000"/>
                    </a:solidFill>
                  </a:defRPr>
                </a:pPr>
                <a:endParaRPr lang="es-ES"/>
              </a:p>
            </c:txPr>
            <c:showLegendKey val="0"/>
            <c:showVal val="1"/>
            <c:showCatName val="0"/>
            <c:showSerName val="0"/>
            <c:showPercent val="0"/>
            <c:showBubbleSize val="0"/>
            <c:showLeaderLines val="1"/>
            <c:extLst>
              <c:ext xmlns:c15="http://schemas.microsoft.com/office/drawing/2012/chart" uri="{CE6537A1-D6FC-4f65-9D91-7224C49458BB}"/>
            </c:extLst>
          </c:dLbls>
          <c:cat>
            <c:strRef>
              <c:f>'Datos Total'!$G$51:$G$54</c:f>
              <c:strCache>
                <c:ptCount val="4"/>
                <c:pt idx="0">
                  <c:v>Acc. STP</c:v>
                </c:pt>
                <c:pt idx="1">
                  <c:v>Acc. CTP</c:v>
                </c:pt>
                <c:pt idx="2">
                  <c:v>Acc. Grave</c:v>
                </c:pt>
                <c:pt idx="3">
                  <c:v>EP</c:v>
                </c:pt>
              </c:strCache>
            </c:strRef>
          </c:cat>
          <c:val>
            <c:numRef>
              <c:f>'Datos Total'!$H$51:$H$54</c:f>
              <c:numCache>
                <c:formatCode>General</c:formatCode>
                <c:ptCount val="4"/>
                <c:pt idx="0">
                  <c:v>185</c:v>
                </c:pt>
                <c:pt idx="1">
                  <c:v>43</c:v>
                </c:pt>
                <c:pt idx="2">
                  <c:v>0</c:v>
                </c:pt>
                <c:pt idx="3">
                  <c:v>0</c:v>
                </c:pt>
              </c:numCache>
            </c:numRef>
          </c:val>
          <c:extLst>
            <c:ext xmlns:c16="http://schemas.microsoft.com/office/drawing/2014/chart" uri="{C3380CC4-5D6E-409C-BE32-E72D297353CC}">
              <c16:uniqueId val="{00000004-77AB-4E3F-B731-2640C419DEAA}"/>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15340923293679223"/>
          <c:y val="0.86851356383220191"/>
          <c:w val="0.698865141857267"/>
          <c:h val="0.10380622837370251"/>
        </c:manualLayout>
      </c:layout>
      <c:overlay val="0"/>
      <c:spPr>
        <a:noFill/>
        <a:ln w="25400">
          <a:noFill/>
        </a:ln>
      </c:spPr>
      <c:txPr>
        <a:bodyPr/>
        <a:lstStyle/>
        <a:p>
          <a:pPr>
            <a:defRPr lang="es-CO" sz="1400" b="0" i="0" u="none" strike="noStrike" baseline="0">
              <a:solidFill>
                <a:srgbClr val="333333"/>
              </a:solidFill>
              <a:latin typeface="Calibri"/>
              <a:ea typeface="Calibri"/>
              <a:cs typeface="Calibri"/>
            </a:defRPr>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939428968818399E-3"/>
          <c:y val="4.827586206896544E-2"/>
          <c:w val="0.76894081613402743"/>
          <c:h val="0.71034482758620732"/>
        </c:manualLayout>
      </c:layout>
      <c:barChart>
        <c:barDir val="col"/>
        <c:grouping val="clustered"/>
        <c:varyColors val="0"/>
        <c:ser>
          <c:idx val="0"/>
          <c:order val="0"/>
          <c:tx>
            <c:strRef>
              <c:f>'Datos Total'!$B$50</c:f>
              <c:strCache>
                <c:ptCount val="1"/>
                <c:pt idx="0">
                  <c:v>Antigüedad</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Total'!$B$51:$B$53</c:f>
              <c:strCache>
                <c:ptCount val="3"/>
                <c:pt idx="0">
                  <c:v>Nuevo &lt;18 Meses</c:v>
                </c:pt>
                <c:pt idx="1">
                  <c:v>Antiguo &gt;36 Meses</c:v>
                </c:pt>
                <c:pt idx="2">
                  <c:v>Intermedio 18&lt;X&gt;36</c:v>
                </c:pt>
              </c:strCache>
            </c:strRef>
          </c:cat>
          <c:val>
            <c:numRef>
              <c:f>'Datos Total'!$C$51:$C$53</c:f>
              <c:numCache>
                <c:formatCode>General</c:formatCode>
                <c:ptCount val="3"/>
                <c:pt idx="0">
                  <c:v>98</c:v>
                </c:pt>
                <c:pt idx="1">
                  <c:v>91</c:v>
                </c:pt>
                <c:pt idx="2">
                  <c:v>41</c:v>
                </c:pt>
              </c:numCache>
            </c:numRef>
          </c:val>
          <c:extLst>
            <c:ext xmlns:c16="http://schemas.microsoft.com/office/drawing/2014/chart" uri="{C3380CC4-5D6E-409C-BE32-E72D297353CC}">
              <c16:uniqueId val="{00000000-AFA2-4566-A61F-B80600BDFC0C}"/>
            </c:ext>
          </c:extLst>
        </c:ser>
        <c:dLbls>
          <c:showLegendKey val="0"/>
          <c:showVal val="0"/>
          <c:showCatName val="0"/>
          <c:showSerName val="0"/>
          <c:showPercent val="0"/>
          <c:showBubbleSize val="0"/>
        </c:dLbls>
        <c:gapWidth val="219"/>
        <c:overlap val="-27"/>
        <c:axId val="585386752"/>
        <c:axId val="585385184"/>
      </c:barChart>
      <c:lineChart>
        <c:grouping val="standard"/>
        <c:varyColors val="0"/>
        <c:ser>
          <c:idx val="2"/>
          <c:order val="1"/>
          <c:tx>
            <c:strRef>
              <c:f>'Datos Total'!$E$50</c:f>
              <c:strCache>
                <c:ptCount val="1"/>
                <c:pt idx="0">
                  <c:v>Pareto</c:v>
                </c:pt>
              </c:strCache>
            </c:strRef>
          </c:tx>
          <c:spPr>
            <a:ln w="28575">
              <a:solidFill>
                <a:srgbClr val="FFFF00"/>
              </a:solidFill>
              <a:prstDash val="solid"/>
            </a:ln>
            <a:effectLst/>
          </c:spPr>
          <c:marker>
            <c:symbol val="circle"/>
            <c:size val="5"/>
            <c:spPr>
              <a:ln>
                <a:solidFill>
                  <a:srgbClr val="FFFF00"/>
                </a:solidFill>
                <a:prstDash val="solid"/>
              </a:ln>
            </c:spPr>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0.1"/>
          </c:errBars>
          <c:cat>
            <c:strRef>
              <c:f>'[2]Datos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Total'!$E$51:$E$53</c:f>
              <c:numCache>
                <c:formatCode>0%</c:formatCode>
                <c:ptCount val="3"/>
                <c:pt idx="0">
                  <c:v>0.42608695652173911</c:v>
                </c:pt>
                <c:pt idx="1">
                  <c:v>0.82173913043478253</c:v>
                </c:pt>
                <c:pt idx="2">
                  <c:v>0.99999999999999989</c:v>
                </c:pt>
              </c:numCache>
            </c:numRef>
          </c:val>
          <c:smooth val="0"/>
          <c:extLst>
            <c:ext xmlns:c16="http://schemas.microsoft.com/office/drawing/2014/chart" uri="{C3380CC4-5D6E-409C-BE32-E72D297353CC}">
              <c16:uniqueId val="{00000001-AFA2-4566-A61F-B80600BDFC0C}"/>
            </c:ext>
          </c:extLst>
        </c:ser>
        <c:dLbls>
          <c:showLegendKey val="0"/>
          <c:showVal val="0"/>
          <c:showCatName val="0"/>
          <c:showSerName val="0"/>
          <c:showPercent val="0"/>
          <c:showBubbleSize val="0"/>
        </c:dLbls>
        <c:marker val="1"/>
        <c:smooth val="0"/>
        <c:axId val="585386752"/>
        <c:axId val="585385184"/>
      </c:lineChart>
      <c:catAx>
        <c:axId val="58538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ES"/>
          </a:p>
        </c:txPr>
        <c:crossAx val="585385184"/>
        <c:crosses val="autoZero"/>
        <c:auto val="1"/>
        <c:lblAlgn val="ctr"/>
        <c:lblOffset val="100"/>
        <c:noMultiLvlLbl val="0"/>
      </c:catAx>
      <c:valAx>
        <c:axId val="585385184"/>
        <c:scaling>
          <c:orientation val="minMax"/>
        </c:scaling>
        <c:delete val="1"/>
        <c:axPos val="l"/>
        <c:numFmt formatCode="General" sourceLinked="1"/>
        <c:majorTickMark val="out"/>
        <c:minorTickMark val="none"/>
        <c:tickLblPos val="nextTo"/>
        <c:crossAx val="585386752"/>
        <c:crosses val="autoZero"/>
        <c:crossBetween val="between"/>
      </c:valAx>
      <c:spPr>
        <a:noFill/>
        <a:ln w="25400">
          <a:noFill/>
        </a:ln>
      </c:spPr>
    </c:plotArea>
    <c:legend>
      <c:legendPos val="r"/>
      <c:overlay val="0"/>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Supervisores Trozado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500023119420142"/>
          <c:y val="0.14552265319396643"/>
          <c:w val="0.84848641780306322"/>
          <c:h val="0.62686681375862463"/>
        </c:manualLayout>
      </c:layout>
      <c:bar3DChart>
        <c:barDir val="col"/>
        <c:grouping val="clustered"/>
        <c:varyColors val="0"/>
        <c:ser>
          <c:idx val="0"/>
          <c:order val="0"/>
          <c:tx>
            <c:strRef>
              <c:f>'Grafica Sup.'!$C$2</c:f>
              <c:strCache>
                <c:ptCount val="1"/>
                <c:pt idx="0">
                  <c:v>N° ACC.</c:v>
                </c:pt>
              </c:strCache>
            </c:strRef>
          </c:tx>
          <c:spPr>
            <a:solidFill>
              <a:srgbClr val="FF0000"/>
            </a:solidFill>
          </c:spPr>
          <c:invertIfNegative val="0"/>
          <c:cat>
            <c:strRef>
              <c:f>'Grafica Sup.'!$B$3:$B$8</c:f>
              <c:strCache>
                <c:ptCount val="6"/>
                <c:pt idx="0">
                  <c:v>ARNALDO VERA</c:v>
                </c:pt>
                <c:pt idx="1">
                  <c:v>RAMIRO RAMIREZ</c:v>
                </c:pt>
                <c:pt idx="2">
                  <c:v>FABIAN GONZALEZ</c:v>
                </c:pt>
                <c:pt idx="3">
                  <c:v>JOSE CARVALLO</c:v>
                </c:pt>
                <c:pt idx="4">
                  <c:v>RAFAEL ASTORGA</c:v>
                </c:pt>
                <c:pt idx="5">
                  <c:v>GUSTAVO BLANCO</c:v>
                </c:pt>
              </c:strCache>
            </c:strRef>
          </c:cat>
          <c:val>
            <c:numRef>
              <c:f>'Grafica Sup.'!$C$3:$C$8</c:f>
              <c:numCache>
                <c:formatCode>General</c:formatCode>
                <c:ptCount val="6"/>
                <c:pt idx="0">
                  <c:v>14</c:v>
                </c:pt>
                <c:pt idx="1">
                  <c:v>16</c:v>
                </c:pt>
                <c:pt idx="2">
                  <c:v>1</c:v>
                </c:pt>
                <c:pt idx="3">
                  <c:v>13</c:v>
                </c:pt>
                <c:pt idx="4">
                  <c:v>6</c:v>
                </c:pt>
                <c:pt idx="5">
                  <c:v>12</c:v>
                </c:pt>
              </c:numCache>
            </c:numRef>
          </c:val>
          <c:extLst>
            <c:ext xmlns:c16="http://schemas.microsoft.com/office/drawing/2014/chart" uri="{C3380CC4-5D6E-409C-BE32-E72D297353CC}">
              <c16:uniqueId val="{00000000-7897-4A26-ABB1-0B7AE4A9C491}"/>
            </c:ext>
          </c:extLst>
        </c:ser>
        <c:ser>
          <c:idx val="1"/>
          <c:order val="1"/>
          <c:tx>
            <c:strRef>
              <c:f>'Grafica Sup.'!$D$2</c:f>
              <c:strCache>
                <c:ptCount val="1"/>
                <c:pt idx="0">
                  <c:v>N° ACC CTP</c:v>
                </c:pt>
              </c:strCache>
            </c:strRef>
          </c:tx>
          <c:spPr>
            <a:solidFill>
              <a:srgbClr val="FFFF00"/>
            </a:solidFill>
          </c:spPr>
          <c:invertIfNegative val="0"/>
          <c:val>
            <c:numRef>
              <c:f>'Grafica Sup.'!$D$3:$D$8</c:f>
              <c:numCache>
                <c:formatCode>General</c:formatCode>
                <c:ptCount val="6"/>
                <c:pt idx="0">
                  <c:v>3</c:v>
                </c:pt>
                <c:pt idx="1">
                  <c:v>1</c:v>
                </c:pt>
                <c:pt idx="2">
                  <c:v>1</c:v>
                </c:pt>
                <c:pt idx="3">
                  <c:v>3</c:v>
                </c:pt>
                <c:pt idx="4">
                  <c:v>2</c:v>
                </c:pt>
                <c:pt idx="5">
                  <c:v>2</c:v>
                </c:pt>
              </c:numCache>
            </c:numRef>
          </c:val>
          <c:extLst>
            <c:ext xmlns:c16="http://schemas.microsoft.com/office/drawing/2014/chart" uri="{C3380CC4-5D6E-409C-BE32-E72D297353CC}">
              <c16:uniqueId val="{00000001-7897-4A26-ABB1-0B7AE4A9C491}"/>
            </c:ext>
          </c:extLst>
        </c:ser>
        <c:dLbls>
          <c:showLegendKey val="0"/>
          <c:showVal val="0"/>
          <c:showCatName val="0"/>
          <c:showSerName val="0"/>
          <c:showPercent val="0"/>
          <c:showBubbleSize val="0"/>
        </c:dLbls>
        <c:gapWidth val="150"/>
        <c:shape val="box"/>
        <c:axId val="585387928"/>
        <c:axId val="585388320"/>
        <c:axId val="0"/>
      </c:bar3DChart>
      <c:catAx>
        <c:axId val="58538792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585388320"/>
        <c:crosses val="autoZero"/>
        <c:auto val="1"/>
        <c:lblAlgn val="ctr"/>
        <c:lblOffset val="100"/>
        <c:noMultiLvlLbl val="0"/>
      </c:catAx>
      <c:valAx>
        <c:axId val="585388320"/>
        <c:scaling>
          <c:orientation val="minMax"/>
        </c:scaling>
        <c:delete val="1"/>
        <c:axPos val="l"/>
        <c:numFmt formatCode="General" sourceLinked="1"/>
        <c:majorTickMark val="out"/>
        <c:minorTickMark val="none"/>
        <c:tickLblPos val="nextTo"/>
        <c:crossAx val="585387928"/>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SSGG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689417409108311"/>
          <c:y val="5.2419354838709721E-2"/>
          <c:w val="0.88447133284381863"/>
          <c:h val="0.7338709677419355"/>
        </c:manualLayout>
      </c:layout>
      <c:bar3DChart>
        <c:barDir val="col"/>
        <c:grouping val="clustered"/>
        <c:varyColors val="0"/>
        <c:ser>
          <c:idx val="0"/>
          <c:order val="0"/>
          <c:tx>
            <c:strRef>
              <c:f>'Grafica Sup.'!$C$16</c:f>
              <c:strCache>
                <c:ptCount val="1"/>
                <c:pt idx="0">
                  <c:v>N° ACC.</c:v>
                </c:pt>
              </c:strCache>
            </c:strRef>
          </c:tx>
          <c:spPr>
            <a:solidFill>
              <a:srgbClr val="FF00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Sup.'!$C$17:$C$23</c:f>
              <c:numCache>
                <c:formatCode>General</c:formatCode>
                <c:ptCount val="7"/>
                <c:pt idx="0">
                  <c:v>4</c:v>
                </c:pt>
                <c:pt idx="1">
                  <c:v>10</c:v>
                </c:pt>
                <c:pt idx="2">
                  <c:v>3</c:v>
                </c:pt>
                <c:pt idx="3">
                  <c:v>6</c:v>
                </c:pt>
                <c:pt idx="4">
                  <c:v>2</c:v>
                </c:pt>
                <c:pt idx="5">
                  <c:v>6</c:v>
                </c:pt>
                <c:pt idx="6">
                  <c:v>3</c:v>
                </c:pt>
              </c:numCache>
            </c:numRef>
          </c:val>
          <c:extLst>
            <c:ext xmlns:c16="http://schemas.microsoft.com/office/drawing/2014/chart" uri="{C3380CC4-5D6E-409C-BE32-E72D297353CC}">
              <c16:uniqueId val="{00000000-53DB-41D3-BC61-B4112FA505AB}"/>
            </c:ext>
          </c:extLst>
        </c:ser>
        <c:ser>
          <c:idx val="1"/>
          <c:order val="1"/>
          <c:tx>
            <c:strRef>
              <c:f>'Grafica Sup.'!$D$16</c:f>
              <c:strCache>
                <c:ptCount val="1"/>
                <c:pt idx="0">
                  <c:v>N° ACC CTP</c:v>
                </c:pt>
              </c:strCache>
            </c:strRef>
          </c:tx>
          <c:spPr>
            <a:solidFill>
              <a:srgbClr val="FFFF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Sup.'!$D$17:$D$23</c:f>
              <c:numCache>
                <c:formatCode>General</c:formatCode>
                <c:ptCount val="7"/>
                <c:pt idx="0">
                  <c:v>0</c:v>
                </c:pt>
                <c:pt idx="1">
                  <c:v>2</c:v>
                </c:pt>
                <c:pt idx="2">
                  <c:v>2</c:v>
                </c:pt>
                <c:pt idx="3">
                  <c:v>1</c:v>
                </c:pt>
                <c:pt idx="4">
                  <c:v>0</c:v>
                </c:pt>
                <c:pt idx="5">
                  <c:v>2</c:v>
                </c:pt>
                <c:pt idx="6">
                  <c:v>0</c:v>
                </c:pt>
              </c:numCache>
            </c:numRef>
          </c:val>
          <c:extLst>
            <c:ext xmlns:c16="http://schemas.microsoft.com/office/drawing/2014/chart" uri="{C3380CC4-5D6E-409C-BE32-E72D297353CC}">
              <c16:uniqueId val="{00000001-53DB-41D3-BC61-B4112FA505AB}"/>
            </c:ext>
          </c:extLst>
        </c:ser>
        <c:dLbls>
          <c:showLegendKey val="0"/>
          <c:showVal val="0"/>
          <c:showCatName val="0"/>
          <c:showSerName val="0"/>
          <c:showPercent val="0"/>
          <c:showBubbleSize val="0"/>
        </c:dLbls>
        <c:gapWidth val="150"/>
        <c:shape val="box"/>
        <c:axId val="585389104"/>
        <c:axId val="585384008"/>
        <c:axId val="0"/>
      </c:bar3DChart>
      <c:catAx>
        <c:axId val="58538910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585384008"/>
        <c:crosses val="autoZero"/>
        <c:auto val="1"/>
        <c:lblAlgn val="ctr"/>
        <c:lblOffset val="100"/>
        <c:noMultiLvlLbl val="0"/>
      </c:catAx>
      <c:valAx>
        <c:axId val="585384008"/>
        <c:scaling>
          <c:orientation val="minMax"/>
        </c:scaling>
        <c:delete val="1"/>
        <c:axPos val="l"/>
        <c:numFmt formatCode="General" sourceLinked="1"/>
        <c:majorTickMark val="out"/>
        <c:minorTickMark val="none"/>
        <c:tickLblPos val="nextTo"/>
        <c:crossAx val="585389104"/>
        <c:crosses val="autoZero"/>
        <c:crossBetween val="between"/>
      </c:valAx>
      <c:dTable>
        <c:showHorzBorder val="1"/>
        <c:showVertBorder val="1"/>
        <c:showOutline val="1"/>
        <c:showKeys val="1"/>
        <c:txPr>
          <a:bodyPr/>
          <a:lstStyle/>
          <a:p>
            <a:pPr rtl="0">
              <a:defRPr lang="es-CL" sz="500" b="1"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P.Posteriores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077505720464727"/>
          <c:y val="0.10222266589698749"/>
          <c:w val="0.9054828773729886"/>
          <c:h val="0.69333634260565358"/>
        </c:manualLayout>
      </c:layout>
      <c:bar3DChart>
        <c:barDir val="col"/>
        <c:grouping val="clustered"/>
        <c:varyColors val="0"/>
        <c:ser>
          <c:idx val="0"/>
          <c:order val="0"/>
          <c:tx>
            <c:strRef>
              <c:f>'Grafica Sup.'!$C$31</c:f>
              <c:strCache>
                <c:ptCount val="1"/>
                <c:pt idx="0">
                  <c:v>N° ACC.</c:v>
                </c:pt>
              </c:strCache>
            </c:strRef>
          </c:tx>
          <c:spPr>
            <a:solidFill>
              <a:srgbClr val="FF0000"/>
            </a:solidFill>
          </c:spPr>
          <c:invertIfNegative val="0"/>
          <c:cat>
            <c:strRef>
              <c:f>'Grafica Sup.'!$B$32:$B$34</c:f>
              <c:strCache>
                <c:ptCount val="3"/>
                <c:pt idx="0">
                  <c:v>RONALD ONELL</c:v>
                </c:pt>
                <c:pt idx="1">
                  <c:v>MARCO QUINTANILLA</c:v>
                </c:pt>
                <c:pt idx="2">
                  <c:v>EDGAR HERNANDEZ</c:v>
                </c:pt>
              </c:strCache>
            </c:strRef>
          </c:cat>
          <c:val>
            <c:numRef>
              <c:f>'Grafica Sup.'!$C$32:$C$34</c:f>
              <c:numCache>
                <c:formatCode>General</c:formatCode>
                <c:ptCount val="3"/>
                <c:pt idx="0">
                  <c:v>1</c:v>
                </c:pt>
                <c:pt idx="1">
                  <c:v>7</c:v>
                </c:pt>
                <c:pt idx="2">
                  <c:v>20</c:v>
                </c:pt>
              </c:numCache>
            </c:numRef>
          </c:val>
          <c:extLst>
            <c:ext xmlns:c16="http://schemas.microsoft.com/office/drawing/2014/chart" uri="{C3380CC4-5D6E-409C-BE32-E72D297353CC}">
              <c16:uniqueId val="{00000000-F743-4DB7-8C78-701AC9405DDA}"/>
            </c:ext>
          </c:extLst>
        </c:ser>
        <c:ser>
          <c:idx val="1"/>
          <c:order val="1"/>
          <c:tx>
            <c:strRef>
              <c:f>'Grafica Sup.'!$D$31</c:f>
              <c:strCache>
                <c:ptCount val="1"/>
                <c:pt idx="0">
                  <c:v>N° ACC CTP</c:v>
                </c:pt>
              </c:strCache>
            </c:strRef>
          </c:tx>
          <c:spPr>
            <a:solidFill>
              <a:srgbClr val="FFFF00"/>
            </a:solidFill>
          </c:spPr>
          <c:invertIfNegative val="0"/>
          <c:cat>
            <c:strRef>
              <c:f>'Grafica Sup.'!$B$32:$B$34</c:f>
              <c:strCache>
                <c:ptCount val="3"/>
                <c:pt idx="0">
                  <c:v>RONALD ONELL</c:v>
                </c:pt>
                <c:pt idx="1">
                  <c:v>MARCO QUINTANILLA</c:v>
                </c:pt>
                <c:pt idx="2">
                  <c:v>EDGAR HERNANDEZ</c:v>
                </c:pt>
              </c:strCache>
            </c:strRef>
          </c:cat>
          <c:val>
            <c:numRef>
              <c:f>'Grafica Sup.'!$D$32:$D$34</c:f>
              <c:numCache>
                <c:formatCode>General</c:formatCode>
                <c:ptCount val="3"/>
                <c:pt idx="0">
                  <c:v>1</c:v>
                </c:pt>
                <c:pt idx="1">
                  <c:v>2</c:v>
                </c:pt>
                <c:pt idx="2">
                  <c:v>2</c:v>
                </c:pt>
              </c:numCache>
            </c:numRef>
          </c:val>
          <c:extLst>
            <c:ext xmlns:c16="http://schemas.microsoft.com/office/drawing/2014/chart" uri="{C3380CC4-5D6E-409C-BE32-E72D297353CC}">
              <c16:uniqueId val="{00000001-F743-4DB7-8C78-701AC9405DDA}"/>
            </c:ext>
          </c:extLst>
        </c:ser>
        <c:dLbls>
          <c:showLegendKey val="0"/>
          <c:showVal val="0"/>
          <c:showCatName val="0"/>
          <c:showSerName val="0"/>
          <c:showPercent val="0"/>
          <c:showBubbleSize val="0"/>
        </c:dLbls>
        <c:gapWidth val="150"/>
        <c:shape val="box"/>
        <c:axId val="585389888"/>
        <c:axId val="585383224"/>
        <c:axId val="0"/>
      </c:bar3DChart>
      <c:catAx>
        <c:axId val="58538988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585383224"/>
        <c:crosses val="autoZero"/>
        <c:auto val="1"/>
        <c:lblAlgn val="ctr"/>
        <c:lblOffset val="100"/>
        <c:noMultiLvlLbl val="0"/>
      </c:catAx>
      <c:valAx>
        <c:axId val="585383224"/>
        <c:scaling>
          <c:orientation val="minMax"/>
        </c:scaling>
        <c:delete val="1"/>
        <c:axPos val="l"/>
        <c:numFmt formatCode="General" sourceLinked="1"/>
        <c:majorTickMark val="out"/>
        <c:minorTickMark val="none"/>
        <c:tickLblPos val="nextTo"/>
        <c:crossAx val="585389888"/>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Faena V/S Incidentes</a:t>
            </a:r>
          </a:p>
        </c:rich>
      </c:tx>
      <c:overlay val="0"/>
    </c:title>
    <c:autoTitleDeleted val="0"/>
    <c:view3D>
      <c:rotX val="15"/>
      <c:rotY val="20"/>
      <c:depthPercent val="100"/>
      <c:rAngAx val="1"/>
    </c:view3D>
    <c:floor>
      <c:thickness val="0"/>
    </c:floor>
    <c:sideWall>
      <c:thickness val="0"/>
      <c:spPr>
        <a:noFill/>
        <a:ln w="25400">
          <a:noFill/>
        </a:ln>
      </c:spPr>
    </c:sideWall>
    <c:backWall>
      <c:thickness val="0"/>
      <c:spPr>
        <a:noFill/>
        <a:ln w="25400">
          <a:noFill/>
        </a:ln>
      </c:spPr>
    </c:backWall>
    <c:plotArea>
      <c:layout>
        <c:manualLayout>
          <c:layoutTarget val="inner"/>
          <c:xMode val="edge"/>
          <c:yMode val="edge"/>
          <c:x val="0.14095264314107739"/>
          <c:y val="0.14335688810657524"/>
          <c:w val="0.86476351332498813"/>
          <c:h val="0.6118891565524559"/>
        </c:manualLayout>
      </c:layout>
      <c:bar3DChart>
        <c:barDir val="col"/>
        <c:grouping val="clustered"/>
        <c:varyColors val="0"/>
        <c:ser>
          <c:idx val="0"/>
          <c:order val="0"/>
          <c:tx>
            <c:strRef>
              <c:f>'Grafica Sup.'!$C$43</c:f>
              <c:strCache>
                <c:ptCount val="1"/>
                <c:pt idx="0">
                  <c:v>N° ACC.</c:v>
                </c:pt>
              </c:strCache>
            </c:strRef>
          </c:tx>
          <c:spPr>
            <a:solidFill>
              <a:srgbClr val="FF0000"/>
            </a:solidFill>
          </c:spPr>
          <c:invertIfNegative val="0"/>
          <c:cat>
            <c:strRef>
              <c:f>'Grafica Sup.'!$B$44:$B$47</c:f>
              <c:strCache>
                <c:ptCount val="4"/>
                <c:pt idx="0">
                  <c:v>ERWIN GATICA</c:v>
                </c:pt>
                <c:pt idx="1">
                  <c:v>CESAR CARTAGENA</c:v>
                </c:pt>
                <c:pt idx="2">
                  <c:v>ANTONIO RIVAS</c:v>
                </c:pt>
                <c:pt idx="3">
                  <c:v>CRISTIAN MEZA</c:v>
                </c:pt>
              </c:strCache>
            </c:strRef>
          </c:cat>
          <c:val>
            <c:numRef>
              <c:f>'Grafica Sup.'!$C$44:$C$47</c:f>
              <c:numCache>
                <c:formatCode>General</c:formatCode>
                <c:ptCount val="4"/>
                <c:pt idx="0">
                  <c:v>9</c:v>
                </c:pt>
                <c:pt idx="1">
                  <c:v>11</c:v>
                </c:pt>
                <c:pt idx="2">
                  <c:v>5</c:v>
                </c:pt>
                <c:pt idx="3">
                  <c:v>3</c:v>
                </c:pt>
              </c:numCache>
            </c:numRef>
          </c:val>
          <c:extLst>
            <c:ext xmlns:c16="http://schemas.microsoft.com/office/drawing/2014/chart" uri="{C3380CC4-5D6E-409C-BE32-E72D297353CC}">
              <c16:uniqueId val="{00000000-1B29-4C12-A29A-7DE7BEDCD1CF}"/>
            </c:ext>
          </c:extLst>
        </c:ser>
        <c:ser>
          <c:idx val="1"/>
          <c:order val="1"/>
          <c:tx>
            <c:strRef>
              <c:f>'Grafica Sup.'!$D$43</c:f>
              <c:strCache>
                <c:ptCount val="1"/>
                <c:pt idx="0">
                  <c:v>N° ACC CTP</c:v>
                </c:pt>
              </c:strCache>
            </c:strRef>
          </c:tx>
          <c:spPr>
            <a:solidFill>
              <a:srgbClr val="FFFF00"/>
            </a:solidFill>
          </c:spPr>
          <c:invertIfNegative val="0"/>
          <c:cat>
            <c:strRef>
              <c:f>'Grafica Sup.'!$B$44:$B$47</c:f>
              <c:strCache>
                <c:ptCount val="4"/>
                <c:pt idx="0">
                  <c:v>ERWIN GATICA</c:v>
                </c:pt>
                <c:pt idx="1">
                  <c:v>CESAR CARTAGENA</c:v>
                </c:pt>
                <c:pt idx="2">
                  <c:v>ANTONIO RIVAS</c:v>
                </c:pt>
                <c:pt idx="3">
                  <c:v>CRISTIAN MEZA</c:v>
                </c:pt>
              </c:strCache>
            </c:strRef>
          </c:cat>
          <c:val>
            <c:numRef>
              <c:f>'Grafica Sup.'!$D$44:$D$47</c:f>
              <c:numCache>
                <c:formatCode>General</c:formatCode>
                <c:ptCount val="4"/>
                <c:pt idx="0">
                  <c:v>2</c:v>
                </c:pt>
                <c:pt idx="1">
                  <c:v>3</c:v>
                </c:pt>
                <c:pt idx="2">
                  <c:v>0</c:v>
                </c:pt>
                <c:pt idx="3">
                  <c:v>0</c:v>
                </c:pt>
              </c:numCache>
            </c:numRef>
          </c:val>
          <c:extLst>
            <c:ext xmlns:c16="http://schemas.microsoft.com/office/drawing/2014/chart" uri="{C3380CC4-5D6E-409C-BE32-E72D297353CC}">
              <c16:uniqueId val="{00000001-1B29-4C12-A29A-7DE7BEDCD1CF}"/>
            </c:ext>
          </c:extLst>
        </c:ser>
        <c:dLbls>
          <c:showLegendKey val="0"/>
          <c:showVal val="0"/>
          <c:showCatName val="0"/>
          <c:showSerName val="0"/>
          <c:showPercent val="0"/>
          <c:showBubbleSize val="0"/>
        </c:dLbls>
        <c:gapWidth val="150"/>
        <c:shape val="box"/>
        <c:axId val="452551456"/>
        <c:axId val="452545968"/>
        <c:axId val="0"/>
      </c:bar3DChart>
      <c:catAx>
        <c:axId val="45255145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2545968"/>
        <c:crosses val="autoZero"/>
        <c:auto val="1"/>
        <c:lblAlgn val="ctr"/>
        <c:lblOffset val="100"/>
        <c:noMultiLvlLbl val="0"/>
      </c:catAx>
      <c:valAx>
        <c:axId val="452545968"/>
        <c:scaling>
          <c:orientation val="minMax"/>
        </c:scaling>
        <c:delete val="1"/>
        <c:axPos val="l"/>
        <c:numFmt formatCode="General" sourceLinked="1"/>
        <c:majorTickMark val="out"/>
        <c:minorTickMark val="none"/>
        <c:tickLblPos val="nextTo"/>
        <c:crossAx val="45255145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Trozado</a:t>
            </a:r>
            <a:r>
              <a:rPr lang="es-CL" baseline="0"/>
              <a:t> Pavo</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31175823007706E-2"/>
          <c:w val="0.86553190387499979"/>
          <c:h val="0.6531377081730505"/>
        </c:manualLayout>
      </c:layout>
      <c:bar3DChart>
        <c:barDir val="col"/>
        <c:grouping val="clustered"/>
        <c:varyColors val="0"/>
        <c:ser>
          <c:idx val="0"/>
          <c:order val="0"/>
          <c:tx>
            <c:strRef>
              <c:f>'Grafica Sup.'!$C$57</c:f>
              <c:strCache>
                <c:ptCount val="1"/>
                <c:pt idx="0">
                  <c:v>N° ACC.</c:v>
                </c:pt>
              </c:strCache>
            </c:strRef>
          </c:tx>
          <c:spPr>
            <a:solidFill>
              <a:srgbClr val="FF0000"/>
            </a:solidFill>
          </c:spPr>
          <c:invertIfNegative val="0"/>
          <c:cat>
            <c:strRef>
              <c:f>'Grafica Sup.'!$B$58:$B$59</c:f>
              <c:strCache>
                <c:ptCount val="2"/>
                <c:pt idx="0">
                  <c:v>JAQUELINE PAVEZ</c:v>
                </c:pt>
                <c:pt idx="1">
                  <c:v>ADRIAN TEJIAS</c:v>
                </c:pt>
              </c:strCache>
            </c:strRef>
          </c:cat>
          <c:val>
            <c:numRef>
              <c:f>'Grafica Sup.'!$C$58:$C$59</c:f>
              <c:numCache>
                <c:formatCode>General</c:formatCode>
                <c:ptCount val="2"/>
                <c:pt idx="0">
                  <c:v>14</c:v>
                </c:pt>
                <c:pt idx="1">
                  <c:v>2</c:v>
                </c:pt>
              </c:numCache>
            </c:numRef>
          </c:val>
          <c:extLst>
            <c:ext xmlns:c16="http://schemas.microsoft.com/office/drawing/2014/chart" uri="{C3380CC4-5D6E-409C-BE32-E72D297353CC}">
              <c16:uniqueId val="{00000000-D0D9-4CE3-90B8-FC9B3D7D20C0}"/>
            </c:ext>
          </c:extLst>
        </c:ser>
        <c:ser>
          <c:idx val="1"/>
          <c:order val="1"/>
          <c:tx>
            <c:strRef>
              <c:f>'Grafica Sup.'!$D$57</c:f>
              <c:strCache>
                <c:ptCount val="1"/>
                <c:pt idx="0">
                  <c:v>N° ACC CTP</c:v>
                </c:pt>
              </c:strCache>
            </c:strRef>
          </c:tx>
          <c:spPr>
            <a:solidFill>
              <a:srgbClr val="FFFF00"/>
            </a:solidFill>
          </c:spPr>
          <c:invertIfNegative val="0"/>
          <c:cat>
            <c:strRef>
              <c:f>'Grafica Sup.'!$B$58:$B$59</c:f>
              <c:strCache>
                <c:ptCount val="2"/>
                <c:pt idx="0">
                  <c:v>JAQUELINE PAVEZ</c:v>
                </c:pt>
                <c:pt idx="1">
                  <c:v>ADRIAN TEJIAS</c:v>
                </c:pt>
              </c:strCache>
            </c:strRef>
          </c:cat>
          <c:val>
            <c:numRef>
              <c:f>'Grafica Sup.'!$D$58:$D$59</c:f>
              <c:numCache>
                <c:formatCode>General</c:formatCode>
                <c:ptCount val="2"/>
                <c:pt idx="0">
                  <c:v>2</c:v>
                </c:pt>
                <c:pt idx="1">
                  <c:v>0</c:v>
                </c:pt>
              </c:numCache>
            </c:numRef>
          </c:val>
          <c:extLst>
            <c:ext xmlns:c16="http://schemas.microsoft.com/office/drawing/2014/chart" uri="{C3380CC4-5D6E-409C-BE32-E72D297353CC}">
              <c16:uniqueId val="{00000001-D0D9-4CE3-90B8-FC9B3D7D20C0}"/>
            </c:ext>
          </c:extLst>
        </c:ser>
        <c:dLbls>
          <c:showLegendKey val="0"/>
          <c:showVal val="0"/>
          <c:showCatName val="0"/>
          <c:showSerName val="0"/>
          <c:showPercent val="0"/>
          <c:showBubbleSize val="0"/>
        </c:dLbls>
        <c:gapWidth val="150"/>
        <c:shape val="box"/>
        <c:axId val="452546360"/>
        <c:axId val="452549104"/>
        <c:axId val="0"/>
      </c:bar3DChart>
      <c:catAx>
        <c:axId val="45254636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2549104"/>
        <c:crosses val="autoZero"/>
        <c:auto val="1"/>
        <c:lblAlgn val="ctr"/>
        <c:lblOffset val="100"/>
        <c:noMultiLvlLbl val="0"/>
      </c:catAx>
      <c:valAx>
        <c:axId val="452549104"/>
        <c:scaling>
          <c:orientation val="minMax"/>
        </c:scaling>
        <c:delete val="1"/>
        <c:axPos val="l"/>
        <c:numFmt formatCode="General" sourceLinked="1"/>
        <c:majorTickMark val="out"/>
        <c:minorTickMark val="none"/>
        <c:tickLblPos val="nextTo"/>
        <c:crossAx val="452546360"/>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Frigorifico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962264150943396"/>
          <c:y val="0.14400028125054931"/>
          <c:w val="0.86603773584905652"/>
          <c:h val="0.61600120312734985"/>
        </c:manualLayout>
      </c:layout>
      <c:bar3DChart>
        <c:barDir val="col"/>
        <c:grouping val="clustered"/>
        <c:varyColors val="0"/>
        <c:ser>
          <c:idx val="1"/>
          <c:order val="0"/>
          <c:tx>
            <c:strRef>
              <c:f>'Grafica Sup.'!$C$71</c:f>
              <c:strCache>
                <c:ptCount val="1"/>
                <c:pt idx="0">
                  <c:v>N° ACC.</c:v>
                </c:pt>
              </c:strCache>
            </c:strRef>
          </c:tx>
          <c:spPr>
            <a:solidFill>
              <a:srgbClr val="FF0000"/>
            </a:solidFill>
          </c:spPr>
          <c:invertIfNegative val="0"/>
          <c:cat>
            <c:strRef>
              <c:f>'Grafica Sup.'!$B$72:$B$74</c:f>
              <c:strCache>
                <c:ptCount val="3"/>
                <c:pt idx="0">
                  <c:v>MAURICIO HERNANDEZ</c:v>
                </c:pt>
                <c:pt idx="1">
                  <c:v>MARIA EUGENIA YAÑEZ</c:v>
                </c:pt>
                <c:pt idx="2">
                  <c:v>JUAN VILLAVICENCIO</c:v>
                </c:pt>
              </c:strCache>
            </c:strRef>
          </c:cat>
          <c:val>
            <c:numRef>
              <c:f>'Grafica Sup.'!$C$72:$C$74</c:f>
              <c:numCache>
                <c:formatCode>General</c:formatCode>
                <c:ptCount val="3"/>
                <c:pt idx="0">
                  <c:v>1</c:v>
                </c:pt>
                <c:pt idx="1">
                  <c:v>11</c:v>
                </c:pt>
                <c:pt idx="2">
                  <c:v>0</c:v>
                </c:pt>
              </c:numCache>
            </c:numRef>
          </c:val>
          <c:extLst>
            <c:ext xmlns:c16="http://schemas.microsoft.com/office/drawing/2014/chart" uri="{C3380CC4-5D6E-409C-BE32-E72D297353CC}">
              <c16:uniqueId val="{00000000-1D17-4E74-85E4-5EA2B1B4F887}"/>
            </c:ext>
          </c:extLst>
        </c:ser>
        <c:ser>
          <c:idx val="2"/>
          <c:order val="1"/>
          <c:tx>
            <c:strRef>
              <c:f>'Grafica Sup.'!$D$71</c:f>
              <c:strCache>
                <c:ptCount val="1"/>
                <c:pt idx="0">
                  <c:v>N° ACC CTP</c:v>
                </c:pt>
              </c:strCache>
            </c:strRef>
          </c:tx>
          <c:spPr>
            <a:solidFill>
              <a:srgbClr val="FFFF00"/>
            </a:solidFill>
          </c:spPr>
          <c:invertIfNegative val="0"/>
          <c:cat>
            <c:strRef>
              <c:f>'Grafica Sup.'!$B$72:$B$74</c:f>
              <c:strCache>
                <c:ptCount val="3"/>
                <c:pt idx="0">
                  <c:v>MAURICIO HERNANDEZ</c:v>
                </c:pt>
                <c:pt idx="1">
                  <c:v>MARIA EUGENIA YAÑEZ</c:v>
                </c:pt>
                <c:pt idx="2">
                  <c:v>JUAN VILLAVICENCIO</c:v>
                </c:pt>
              </c:strCache>
            </c:strRef>
          </c:cat>
          <c:val>
            <c:numRef>
              <c:f>'Grafica Sup.'!$D$72:$D$74</c:f>
              <c:numCache>
                <c:formatCode>General</c:formatCode>
                <c:ptCount val="3"/>
                <c:pt idx="0">
                  <c:v>0</c:v>
                </c:pt>
                <c:pt idx="1">
                  <c:v>2</c:v>
                </c:pt>
                <c:pt idx="2">
                  <c:v>0</c:v>
                </c:pt>
              </c:numCache>
            </c:numRef>
          </c:val>
          <c:extLst>
            <c:ext xmlns:c16="http://schemas.microsoft.com/office/drawing/2014/chart" uri="{C3380CC4-5D6E-409C-BE32-E72D297353CC}">
              <c16:uniqueId val="{00000001-1D17-4E74-85E4-5EA2B1B4F887}"/>
            </c:ext>
          </c:extLst>
        </c:ser>
        <c:dLbls>
          <c:showLegendKey val="0"/>
          <c:showVal val="0"/>
          <c:showCatName val="0"/>
          <c:showSerName val="0"/>
          <c:showPercent val="0"/>
          <c:showBubbleSize val="0"/>
        </c:dLbls>
        <c:gapWidth val="150"/>
        <c:shape val="box"/>
        <c:axId val="452546752"/>
        <c:axId val="452551848"/>
        <c:axId val="0"/>
      </c:bar3DChart>
      <c:catAx>
        <c:axId val="45254675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2551848"/>
        <c:crosses val="autoZero"/>
        <c:auto val="1"/>
        <c:lblAlgn val="ctr"/>
        <c:lblOffset val="100"/>
        <c:noMultiLvlLbl val="0"/>
      </c:catAx>
      <c:valAx>
        <c:axId val="452551848"/>
        <c:scaling>
          <c:orientation val="minMax"/>
        </c:scaling>
        <c:delete val="1"/>
        <c:axPos val="l"/>
        <c:numFmt formatCode="General" sourceLinked="1"/>
        <c:majorTickMark val="out"/>
        <c:minorTickMark val="none"/>
        <c:tickLblPos val="nextTo"/>
        <c:crossAx val="452546752"/>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Mantencion</a:t>
            </a:r>
            <a:r>
              <a:rPr lang="es-CL" baseline="0"/>
              <a:t>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8.782749288831751E-2"/>
          <c:y val="8.2353059445455262E-2"/>
          <c:w val="0.91987742551448315"/>
          <c:h val="0.69411864389740907"/>
        </c:manualLayout>
      </c:layout>
      <c:bar3DChart>
        <c:barDir val="col"/>
        <c:grouping val="clustered"/>
        <c:varyColors val="0"/>
        <c:ser>
          <c:idx val="1"/>
          <c:order val="0"/>
          <c:tx>
            <c:strRef>
              <c:f>'Grafica Sup.'!$C$84</c:f>
              <c:strCache>
                <c:ptCount val="1"/>
                <c:pt idx="0">
                  <c:v>N° ACC.</c:v>
                </c:pt>
              </c:strCache>
            </c:strRef>
          </c:tx>
          <c:spPr>
            <a:solidFill>
              <a:srgbClr val="FF0000"/>
            </a:solidFill>
          </c:spPr>
          <c:invertIfNegative val="0"/>
          <c:cat>
            <c:strRef>
              <c:f>'Grafica Sup.'!$B$85:$B$95</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Sup.'!$C$85:$C$95</c:f>
              <c:numCache>
                <c:formatCode>General</c:formatCode>
                <c:ptCount val="11"/>
                <c:pt idx="0">
                  <c:v>0</c:v>
                </c:pt>
                <c:pt idx="1">
                  <c:v>1</c:v>
                </c:pt>
                <c:pt idx="2">
                  <c:v>0</c:v>
                </c:pt>
                <c:pt idx="3">
                  <c:v>3</c:v>
                </c:pt>
                <c:pt idx="4">
                  <c:v>4</c:v>
                </c:pt>
                <c:pt idx="5">
                  <c:v>0</c:v>
                </c:pt>
                <c:pt idx="6">
                  <c:v>2</c:v>
                </c:pt>
                <c:pt idx="7">
                  <c:v>2</c:v>
                </c:pt>
                <c:pt idx="8">
                  <c:v>2</c:v>
                </c:pt>
                <c:pt idx="9">
                  <c:v>2</c:v>
                </c:pt>
                <c:pt idx="10">
                  <c:v>0</c:v>
                </c:pt>
              </c:numCache>
            </c:numRef>
          </c:val>
          <c:extLst>
            <c:ext xmlns:c16="http://schemas.microsoft.com/office/drawing/2014/chart" uri="{C3380CC4-5D6E-409C-BE32-E72D297353CC}">
              <c16:uniqueId val="{00000000-2032-4246-BBC8-0B46F8F2A0B3}"/>
            </c:ext>
          </c:extLst>
        </c:ser>
        <c:ser>
          <c:idx val="2"/>
          <c:order val="1"/>
          <c:tx>
            <c:strRef>
              <c:f>'Grafica Sup.'!$D$84</c:f>
              <c:strCache>
                <c:ptCount val="1"/>
                <c:pt idx="0">
                  <c:v>N° ACC CTP</c:v>
                </c:pt>
              </c:strCache>
            </c:strRef>
          </c:tx>
          <c:spPr>
            <a:solidFill>
              <a:srgbClr val="FFFF00"/>
            </a:solidFill>
          </c:spPr>
          <c:invertIfNegative val="0"/>
          <c:cat>
            <c:strRef>
              <c:f>'Grafica Sup.'!$B$85:$B$95</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Sup.'!$D$85:$D$95</c:f>
              <c:numCache>
                <c:formatCode>General</c:formatCode>
                <c:ptCount val="11"/>
                <c:pt idx="0">
                  <c:v>0</c:v>
                </c:pt>
                <c:pt idx="1">
                  <c:v>0</c:v>
                </c:pt>
                <c:pt idx="2">
                  <c:v>0</c:v>
                </c:pt>
                <c:pt idx="3">
                  <c:v>0</c:v>
                </c:pt>
                <c:pt idx="4">
                  <c:v>1</c:v>
                </c:pt>
                <c:pt idx="5">
                  <c:v>0</c:v>
                </c:pt>
                <c:pt idx="6">
                  <c:v>1</c:v>
                </c:pt>
                <c:pt idx="7">
                  <c:v>1</c:v>
                </c:pt>
                <c:pt idx="8">
                  <c:v>1</c:v>
                </c:pt>
                <c:pt idx="9">
                  <c:v>1</c:v>
                </c:pt>
                <c:pt idx="10">
                  <c:v>0</c:v>
                </c:pt>
              </c:numCache>
            </c:numRef>
          </c:val>
          <c:extLst>
            <c:ext xmlns:c16="http://schemas.microsoft.com/office/drawing/2014/chart" uri="{C3380CC4-5D6E-409C-BE32-E72D297353CC}">
              <c16:uniqueId val="{00000001-2032-4246-BBC8-0B46F8F2A0B3}"/>
            </c:ext>
          </c:extLst>
        </c:ser>
        <c:dLbls>
          <c:showLegendKey val="0"/>
          <c:showVal val="0"/>
          <c:showCatName val="0"/>
          <c:showSerName val="0"/>
          <c:showPercent val="0"/>
          <c:showBubbleSize val="0"/>
        </c:dLbls>
        <c:gapWidth val="150"/>
        <c:shape val="box"/>
        <c:axId val="458390976"/>
        <c:axId val="458395680"/>
        <c:axId val="0"/>
      </c:bar3DChart>
      <c:catAx>
        <c:axId val="45839097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8395680"/>
        <c:crosses val="autoZero"/>
        <c:auto val="1"/>
        <c:lblAlgn val="ctr"/>
        <c:lblOffset val="100"/>
        <c:noMultiLvlLbl val="0"/>
      </c:catAx>
      <c:valAx>
        <c:axId val="458395680"/>
        <c:scaling>
          <c:orientation val="minMax"/>
        </c:scaling>
        <c:delete val="1"/>
        <c:axPos val="l"/>
        <c:numFmt formatCode="General" sourceLinked="1"/>
        <c:majorTickMark val="out"/>
        <c:minorTickMark val="none"/>
        <c:tickLblPos val="nextTo"/>
        <c:crossAx val="458390976"/>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Franklin Gothic Demi"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IQF Calibrado </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78456591640027E-2"/>
          <c:w val="0.86553190387499979"/>
          <c:h val="0.70418006430868163"/>
        </c:manualLayout>
      </c:layout>
      <c:bar3DChart>
        <c:barDir val="col"/>
        <c:grouping val="clustered"/>
        <c:varyColors val="0"/>
        <c:ser>
          <c:idx val="0"/>
          <c:order val="0"/>
          <c:tx>
            <c:strRef>
              <c:f>'Grafica Sup.'!$C$103</c:f>
              <c:strCache>
                <c:ptCount val="1"/>
                <c:pt idx="0">
                  <c:v>N° ACC.</c:v>
                </c:pt>
              </c:strCache>
            </c:strRef>
          </c:tx>
          <c:spPr>
            <a:solidFill>
              <a:srgbClr val="FF0000"/>
            </a:solidFill>
          </c:spPr>
          <c:invertIfNegative val="0"/>
          <c:cat>
            <c:multiLvlStrRef>
              <c:f>'Grafica Sup.'!$A$120:$B$124</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Sup.'!$C$120:$C$124</c:f>
              <c:numCache>
                <c:formatCode>General</c:formatCode>
                <c:ptCount val="5"/>
                <c:pt idx="0">
                  <c:v>9</c:v>
                </c:pt>
                <c:pt idx="1">
                  <c:v>4</c:v>
                </c:pt>
                <c:pt idx="2">
                  <c:v>0</c:v>
                </c:pt>
                <c:pt idx="3">
                  <c:v>3</c:v>
                </c:pt>
                <c:pt idx="4">
                  <c:v>6</c:v>
                </c:pt>
              </c:numCache>
            </c:numRef>
          </c:val>
          <c:extLst>
            <c:ext xmlns:c16="http://schemas.microsoft.com/office/drawing/2014/chart" uri="{C3380CC4-5D6E-409C-BE32-E72D297353CC}">
              <c16:uniqueId val="{00000000-BE77-4F47-9DEE-E30A87D59E21}"/>
            </c:ext>
          </c:extLst>
        </c:ser>
        <c:ser>
          <c:idx val="1"/>
          <c:order val="1"/>
          <c:tx>
            <c:strRef>
              <c:f>'Grafica Sup.'!$D$103</c:f>
              <c:strCache>
                <c:ptCount val="1"/>
                <c:pt idx="0">
                  <c:v>N° ACC CTP</c:v>
                </c:pt>
              </c:strCache>
            </c:strRef>
          </c:tx>
          <c:spPr>
            <a:solidFill>
              <a:srgbClr val="FFFF00"/>
            </a:solidFill>
          </c:spPr>
          <c:invertIfNegative val="0"/>
          <c:cat>
            <c:multiLvlStrRef>
              <c:f>'Grafica Sup.'!$A$120:$B$124</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Sup.'!$D$120:$D$124</c:f>
              <c:numCache>
                <c:formatCode>General</c:formatCode>
                <c:ptCount val="5"/>
                <c:pt idx="0">
                  <c:v>1</c:v>
                </c:pt>
                <c:pt idx="1">
                  <c:v>1</c:v>
                </c:pt>
                <c:pt idx="2">
                  <c:v>0</c:v>
                </c:pt>
                <c:pt idx="3">
                  <c:v>0</c:v>
                </c:pt>
                <c:pt idx="4">
                  <c:v>2</c:v>
                </c:pt>
              </c:numCache>
            </c:numRef>
          </c:val>
          <c:extLst>
            <c:ext xmlns:c16="http://schemas.microsoft.com/office/drawing/2014/chart" uri="{C3380CC4-5D6E-409C-BE32-E72D297353CC}">
              <c16:uniqueId val="{00000001-BE77-4F47-9DEE-E30A87D59E21}"/>
            </c:ext>
          </c:extLst>
        </c:ser>
        <c:dLbls>
          <c:showLegendKey val="0"/>
          <c:showVal val="0"/>
          <c:showCatName val="0"/>
          <c:showSerName val="0"/>
          <c:showPercent val="0"/>
          <c:showBubbleSize val="0"/>
        </c:dLbls>
        <c:gapWidth val="150"/>
        <c:shape val="box"/>
        <c:axId val="458390584"/>
        <c:axId val="458389800"/>
        <c:axId val="0"/>
      </c:bar3DChart>
      <c:catAx>
        <c:axId val="45839058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8389800"/>
        <c:crosses val="autoZero"/>
        <c:auto val="1"/>
        <c:lblAlgn val="ctr"/>
        <c:lblOffset val="100"/>
        <c:noMultiLvlLbl val="0"/>
      </c:catAx>
      <c:valAx>
        <c:axId val="458389800"/>
        <c:scaling>
          <c:orientation val="minMax"/>
        </c:scaling>
        <c:delete val="1"/>
        <c:axPos val="l"/>
        <c:numFmt formatCode="General" sourceLinked="1"/>
        <c:majorTickMark val="out"/>
        <c:minorTickMark val="none"/>
        <c:tickLblPos val="nextTo"/>
        <c:crossAx val="458390584"/>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Calidad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30936420631833"/>
          <c:y val="0.14375000000000004"/>
          <c:w val="0.86510867341069209"/>
          <c:h val="0.62187500000000073"/>
        </c:manualLayout>
      </c:layout>
      <c:bar3DChart>
        <c:barDir val="col"/>
        <c:grouping val="clustered"/>
        <c:varyColors val="0"/>
        <c:ser>
          <c:idx val="0"/>
          <c:order val="0"/>
          <c:tx>
            <c:strRef>
              <c:f>'Grafica Sup.'!$C$119</c:f>
              <c:strCache>
                <c:ptCount val="1"/>
                <c:pt idx="0">
                  <c:v>N° ACC.</c:v>
                </c:pt>
              </c:strCache>
            </c:strRef>
          </c:tx>
          <c:spPr>
            <a:solidFill>
              <a:srgbClr val="FF0000"/>
            </a:solidFill>
          </c:spPr>
          <c:invertIfNegative val="0"/>
          <c:cat>
            <c:multiLvlStrRef>
              <c:f>'Grafica Sup.'!$A$104:$B$105</c:f>
              <c:multiLvlStrCache>
                <c:ptCount val="2"/>
                <c:lvl>
                  <c:pt idx="0">
                    <c:v>SOLEDAD CARRASCO</c:v>
                  </c:pt>
                  <c:pt idx="1">
                    <c:v>HECNIMAR URDANETA</c:v>
                  </c:pt>
                </c:lvl>
                <c:lvl>
                  <c:pt idx="0">
                    <c:v>CALIDAD</c:v>
                  </c:pt>
                </c:lvl>
              </c:multiLvlStrCache>
            </c:multiLvlStrRef>
          </c:cat>
          <c:val>
            <c:numRef>
              <c:f>'Grafica Sup.'!$C$104:$C$105</c:f>
              <c:numCache>
                <c:formatCode>General</c:formatCode>
                <c:ptCount val="2"/>
                <c:pt idx="0">
                  <c:v>0</c:v>
                </c:pt>
                <c:pt idx="1">
                  <c:v>0</c:v>
                </c:pt>
              </c:numCache>
            </c:numRef>
          </c:val>
          <c:extLst>
            <c:ext xmlns:c16="http://schemas.microsoft.com/office/drawing/2014/chart" uri="{C3380CC4-5D6E-409C-BE32-E72D297353CC}">
              <c16:uniqueId val="{00000000-4878-4395-9BE9-E932493516E8}"/>
            </c:ext>
          </c:extLst>
        </c:ser>
        <c:ser>
          <c:idx val="1"/>
          <c:order val="1"/>
          <c:tx>
            <c:strRef>
              <c:f>'Grafica Sup.'!$D$119</c:f>
              <c:strCache>
                <c:ptCount val="1"/>
                <c:pt idx="0">
                  <c:v>N° ACC CTP</c:v>
                </c:pt>
              </c:strCache>
            </c:strRef>
          </c:tx>
          <c:spPr>
            <a:solidFill>
              <a:srgbClr val="FFFF00"/>
            </a:solidFill>
          </c:spPr>
          <c:invertIfNegative val="0"/>
          <c:cat>
            <c:multiLvlStrRef>
              <c:f>'Grafica Sup.'!$A$104:$B$105</c:f>
              <c:multiLvlStrCache>
                <c:ptCount val="2"/>
                <c:lvl>
                  <c:pt idx="0">
                    <c:v>SOLEDAD CARRASCO</c:v>
                  </c:pt>
                  <c:pt idx="1">
                    <c:v>HECNIMAR URDANETA</c:v>
                  </c:pt>
                </c:lvl>
                <c:lvl>
                  <c:pt idx="0">
                    <c:v>CALIDAD</c:v>
                  </c:pt>
                </c:lvl>
              </c:multiLvlStrCache>
            </c:multiLvlStrRef>
          </c:cat>
          <c:val>
            <c:numRef>
              <c:f>'Grafica Sup.'!$D$104:$D$105</c:f>
              <c:numCache>
                <c:formatCode>General</c:formatCode>
                <c:ptCount val="2"/>
                <c:pt idx="0">
                  <c:v>0</c:v>
                </c:pt>
                <c:pt idx="1">
                  <c:v>0</c:v>
                </c:pt>
              </c:numCache>
            </c:numRef>
          </c:val>
          <c:extLst>
            <c:ext xmlns:c16="http://schemas.microsoft.com/office/drawing/2014/chart" uri="{C3380CC4-5D6E-409C-BE32-E72D297353CC}">
              <c16:uniqueId val="{00000001-4878-4395-9BE9-E932493516E8}"/>
            </c:ext>
          </c:extLst>
        </c:ser>
        <c:dLbls>
          <c:showLegendKey val="0"/>
          <c:showVal val="0"/>
          <c:showCatName val="0"/>
          <c:showSerName val="0"/>
          <c:showPercent val="0"/>
          <c:showBubbleSize val="0"/>
        </c:dLbls>
        <c:gapWidth val="150"/>
        <c:shape val="box"/>
        <c:axId val="458392936"/>
        <c:axId val="458393328"/>
        <c:axId val="0"/>
      </c:bar3DChart>
      <c:catAx>
        <c:axId val="45839293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458393328"/>
        <c:crosses val="autoZero"/>
        <c:auto val="1"/>
        <c:lblAlgn val="ctr"/>
        <c:lblOffset val="100"/>
        <c:noMultiLvlLbl val="0"/>
      </c:catAx>
      <c:valAx>
        <c:axId val="458393328"/>
        <c:scaling>
          <c:orientation val="minMax"/>
        </c:scaling>
        <c:delete val="1"/>
        <c:axPos val="l"/>
        <c:numFmt formatCode="General" sourceLinked="1"/>
        <c:majorTickMark val="out"/>
        <c:minorTickMark val="none"/>
        <c:tickLblPos val="nextTo"/>
        <c:crossAx val="45839293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Bodega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0.14423122067564564"/>
          <c:w val="0.86553190387499979"/>
          <c:h val="0.60577112683771173"/>
        </c:manualLayout>
      </c:layout>
      <c:bar3DChart>
        <c:barDir val="col"/>
        <c:grouping val="clustered"/>
        <c:varyColors val="0"/>
        <c:ser>
          <c:idx val="0"/>
          <c:order val="0"/>
          <c:tx>
            <c:strRef>
              <c:f>'Grafica Sup.'!$C$103</c:f>
              <c:strCache>
                <c:ptCount val="1"/>
                <c:pt idx="0">
                  <c:v>N° ACC.</c:v>
                </c:pt>
              </c:strCache>
            </c:strRef>
          </c:tx>
          <c:spPr>
            <a:solidFill>
              <a:srgbClr val="FF0000"/>
            </a:solidFill>
          </c:spPr>
          <c:invertIfNegative val="0"/>
          <c:cat>
            <c:strRef>
              <c:f>'Grafica Sup.'!$A$136:$B$136</c:f>
              <c:strCache>
                <c:ptCount val="2"/>
                <c:pt idx="0">
                  <c:v>BODEGA</c:v>
                </c:pt>
                <c:pt idx="1">
                  <c:v>BORIS PONCE</c:v>
                </c:pt>
              </c:strCache>
            </c:strRef>
          </c:cat>
          <c:val>
            <c:numRef>
              <c:f>'Grafica Sup.'!$C$136</c:f>
              <c:numCache>
                <c:formatCode>General</c:formatCode>
                <c:ptCount val="1"/>
                <c:pt idx="0">
                  <c:v>2</c:v>
                </c:pt>
              </c:numCache>
            </c:numRef>
          </c:val>
          <c:extLst>
            <c:ext xmlns:c16="http://schemas.microsoft.com/office/drawing/2014/chart" uri="{C3380CC4-5D6E-409C-BE32-E72D297353CC}">
              <c16:uniqueId val="{00000000-37B5-470F-87C4-6C6F0682D134}"/>
            </c:ext>
          </c:extLst>
        </c:ser>
        <c:ser>
          <c:idx val="1"/>
          <c:order val="1"/>
          <c:tx>
            <c:strRef>
              <c:f>'Grafica Sup.'!$D$103</c:f>
              <c:strCache>
                <c:ptCount val="1"/>
                <c:pt idx="0">
                  <c:v>N° ACC CTP</c:v>
                </c:pt>
              </c:strCache>
            </c:strRef>
          </c:tx>
          <c:spPr>
            <a:solidFill>
              <a:srgbClr val="FFFF00"/>
            </a:solidFill>
          </c:spPr>
          <c:invertIfNegative val="0"/>
          <c:cat>
            <c:strRef>
              <c:f>'Grafica Sup.'!$A$136:$B$136</c:f>
              <c:strCache>
                <c:ptCount val="2"/>
                <c:pt idx="0">
                  <c:v>BODEGA</c:v>
                </c:pt>
                <c:pt idx="1">
                  <c:v>BORIS PONCE</c:v>
                </c:pt>
              </c:strCache>
            </c:strRef>
          </c:cat>
          <c:val>
            <c:numRef>
              <c:f>'Grafica Sup.'!$D$136</c:f>
              <c:numCache>
                <c:formatCode>General</c:formatCode>
                <c:ptCount val="1"/>
                <c:pt idx="0">
                  <c:v>1</c:v>
                </c:pt>
              </c:numCache>
            </c:numRef>
          </c:val>
          <c:extLst>
            <c:ext xmlns:c16="http://schemas.microsoft.com/office/drawing/2014/chart" uri="{C3380CC4-5D6E-409C-BE32-E72D297353CC}">
              <c16:uniqueId val="{00000001-37B5-470F-87C4-6C6F0682D134}"/>
            </c:ext>
          </c:extLst>
        </c:ser>
        <c:dLbls>
          <c:showLegendKey val="0"/>
          <c:showVal val="0"/>
          <c:showCatName val="0"/>
          <c:showSerName val="0"/>
          <c:showPercent val="0"/>
          <c:showBubbleSize val="0"/>
        </c:dLbls>
        <c:gapWidth val="150"/>
        <c:shape val="box"/>
        <c:axId val="364668672"/>
        <c:axId val="364664360"/>
        <c:axId val="0"/>
      </c:bar3DChart>
      <c:catAx>
        <c:axId val="36466867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364664360"/>
        <c:crosses val="autoZero"/>
        <c:auto val="1"/>
        <c:lblAlgn val="ctr"/>
        <c:lblOffset val="100"/>
        <c:noMultiLvlLbl val="0"/>
      </c:catAx>
      <c:valAx>
        <c:axId val="364664360"/>
        <c:scaling>
          <c:orientation val="minMax"/>
        </c:scaling>
        <c:delete val="1"/>
        <c:axPos val="l"/>
        <c:numFmt formatCode="General" sourceLinked="1"/>
        <c:majorTickMark val="out"/>
        <c:minorTickMark val="none"/>
        <c:tickLblPos val="nextTo"/>
        <c:crossAx val="364668672"/>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66675</xdr:rowOff>
    </xdr:from>
    <xdr:to>
      <xdr:col>2</xdr:col>
      <xdr:colOff>104775</xdr:colOff>
      <xdr:row>1</xdr:row>
      <xdr:rowOff>0</xdr:rowOff>
    </xdr:to>
    <xdr:pic>
      <xdr:nvPicPr>
        <xdr:cNvPr id="1426" name="Imagen 1" descr="logo Ariztia jpg">
          <a:extLst>
            <a:ext uri="{FF2B5EF4-FFF2-40B4-BE49-F238E27FC236}">
              <a16:creationId xmlns:a16="http://schemas.microsoft.com/office/drawing/2014/main" id="{00000000-0008-0000-0000-000092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75"/>
          <a:ext cx="12668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17</xdr:row>
      <xdr:rowOff>57150</xdr:rowOff>
    </xdr:from>
    <xdr:to>
      <xdr:col>6</xdr:col>
      <xdr:colOff>9525</xdr:colOff>
      <xdr:row>34</xdr:row>
      <xdr:rowOff>47625</xdr:rowOff>
    </xdr:to>
    <xdr:graphicFrame macro="">
      <xdr:nvGraphicFramePr>
        <xdr:cNvPr id="5794910" name="Gráfico 12">
          <a:extLst>
            <a:ext uri="{FF2B5EF4-FFF2-40B4-BE49-F238E27FC236}">
              <a16:creationId xmlns:a16="http://schemas.microsoft.com/office/drawing/2014/main" id="{00000000-0008-0000-0300-00005E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34</xdr:row>
      <xdr:rowOff>66675</xdr:rowOff>
    </xdr:from>
    <xdr:to>
      <xdr:col>12</xdr:col>
      <xdr:colOff>38100</xdr:colOff>
      <xdr:row>50</xdr:row>
      <xdr:rowOff>19050</xdr:rowOff>
    </xdr:to>
    <xdr:graphicFrame macro="">
      <xdr:nvGraphicFramePr>
        <xdr:cNvPr id="5794911" name="Gráfico 22">
          <a:extLst>
            <a:ext uri="{FF2B5EF4-FFF2-40B4-BE49-F238E27FC236}">
              <a16:creationId xmlns:a16="http://schemas.microsoft.com/office/drawing/2014/main" id="{00000000-0008-0000-0300-00005F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34</xdr:row>
      <xdr:rowOff>85725</xdr:rowOff>
    </xdr:from>
    <xdr:to>
      <xdr:col>6</xdr:col>
      <xdr:colOff>9525</xdr:colOff>
      <xdr:row>50</xdr:row>
      <xdr:rowOff>19050</xdr:rowOff>
    </xdr:to>
    <xdr:graphicFrame macro="">
      <xdr:nvGraphicFramePr>
        <xdr:cNvPr id="5794912" name="Gráfico 24">
          <a:extLst>
            <a:ext uri="{FF2B5EF4-FFF2-40B4-BE49-F238E27FC236}">
              <a16:creationId xmlns:a16="http://schemas.microsoft.com/office/drawing/2014/main" id="{00000000-0008-0000-0300-000060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xdr:colOff>
      <xdr:row>50</xdr:row>
      <xdr:rowOff>95250</xdr:rowOff>
    </xdr:from>
    <xdr:to>
      <xdr:col>12</xdr:col>
      <xdr:colOff>38100</xdr:colOff>
      <xdr:row>67</xdr:row>
      <xdr:rowOff>66675</xdr:rowOff>
    </xdr:to>
    <xdr:graphicFrame macro="">
      <xdr:nvGraphicFramePr>
        <xdr:cNvPr id="5794913" name="Gráfico 26">
          <a:extLst>
            <a:ext uri="{FF2B5EF4-FFF2-40B4-BE49-F238E27FC236}">
              <a16:creationId xmlns:a16="http://schemas.microsoft.com/office/drawing/2014/main" id="{00000000-0008-0000-0300-000061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50</xdr:row>
      <xdr:rowOff>85725</xdr:rowOff>
    </xdr:from>
    <xdr:to>
      <xdr:col>6</xdr:col>
      <xdr:colOff>0</xdr:colOff>
      <xdr:row>67</xdr:row>
      <xdr:rowOff>85725</xdr:rowOff>
    </xdr:to>
    <xdr:graphicFrame macro="">
      <xdr:nvGraphicFramePr>
        <xdr:cNvPr id="5794914" name="Gráfico 28">
          <a:extLst>
            <a:ext uri="{FF2B5EF4-FFF2-40B4-BE49-F238E27FC236}">
              <a16:creationId xmlns:a16="http://schemas.microsoft.com/office/drawing/2014/main" id="{00000000-0008-0000-0300-000062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9525</xdr:colOff>
      <xdr:row>154</xdr:row>
      <xdr:rowOff>76200</xdr:rowOff>
    </xdr:from>
    <xdr:to>
      <xdr:col>6</xdr:col>
      <xdr:colOff>9525</xdr:colOff>
      <xdr:row>173</xdr:row>
      <xdr:rowOff>95250</xdr:rowOff>
    </xdr:to>
    <xdr:graphicFrame macro="">
      <xdr:nvGraphicFramePr>
        <xdr:cNvPr id="5794915" name="Gráfico 30">
          <a:extLst>
            <a:ext uri="{FF2B5EF4-FFF2-40B4-BE49-F238E27FC236}">
              <a16:creationId xmlns:a16="http://schemas.microsoft.com/office/drawing/2014/main" i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0</xdr:row>
      <xdr:rowOff>0</xdr:rowOff>
    </xdr:from>
    <xdr:to>
      <xdr:col>6</xdr:col>
      <xdr:colOff>0</xdr:colOff>
      <xdr:row>16</xdr:row>
      <xdr:rowOff>142875</xdr:rowOff>
    </xdr:to>
    <xdr:graphicFrame macro="">
      <xdr:nvGraphicFramePr>
        <xdr:cNvPr id="5794916" name="Gráfico 18">
          <a:extLst>
            <a:ext uri="{FF2B5EF4-FFF2-40B4-BE49-F238E27FC236}">
              <a16:creationId xmlns:a16="http://schemas.microsoft.com/office/drawing/2014/main" id="{00000000-0008-0000-0300-0000646C5800}"/>
            </a:ext>
            <a:ext uri="{147F2762-F138-4A5C-976F-8EAC2B608ADB}">
              <a16:predDERef xmlns:a16="http://schemas.microsoft.com/office/drawing/2014/main" pre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0</xdr:row>
      <xdr:rowOff>0</xdr:rowOff>
    </xdr:from>
    <xdr:to>
      <xdr:col>12</xdr:col>
      <xdr:colOff>9525</xdr:colOff>
      <xdr:row>17</xdr:row>
      <xdr:rowOff>38100</xdr:rowOff>
    </xdr:to>
    <xdr:graphicFrame macro="">
      <xdr:nvGraphicFramePr>
        <xdr:cNvPr id="5794917" name="Gráfico 20">
          <a:extLst>
            <a:ext uri="{FF2B5EF4-FFF2-40B4-BE49-F238E27FC236}">
              <a16:creationId xmlns:a16="http://schemas.microsoft.com/office/drawing/2014/main" id="{00000000-0008-0000-0300-0000656C5800}"/>
            </a:ext>
            <a:ext uri="{147F2762-F138-4A5C-976F-8EAC2B608ADB}">
              <a16:predDERef xmlns:a16="http://schemas.microsoft.com/office/drawing/2014/main" pred="{00000000-0008-0000-0300-000064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38100</xdr:colOff>
      <xdr:row>17</xdr:row>
      <xdr:rowOff>76200</xdr:rowOff>
    </xdr:from>
    <xdr:to>
      <xdr:col>12</xdr:col>
      <xdr:colOff>38100</xdr:colOff>
      <xdr:row>34</xdr:row>
      <xdr:rowOff>57150</xdr:rowOff>
    </xdr:to>
    <xdr:graphicFrame macro="">
      <xdr:nvGraphicFramePr>
        <xdr:cNvPr id="5794918" name="Gráfico 16">
          <a:extLst>
            <a:ext uri="{FF2B5EF4-FFF2-40B4-BE49-F238E27FC236}">
              <a16:creationId xmlns:a16="http://schemas.microsoft.com/office/drawing/2014/main" id="{00000000-0008-0000-0300-0000666C5800}"/>
            </a:ext>
            <a:ext uri="{147F2762-F138-4A5C-976F-8EAC2B608ADB}">
              <a16:predDERef xmlns:a16="http://schemas.microsoft.com/office/drawing/2014/main" pred="{00000000-0008-0000-0300-000065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68</xdr:row>
      <xdr:rowOff>0</xdr:rowOff>
    </xdr:from>
    <xdr:to>
      <xdr:col>6</xdr:col>
      <xdr:colOff>0</xdr:colOff>
      <xdr:row>83</xdr:row>
      <xdr:rowOff>114300</xdr:rowOff>
    </xdr:to>
    <xdr:graphicFrame macro="">
      <xdr:nvGraphicFramePr>
        <xdr:cNvPr id="5794919" name="Gráfico 22">
          <a:extLst>
            <a:ext uri="{FF2B5EF4-FFF2-40B4-BE49-F238E27FC236}">
              <a16:creationId xmlns:a16="http://schemas.microsoft.com/office/drawing/2014/main" id="{00000000-0008-0000-0300-000067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0</xdr:colOff>
      <xdr:row>68</xdr:row>
      <xdr:rowOff>0</xdr:rowOff>
    </xdr:from>
    <xdr:to>
      <xdr:col>12</xdr:col>
      <xdr:colOff>0</xdr:colOff>
      <xdr:row>83</xdr:row>
      <xdr:rowOff>114300</xdr:rowOff>
    </xdr:to>
    <xdr:graphicFrame macro="">
      <xdr:nvGraphicFramePr>
        <xdr:cNvPr id="5794920" name="Gráfico 22">
          <a:extLst>
            <a:ext uri="{FF2B5EF4-FFF2-40B4-BE49-F238E27FC236}">
              <a16:creationId xmlns:a16="http://schemas.microsoft.com/office/drawing/2014/main" id="{00000000-0008-0000-0300-000068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84</xdr:row>
      <xdr:rowOff>0</xdr:rowOff>
    </xdr:from>
    <xdr:to>
      <xdr:col>6</xdr:col>
      <xdr:colOff>0</xdr:colOff>
      <xdr:row>101</xdr:row>
      <xdr:rowOff>0</xdr:rowOff>
    </xdr:to>
    <xdr:graphicFrame macro="">
      <xdr:nvGraphicFramePr>
        <xdr:cNvPr id="5794921" name="Gráfico 28">
          <a:extLst>
            <a:ext uri="{FF2B5EF4-FFF2-40B4-BE49-F238E27FC236}">
              <a16:creationId xmlns:a16="http://schemas.microsoft.com/office/drawing/2014/main" i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361950</xdr:colOff>
      <xdr:row>84</xdr:row>
      <xdr:rowOff>66675</xdr:rowOff>
    </xdr:from>
    <xdr:to>
      <xdr:col>12</xdr:col>
      <xdr:colOff>361950</xdr:colOff>
      <xdr:row>101</xdr:row>
      <xdr:rowOff>76200</xdr:rowOff>
    </xdr:to>
    <xdr:graphicFrame macro="">
      <xdr:nvGraphicFramePr>
        <xdr:cNvPr id="5794922" name="Gráfico 22">
          <a:extLst>
            <a:ext uri="{FF2B5EF4-FFF2-40B4-BE49-F238E27FC236}">
              <a16:creationId xmlns:a16="http://schemas.microsoft.com/office/drawing/2014/main" id="{00000000-0008-0000-0300-00006A6C5800}"/>
            </a:ext>
            <a:ext uri="{147F2762-F138-4A5C-976F-8EAC2B608ADB}">
              <a16:predDERef xmlns:a16="http://schemas.microsoft.com/office/drawing/2014/main" pre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209550</xdr:colOff>
      <xdr:row>0</xdr:row>
      <xdr:rowOff>104775</xdr:rowOff>
    </xdr:from>
    <xdr:to>
      <xdr:col>11</xdr:col>
      <xdr:colOff>209550</xdr:colOff>
      <xdr:row>14</xdr:row>
      <xdr:rowOff>180975</xdr:rowOff>
    </xdr:to>
    <xdr:graphicFrame macro="">
      <xdr:nvGraphicFramePr>
        <xdr:cNvPr id="3960668" name="1 Gráfico">
          <a:extLst>
            <a:ext uri="{FF2B5EF4-FFF2-40B4-BE49-F238E27FC236}">
              <a16:creationId xmlns:a16="http://schemas.microsoft.com/office/drawing/2014/main" id="{00000000-0008-0000-0400-00005C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209550</xdr:colOff>
      <xdr:row>15</xdr:row>
      <xdr:rowOff>9525</xdr:rowOff>
    </xdr:from>
    <xdr:to>
      <xdr:col>11</xdr:col>
      <xdr:colOff>209550</xdr:colOff>
      <xdr:row>29</xdr:row>
      <xdr:rowOff>85725</xdr:rowOff>
    </xdr:to>
    <xdr:graphicFrame macro="">
      <xdr:nvGraphicFramePr>
        <xdr:cNvPr id="3960669" name="5 Gráfico">
          <a:extLst>
            <a:ext uri="{FF2B5EF4-FFF2-40B4-BE49-F238E27FC236}">
              <a16:creationId xmlns:a16="http://schemas.microsoft.com/office/drawing/2014/main" id="{00000000-0008-0000-0400-00005D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209550</xdr:colOff>
      <xdr:row>29</xdr:row>
      <xdr:rowOff>142875</xdr:rowOff>
    </xdr:from>
    <xdr:to>
      <xdr:col>11</xdr:col>
      <xdr:colOff>219075</xdr:colOff>
      <xdr:row>40</xdr:row>
      <xdr:rowOff>200025</xdr:rowOff>
    </xdr:to>
    <xdr:graphicFrame macro="">
      <xdr:nvGraphicFramePr>
        <xdr:cNvPr id="3960670" name="6 Gráfico">
          <a:extLst>
            <a:ext uri="{FF2B5EF4-FFF2-40B4-BE49-F238E27FC236}">
              <a16:creationId xmlns:a16="http://schemas.microsoft.com/office/drawing/2014/main" id="{00000000-0008-0000-0400-00005E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209550</xdr:colOff>
      <xdr:row>41</xdr:row>
      <xdr:rowOff>66675</xdr:rowOff>
    </xdr:from>
    <xdr:to>
      <xdr:col>11</xdr:col>
      <xdr:colOff>180975</xdr:colOff>
      <xdr:row>55</xdr:row>
      <xdr:rowOff>123825</xdr:rowOff>
    </xdr:to>
    <xdr:graphicFrame macro="">
      <xdr:nvGraphicFramePr>
        <xdr:cNvPr id="3960671" name="6 Gráfico">
          <a:extLst>
            <a:ext uri="{FF2B5EF4-FFF2-40B4-BE49-F238E27FC236}">
              <a16:creationId xmlns:a16="http://schemas.microsoft.com/office/drawing/2014/main" id="{00000000-0008-0000-0400-00005F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55</xdr:row>
      <xdr:rowOff>161925</xdr:rowOff>
    </xdr:from>
    <xdr:to>
      <xdr:col>11</xdr:col>
      <xdr:colOff>190500</xdr:colOff>
      <xdr:row>69</xdr:row>
      <xdr:rowOff>76200</xdr:rowOff>
    </xdr:to>
    <xdr:graphicFrame macro="">
      <xdr:nvGraphicFramePr>
        <xdr:cNvPr id="3960672" name="6 Gráfico">
          <a:extLst>
            <a:ext uri="{FF2B5EF4-FFF2-40B4-BE49-F238E27FC236}">
              <a16:creationId xmlns:a16="http://schemas.microsoft.com/office/drawing/2014/main" id="{00000000-0008-0000-0400-000060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171450</xdr:colOff>
      <xdr:row>69</xdr:row>
      <xdr:rowOff>142875</xdr:rowOff>
    </xdr:from>
    <xdr:to>
      <xdr:col>11</xdr:col>
      <xdr:colOff>190500</xdr:colOff>
      <xdr:row>82</xdr:row>
      <xdr:rowOff>47625</xdr:rowOff>
    </xdr:to>
    <xdr:graphicFrame macro="">
      <xdr:nvGraphicFramePr>
        <xdr:cNvPr id="3960673" name="6 Gráfico">
          <a:extLst>
            <a:ext uri="{FF2B5EF4-FFF2-40B4-BE49-F238E27FC236}">
              <a16:creationId xmlns:a16="http://schemas.microsoft.com/office/drawing/2014/main" id="{00000000-0008-0000-0400-000061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171450</xdr:colOff>
      <xdr:row>82</xdr:row>
      <xdr:rowOff>85725</xdr:rowOff>
    </xdr:from>
    <xdr:to>
      <xdr:col>12</xdr:col>
      <xdr:colOff>447675</xdr:colOff>
      <xdr:row>99</xdr:row>
      <xdr:rowOff>85725</xdr:rowOff>
    </xdr:to>
    <xdr:graphicFrame macro="">
      <xdr:nvGraphicFramePr>
        <xdr:cNvPr id="3960674" name="7 Gráfico">
          <a:extLst>
            <a:ext uri="{FF2B5EF4-FFF2-40B4-BE49-F238E27FC236}">
              <a16:creationId xmlns:a16="http://schemas.microsoft.com/office/drawing/2014/main" id="{00000000-0008-0000-0400-000062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695325</xdr:colOff>
      <xdr:row>116</xdr:row>
      <xdr:rowOff>66675</xdr:rowOff>
    </xdr:from>
    <xdr:to>
      <xdr:col>11</xdr:col>
      <xdr:colOff>695325</xdr:colOff>
      <xdr:row>131</xdr:row>
      <xdr:rowOff>171450</xdr:rowOff>
    </xdr:to>
    <xdr:graphicFrame macro="">
      <xdr:nvGraphicFramePr>
        <xdr:cNvPr id="3960675" name="6 Gráfico">
          <a:extLst>
            <a:ext uri="{FF2B5EF4-FFF2-40B4-BE49-F238E27FC236}">
              <a16:creationId xmlns:a16="http://schemas.microsoft.com/office/drawing/2014/main" id="{00000000-0008-0000-0400-000063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628650</xdr:colOff>
      <xdr:row>99</xdr:row>
      <xdr:rowOff>171450</xdr:rowOff>
    </xdr:from>
    <xdr:to>
      <xdr:col>12</xdr:col>
      <xdr:colOff>133350</xdr:colOff>
      <xdr:row>115</xdr:row>
      <xdr:rowOff>171450</xdr:rowOff>
    </xdr:to>
    <xdr:graphicFrame macro="">
      <xdr:nvGraphicFramePr>
        <xdr:cNvPr id="3960676" name="6 Gráfico">
          <a:extLst>
            <a:ext uri="{FF2B5EF4-FFF2-40B4-BE49-F238E27FC236}">
              <a16:creationId xmlns:a16="http://schemas.microsoft.com/office/drawing/2014/main" id="{00000000-0008-0000-0400-000064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676275</xdr:colOff>
      <xdr:row>133</xdr:row>
      <xdr:rowOff>38100</xdr:rowOff>
    </xdr:from>
    <xdr:to>
      <xdr:col>11</xdr:col>
      <xdr:colOff>676275</xdr:colOff>
      <xdr:row>148</xdr:row>
      <xdr:rowOff>152400</xdr:rowOff>
    </xdr:to>
    <xdr:graphicFrame macro="">
      <xdr:nvGraphicFramePr>
        <xdr:cNvPr id="3960677" name="6 Gráfico">
          <a:extLst>
            <a:ext uri="{FF2B5EF4-FFF2-40B4-BE49-F238E27FC236}">
              <a16:creationId xmlns:a16="http://schemas.microsoft.com/office/drawing/2014/main" id="{00000000-0008-0000-0400-000065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gsicennas\PL_PAICO\Informacion_prevencion\2015\Consolidado%20de%20Accidentes\Consolidado%20Accidentes%20y%20Emergencias_2015%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gsicennas\PL_PAICO\Users\cjimenez\AppData\Roaming\Microsoft\Excel\Base%20de%20Datos%202018%20Accidentes%20STP%20y%20CTP%20Arizt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do Accidentes"/>
      <sheetName val="Consolidado Emergencias."/>
      <sheetName val="Dias Perdidos"/>
      <sheetName val="ACC.CTP"/>
      <sheetName val="Arratres"/>
      <sheetName val="Instructivo"/>
      <sheetName val="Maestro"/>
      <sheetName val="Hoja5"/>
      <sheetName val="Hoja6"/>
      <sheetName val="Hoja1"/>
      <sheetName val="Datos Total"/>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 total"/>
      <sheetName val="Datos Total"/>
      <sheetName val="Gráficos"/>
    </sheetNames>
    <sheetDataSet>
      <sheetData sheetId="0"/>
      <sheetData sheetId="1">
        <row r="10">
          <cell r="B10" t="str">
            <v>Operador Recibio y Almacenamiento</v>
          </cell>
        </row>
        <row r="11">
          <cell r="B11" t="str">
            <v>Administrativo</v>
          </cell>
        </row>
        <row r="12">
          <cell r="B12" t="str">
            <v>Ayudante Refineria Fisica</v>
          </cell>
        </row>
        <row r="13">
          <cell r="B13" t="str">
            <v>Ayudante de Cocina</v>
          </cell>
        </row>
        <row r="14">
          <cell r="B14" t="str">
            <v>Ayudante Refineria Quimica</v>
          </cell>
        </row>
        <row r="15">
          <cell r="B15" t="str">
            <v>electrico</v>
          </cell>
        </row>
        <row r="16">
          <cell r="B16" t="str">
            <v>Formulador</v>
          </cell>
        </row>
        <row r="35">
          <cell r="G35" t="str">
            <v>Piso</v>
          </cell>
        </row>
        <row r="36">
          <cell r="G36" t="str">
            <v>Agua Caliente</v>
          </cell>
        </row>
        <row r="37">
          <cell r="G37" t="str">
            <v>Maquina o Equipo</v>
          </cell>
        </row>
        <row r="38">
          <cell r="G38" t="str">
            <v>Quimicos Aseo</v>
          </cell>
        </row>
        <row r="39">
          <cell r="G39" t="str">
            <v>Insumos</v>
          </cell>
        </row>
        <row r="40">
          <cell r="G40" t="str">
            <v>Superficie de Trabajo</v>
          </cell>
        </row>
        <row r="41">
          <cell r="G41" t="str">
            <v>Estructura</v>
          </cell>
        </row>
        <row r="42">
          <cell r="G42" t="str">
            <v>Otro</v>
          </cell>
        </row>
        <row r="56">
          <cell r="L56" t="str">
            <v>Atencion</v>
          </cell>
        </row>
        <row r="57">
          <cell r="L57" t="str">
            <v>Trabajo</v>
          </cell>
          <cell r="N57" t="e">
            <v>#DIV/0!</v>
          </cell>
        </row>
        <row r="58">
          <cell r="L58" t="str">
            <v>Enfermedad Profesional</v>
          </cell>
          <cell r="N58" t="e">
            <v>#DIV/0!</v>
          </cell>
        </row>
        <row r="59">
          <cell r="B59" t="str">
            <v>Lunes</v>
          </cell>
        </row>
        <row r="60">
          <cell r="B60" t="str">
            <v>Jueves</v>
          </cell>
        </row>
        <row r="61">
          <cell r="B61" t="str">
            <v>Viernes</v>
          </cell>
        </row>
        <row r="62">
          <cell r="B62" t="str">
            <v>Sabado</v>
          </cell>
        </row>
        <row r="63">
          <cell r="B63" t="str">
            <v>Miercoles</v>
          </cell>
        </row>
        <row r="64">
          <cell r="B64" t="str">
            <v>Martes</v>
          </cell>
        </row>
        <row r="65">
          <cell r="B65" t="str">
            <v>Domingo</v>
          </cell>
        </row>
      </sheetData>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478"/>
  <sheetViews>
    <sheetView showGridLines="0" tabSelected="1" zoomScale="80" zoomScaleNormal="80" zoomScaleSheetLayoutView="89" workbookViewId="0">
      <pane ySplit="6" topLeftCell="A27" activePane="bottomLeft" state="frozen"/>
      <selection pane="bottomLeft" activeCell="B27" sqref="B27:B50"/>
    </sheetView>
  </sheetViews>
  <sheetFormatPr baseColWidth="10" defaultColWidth="11.42578125" defaultRowHeight="15" x14ac:dyDescent="0.25"/>
  <cols>
    <col min="1" max="1" width="11" style="6" bestFit="1" customWidth="1"/>
    <col min="2" max="2" width="12.7109375" style="6" bestFit="1" customWidth="1"/>
    <col min="3" max="3" width="14.28515625" style="6" bestFit="1" customWidth="1"/>
    <col min="4" max="4" width="23.42578125" style="6" bestFit="1" customWidth="1"/>
    <col min="5" max="5" width="21.7109375" style="6" bestFit="1" customWidth="1"/>
    <col min="6" max="6" width="20.85546875" style="6" bestFit="1" customWidth="1"/>
    <col min="7" max="7" width="13.140625" style="6" bestFit="1" customWidth="1"/>
    <col min="8" max="8" width="17.140625" style="6" bestFit="1" customWidth="1"/>
    <col min="9" max="9" width="14.5703125" style="6" bestFit="1" customWidth="1"/>
    <col min="10" max="10" width="17.140625" style="67" bestFit="1" customWidth="1"/>
    <col min="11" max="11" width="18.7109375" style="67" bestFit="1" customWidth="1"/>
    <col min="12" max="12" width="21.5703125" style="6" bestFit="1" customWidth="1"/>
    <col min="13" max="13" width="13" style="6" bestFit="1" customWidth="1"/>
    <col min="14" max="14" width="17.28515625" style="6" bestFit="1" customWidth="1"/>
    <col min="15" max="15" width="12.28515625" style="6" bestFit="1" customWidth="1"/>
    <col min="16" max="16" width="30" style="6" bestFit="1" customWidth="1"/>
    <col min="17" max="17" width="16.5703125" style="6" bestFit="1" customWidth="1"/>
    <col min="18" max="18" width="19.42578125" style="36" bestFit="1" customWidth="1"/>
    <col min="19" max="19" width="19.5703125" style="6" bestFit="1" customWidth="1"/>
    <col min="20" max="20" width="26.7109375" style="6" bestFit="1" customWidth="1"/>
    <col min="21" max="21" width="37.42578125" style="6" bestFit="1" customWidth="1"/>
    <col min="22" max="22" width="36.28515625" style="6" bestFit="1" customWidth="1"/>
    <col min="23" max="23" width="62.7109375" style="6" bestFit="1" customWidth="1"/>
    <col min="24" max="24" width="13.140625" style="6" bestFit="1" customWidth="1"/>
    <col min="25" max="25" width="12.28515625" style="6" bestFit="1" customWidth="1"/>
    <col min="26" max="26" width="10.85546875" style="6" bestFit="1" customWidth="1"/>
    <col min="27" max="27" width="14.85546875" style="6" bestFit="1" customWidth="1"/>
    <col min="28" max="28" width="14.42578125" style="36" bestFit="1" customWidth="1"/>
    <col min="29" max="29" width="9.42578125" style="80" customWidth="1"/>
    <col min="30" max="30" width="21.42578125" style="6" bestFit="1" customWidth="1"/>
    <col min="31" max="31" width="24.28515625" style="6" bestFit="1" customWidth="1"/>
    <col min="32" max="32" width="12" style="6" bestFit="1" customWidth="1"/>
    <col min="33" max="33" width="29.42578125" style="6" bestFit="1" customWidth="1"/>
    <col min="34" max="34" width="17" style="6" bestFit="1" customWidth="1"/>
    <col min="35" max="35" width="19.42578125" style="6" bestFit="1" customWidth="1"/>
    <col min="36" max="36" width="37.42578125" style="6" bestFit="1" customWidth="1"/>
    <col min="37" max="37" width="218.5703125" style="88" bestFit="1" customWidth="1"/>
    <col min="38" max="38" width="16.7109375" style="36" bestFit="1" customWidth="1"/>
    <col min="39" max="39" width="16" style="36" bestFit="1" customWidth="1"/>
    <col min="40" max="40" width="18" style="36" bestFit="1" customWidth="1"/>
  </cols>
  <sheetData>
    <row r="1" spans="1:40" x14ac:dyDescent="0.25">
      <c r="E1" s="255" t="s">
        <v>0</v>
      </c>
      <c r="F1" s="255"/>
      <c r="G1" s="255"/>
      <c r="H1" s="255"/>
      <c r="I1" s="255"/>
      <c r="J1" s="256"/>
      <c r="K1" s="256"/>
      <c r="L1" s="255"/>
      <c r="M1" s="255"/>
      <c r="N1" s="255"/>
      <c r="O1" s="257"/>
    </row>
    <row r="2" spans="1:40" x14ac:dyDescent="0.25">
      <c r="E2" s="38"/>
      <c r="F2" s="35"/>
      <c r="J2" s="6"/>
      <c r="K2" s="6"/>
      <c r="AB2"/>
      <c r="AC2" s="81"/>
      <c r="AK2" s="76"/>
    </row>
    <row r="3" spans="1:40" x14ac:dyDescent="0.25">
      <c r="E3" s="36"/>
      <c r="F3" s="36"/>
      <c r="J3" s="6"/>
      <c r="K3" s="6"/>
      <c r="AB3"/>
      <c r="AC3" s="81"/>
      <c r="AK3" s="37"/>
    </row>
    <row r="4" spans="1:40" x14ac:dyDescent="0.25">
      <c r="E4" s="36"/>
      <c r="F4" s="36"/>
      <c r="J4" s="6"/>
      <c r="K4" s="6"/>
      <c r="AB4"/>
      <c r="AC4" s="81"/>
      <c r="AG4" s="37"/>
      <c r="AK4" s="76"/>
    </row>
    <row r="5" spans="1:40" x14ac:dyDescent="0.25">
      <c r="E5" s="36"/>
      <c r="F5" s="36"/>
      <c r="J5" s="6"/>
      <c r="K5" s="6"/>
      <c r="AB5"/>
      <c r="AC5" s="81"/>
      <c r="AK5" s="76"/>
    </row>
    <row r="6" spans="1:40" s="7" customFormat="1" ht="26.25" customHeight="1" x14ac:dyDescent="0.25">
      <c r="A6" s="26" t="s">
        <v>1</v>
      </c>
      <c r="B6" s="26" t="s">
        <v>2</v>
      </c>
      <c r="C6" s="26" t="s">
        <v>3</v>
      </c>
      <c r="D6" s="26" t="s">
        <v>4</v>
      </c>
      <c r="E6" s="26" t="s">
        <v>5</v>
      </c>
      <c r="F6" s="26" t="s">
        <v>6</v>
      </c>
      <c r="G6" s="26" t="s">
        <v>7</v>
      </c>
      <c r="H6" s="26" t="s">
        <v>8</v>
      </c>
      <c r="I6" s="27" t="s">
        <v>9</v>
      </c>
      <c r="J6" s="26" t="s">
        <v>10</v>
      </c>
      <c r="K6" s="27" t="s">
        <v>11</v>
      </c>
      <c r="L6" s="26" t="s">
        <v>12</v>
      </c>
      <c r="M6" s="26" t="s">
        <v>13</v>
      </c>
      <c r="N6" s="26" t="s">
        <v>14</v>
      </c>
      <c r="O6" s="26" t="s">
        <v>15</v>
      </c>
      <c r="P6" s="26" t="s">
        <v>16</v>
      </c>
      <c r="Q6" s="250" t="s">
        <v>17</v>
      </c>
      <c r="R6" s="26" t="s">
        <v>18</v>
      </c>
      <c r="S6" s="26" t="s">
        <v>19</v>
      </c>
      <c r="T6" s="26" t="s">
        <v>20</v>
      </c>
      <c r="U6" s="26" t="s">
        <v>21</v>
      </c>
      <c r="V6" s="26" t="s">
        <v>22</v>
      </c>
      <c r="W6" s="26" t="s">
        <v>23</v>
      </c>
      <c r="X6" s="26" t="s">
        <v>24</v>
      </c>
      <c r="Y6" s="26" t="s">
        <v>25</v>
      </c>
      <c r="Z6" s="26" t="s">
        <v>26</v>
      </c>
      <c r="AA6" s="26" t="s">
        <v>27</v>
      </c>
      <c r="AB6" s="27" t="s">
        <v>28</v>
      </c>
      <c r="AC6" s="84" t="s">
        <v>29</v>
      </c>
      <c r="AD6" s="26" t="s">
        <v>30</v>
      </c>
      <c r="AE6" s="26" t="s">
        <v>31</v>
      </c>
      <c r="AF6" s="26" t="s">
        <v>32</v>
      </c>
      <c r="AG6" s="26" t="s">
        <v>33</v>
      </c>
      <c r="AH6" s="26" t="s">
        <v>34</v>
      </c>
      <c r="AI6" s="26" t="s">
        <v>35</v>
      </c>
      <c r="AJ6" s="26" t="s">
        <v>36</v>
      </c>
      <c r="AK6" s="89" t="s">
        <v>37</v>
      </c>
      <c r="AL6" s="26" t="s">
        <v>38</v>
      </c>
      <c r="AM6" s="26" t="s">
        <v>39</v>
      </c>
      <c r="AN6" s="77" t="s">
        <v>40</v>
      </c>
    </row>
    <row r="7" spans="1:40" s="66" customFormat="1" ht="30" x14ac:dyDescent="0.25">
      <c r="A7" s="64">
        <v>2021</v>
      </c>
      <c r="B7" s="64" t="s">
        <v>41</v>
      </c>
      <c r="C7" s="64" t="s">
        <v>42</v>
      </c>
      <c r="D7" s="64" t="s">
        <v>43</v>
      </c>
      <c r="E7" s="64" t="s">
        <v>44</v>
      </c>
      <c r="F7" s="64" t="s">
        <v>45</v>
      </c>
      <c r="G7" s="64" t="s">
        <v>46</v>
      </c>
      <c r="H7" s="78">
        <v>41641</v>
      </c>
      <c r="I7" s="64">
        <f>DATEDIF(H7,J7,"m")</f>
        <v>84</v>
      </c>
      <c r="J7" s="78">
        <v>44200</v>
      </c>
      <c r="K7" s="64" t="str">
        <f>IF(I7&lt;=18,"NUEVO",IF(I7&lt;=36,"INTERMEDIO","ANTIGUO"))</f>
        <v>ANTIGUO</v>
      </c>
      <c r="L7" s="64"/>
      <c r="M7" s="64"/>
      <c r="N7" s="64"/>
      <c r="O7" s="64">
        <v>0</v>
      </c>
      <c r="P7" s="64" t="s">
        <v>47</v>
      </c>
      <c r="Q7" s="64"/>
      <c r="R7" s="65"/>
      <c r="S7" s="64" t="s">
        <v>48</v>
      </c>
      <c r="T7" s="64" t="s">
        <v>49</v>
      </c>
      <c r="U7" s="64" t="s">
        <v>50</v>
      </c>
      <c r="V7" s="64" t="s">
        <v>49</v>
      </c>
      <c r="W7" s="64" t="s">
        <v>51</v>
      </c>
      <c r="X7" s="64" t="s">
        <v>52</v>
      </c>
      <c r="Y7" s="79">
        <v>0.28125</v>
      </c>
      <c r="Z7" s="64" t="s">
        <v>53</v>
      </c>
      <c r="AA7" s="64" t="s">
        <v>54</v>
      </c>
      <c r="AB7" s="65"/>
      <c r="AC7" s="82"/>
      <c r="AD7" s="64" t="s">
        <v>55</v>
      </c>
      <c r="AE7" s="64" t="s">
        <v>56</v>
      </c>
      <c r="AF7" s="64">
        <v>34</v>
      </c>
      <c r="AG7" s="64" t="s">
        <v>57</v>
      </c>
      <c r="AH7" s="64" t="s">
        <v>58</v>
      </c>
      <c r="AI7" s="64" t="s">
        <v>59</v>
      </c>
      <c r="AJ7" s="64" t="s">
        <v>60</v>
      </c>
      <c r="AK7" s="68" t="s">
        <v>61</v>
      </c>
      <c r="AL7" s="65" t="s">
        <v>62</v>
      </c>
      <c r="AM7" s="65" t="s">
        <v>63</v>
      </c>
      <c r="AN7" s="65" t="s">
        <v>64</v>
      </c>
    </row>
    <row r="8" spans="1:40" s="66" customFormat="1" x14ac:dyDescent="0.25">
      <c r="A8" s="64">
        <v>2021</v>
      </c>
      <c r="B8" s="64" t="s">
        <v>41</v>
      </c>
      <c r="C8" s="64" t="s">
        <v>42</v>
      </c>
      <c r="D8" s="64" t="s">
        <v>65</v>
      </c>
      <c r="E8" s="64" t="s">
        <v>66</v>
      </c>
      <c r="F8" s="64" t="s">
        <v>45</v>
      </c>
      <c r="G8" s="64" t="s">
        <v>67</v>
      </c>
      <c r="H8" s="78">
        <v>43836</v>
      </c>
      <c r="I8" s="64">
        <f>DATEDIF(H8,J8,"m")</f>
        <v>11</v>
      </c>
      <c r="J8" s="78">
        <v>44201</v>
      </c>
      <c r="K8" s="64" t="str">
        <f>IF(I8&lt;=18,"NUEVO",IF(I8&lt;=36,"INTERMEDIO","ANTIGUO"))</f>
        <v>NUEVO</v>
      </c>
      <c r="L8" s="78">
        <v>44201</v>
      </c>
      <c r="M8" s="78">
        <v>44203</v>
      </c>
      <c r="N8" s="64"/>
      <c r="O8" s="64">
        <v>6</v>
      </c>
      <c r="P8" s="64" t="s">
        <v>68</v>
      </c>
      <c r="Q8" s="64"/>
      <c r="R8" s="65"/>
      <c r="S8" s="64" t="s">
        <v>69</v>
      </c>
      <c r="T8" s="64" t="s">
        <v>70</v>
      </c>
      <c r="U8" s="64" t="s">
        <v>50</v>
      </c>
      <c r="V8" s="64" t="s">
        <v>70</v>
      </c>
      <c r="W8" s="64" t="s">
        <v>71</v>
      </c>
      <c r="X8" s="64" t="s">
        <v>52</v>
      </c>
      <c r="Y8" s="79">
        <v>0.35069444444444442</v>
      </c>
      <c r="Z8" s="64" t="s">
        <v>72</v>
      </c>
      <c r="AA8" s="64" t="s">
        <v>54</v>
      </c>
      <c r="AB8" s="87">
        <v>14229</v>
      </c>
      <c r="AC8" s="82" t="s">
        <v>73</v>
      </c>
      <c r="AD8" s="64" t="s">
        <v>74</v>
      </c>
      <c r="AE8" s="64" t="s">
        <v>75</v>
      </c>
      <c r="AF8" s="64">
        <v>39</v>
      </c>
      <c r="AG8" s="64" t="s">
        <v>76</v>
      </c>
      <c r="AH8" s="64" t="s">
        <v>77</v>
      </c>
      <c r="AI8" s="64" t="s">
        <v>59</v>
      </c>
      <c r="AJ8" s="64" t="s">
        <v>78</v>
      </c>
      <c r="AK8" s="68" t="s">
        <v>79</v>
      </c>
      <c r="AL8" s="65" t="s">
        <v>62</v>
      </c>
      <c r="AM8" s="65" t="s">
        <v>63</v>
      </c>
      <c r="AN8" s="65" t="s">
        <v>63</v>
      </c>
    </row>
    <row r="9" spans="1:40" s="66" customFormat="1" x14ac:dyDescent="0.25">
      <c r="A9" s="64">
        <v>2021</v>
      </c>
      <c r="B9" s="64" t="s">
        <v>41</v>
      </c>
      <c r="C9" s="64" t="s">
        <v>42</v>
      </c>
      <c r="D9" s="64" t="s">
        <v>80</v>
      </c>
      <c r="E9" s="253" t="s">
        <v>81</v>
      </c>
      <c r="F9" s="64" t="s">
        <v>45</v>
      </c>
      <c r="G9" s="64" t="s">
        <v>82</v>
      </c>
      <c r="H9" s="78">
        <v>38930</v>
      </c>
      <c r="I9" s="64">
        <f t="shared" ref="I9:I38" si="0">DATEDIF(H9,J9,"m")</f>
        <v>173</v>
      </c>
      <c r="J9" s="78">
        <v>44202</v>
      </c>
      <c r="K9" s="64" t="str">
        <f t="shared" ref="K9:K51" si="1">IF(I9&lt;=18,"NUEVO",IF(I9&lt;=36,"INTERMEDIO","ANTIGUO"))</f>
        <v>ANTIGUO</v>
      </c>
      <c r="L9" s="78">
        <v>44203</v>
      </c>
      <c r="M9" s="78">
        <v>44203</v>
      </c>
      <c r="N9" s="64"/>
      <c r="O9" s="64">
        <v>0</v>
      </c>
      <c r="P9" s="64" t="s">
        <v>47</v>
      </c>
      <c r="Q9" s="64"/>
      <c r="R9" s="65"/>
      <c r="S9" s="64" t="s">
        <v>83</v>
      </c>
      <c r="T9" s="64" t="s">
        <v>84</v>
      </c>
      <c r="U9" s="64" t="s">
        <v>50</v>
      </c>
      <c r="V9" s="64" t="s">
        <v>85</v>
      </c>
      <c r="W9" s="64" t="s">
        <v>86</v>
      </c>
      <c r="X9" s="64" t="s">
        <v>87</v>
      </c>
      <c r="Y9" s="79">
        <v>0.8125</v>
      </c>
      <c r="Z9" s="64" t="s">
        <v>88</v>
      </c>
      <c r="AA9" s="64" t="s">
        <v>54</v>
      </c>
      <c r="AB9" s="87">
        <v>14245</v>
      </c>
      <c r="AC9" s="82" t="s">
        <v>89</v>
      </c>
      <c r="AD9" s="64" t="s">
        <v>90</v>
      </c>
      <c r="AE9" s="64" t="s">
        <v>91</v>
      </c>
      <c r="AF9" s="64">
        <v>41</v>
      </c>
      <c r="AG9" s="64" t="s">
        <v>92</v>
      </c>
      <c r="AH9" s="64" t="s">
        <v>93</v>
      </c>
      <c r="AI9" s="64" t="s">
        <v>94</v>
      </c>
      <c r="AJ9" s="64" t="s">
        <v>78</v>
      </c>
      <c r="AK9" s="68" t="s">
        <v>95</v>
      </c>
      <c r="AL9" s="65" t="s">
        <v>62</v>
      </c>
      <c r="AM9" s="65" t="s">
        <v>63</v>
      </c>
      <c r="AN9" s="65" t="s">
        <v>63</v>
      </c>
    </row>
    <row r="10" spans="1:40" s="66" customFormat="1" x14ac:dyDescent="0.25">
      <c r="A10" s="64">
        <v>2021</v>
      </c>
      <c r="B10" s="64" t="s">
        <v>41</v>
      </c>
      <c r="C10" s="64" t="s">
        <v>42</v>
      </c>
      <c r="D10" s="64" t="s">
        <v>96</v>
      </c>
      <c r="E10" s="64" t="s">
        <v>97</v>
      </c>
      <c r="F10" s="64" t="s">
        <v>45</v>
      </c>
      <c r="G10" s="64" t="s">
        <v>98</v>
      </c>
      <c r="H10" s="78">
        <v>44186</v>
      </c>
      <c r="I10" s="64">
        <f>DATEDIF(H10,J10,"m")</f>
        <v>0</v>
      </c>
      <c r="J10" s="78">
        <v>44203</v>
      </c>
      <c r="K10" s="64" t="str">
        <f t="shared" si="1"/>
        <v>NUEVO</v>
      </c>
      <c r="L10" s="64"/>
      <c r="M10" s="64"/>
      <c r="N10" s="64"/>
      <c r="O10" s="64">
        <v>0</v>
      </c>
      <c r="P10" s="64" t="s">
        <v>47</v>
      </c>
      <c r="Q10" s="64"/>
      <c r="R10" s="65"/>
      <c r="S10" s="64" t="s">
        <v>48</v>
      </c>
      <c r="T10" s="64" t="s">
        <v>99</v>
      </c>
      <c r="U10" s="64" t="s">
        <v>50</v>
      </c>
      <c r="V10" s="64" t="s">
        <v>99</v>
      </c>
      <c r="W10" s="64" t="s">
        <v>71</v>
      </c>
      <c r="X10" s="64" t="s">
        <v>52</v>
      </c>
      <c r="Y10" s="79">
        <v>0.4375</v>
      </c>
      <c r="Z10" s="64" t="s">
        <v>100</v>
      </c>
      <c r="AA10" s="64" t="s">
        <v>54</v>
      </c>
      <c r="AB10" s="65"/>
      <c r="AC10" s="82"/>
      <c r="AD10" s="64" t="s">
        <v>55</v>
      </c>
      <c r="AE10" s="64" t="s">
        <v>101</v>
      </c>
      <c r="AF10" s="64">
        <v>40</v>
      </c>
      <c r="AG10" s="64" t="s">
        <v>76</v>
      </c>
      <c r="AH10" s="64" t="s">
        <v>102</v>
      </c>
      <c r="AI10" s="64" t="s">
        <v>59</v>
      </c>
      <c r="AJ10" s="64" t="s">
        <v>60</v>
      </c>
      <c r="AK10" s="68" t="s">
        <v>1515</v>
      </c>
      <c r="AL10" s="65" t="s">
        <v>103</v>
      </c>
      <c r="AM10" s="65" t="s">
        <v>63</v>
      </c>
      <c r="AN10" s="65" t="s">
        <v>64</v>
      </c>
    </row>
    <row r="11" spans="1:40" s="66" customFormat="1" ht="60" x14ac:dyDescent="0.25">
      <c r="A11" s="64">
        <v>2021</v>
      </c>
      <c r="B11" s="64" t="s">
        <v>41</v>
      </c>
      <c r="C11" s="64" t="s">
        <v>42</v>
      </c>
      <c r="D11" s="64" t="s">
        <v>104</v>
      </c>
      <c r="E11" s="64" t="s">
        <v>105</v>
      </c>
      <c r="F11" s="64" t="s">
        <v>45</v>
      </c>
      <c r="G11" s="64" t="s">
        <v>106</v>
      </c>
      <c r="H11" s="78">
        <v>37695</v>
      </c>
      <c r="I11" s="64">
        <f t="shared" si="0"/>
        <v>213</v>
      </c>
      <c r="J11" s="78">
        <v>44204</v>
      </c>
      <c r="K11" s="64" t="str">
        <f t="shared" si="1"/>
        <v>ANTIGUO</v>
      </c>
      <c r="L11" s="64"/>
      <c r="M11" s="64"/>
      <c r="N11" s="64"/>
      <c r="O11" s="64">
        <v>0</v>
      </c>
      <c r="P11" s="64" t="s">
        <v>47</v>
      </c>
      <c r="Q11" s="64"/>
      <c r="R11" s="65"/>
      <c r="S11" s="64" t="s">
        <v>107</v>
      </c>
      <c r="T11" s="64" t="s">
        <v>108</v>
      </c>
      <c r="U11" s="64" t="s">
        <v>50</v>
      </c>
      <c r="V11" s="64" t="s">
        <v>108</v>
      </c>
      <c r="W11" s="64" t="s">
        <v>204</v>
      </c>
      <c r="X11" s="64" t="s">
        <v>109</v>
      </c>
      <c r="Y11" s="79">
        <v>0.18055555555555555</v>
      </c>
      <c r="Z11" s="64" t="s">
        <v>110</v>
      </c>
      <c r="AA11" s="64" t="s">
        <v>54</v>
      </c>
      <c r="AB11" s="65"/>
      <c r="AC11" s="82"/>
      <c r="AD11" s="64" t="s">
        <v>111</v>
      </c>
      <c r="AE11" s="64" t="s">
        <v>112</v>
      </c>
      <c r="AF11" s="64">
        <v>60</v>
      </c>
      <c r="AG11" s="64" t="s">
        <v>57</v>
      </c>
      <c r="AH11" s="64" t="s">
        <v>58</v>
      </c>
      <c r="AI11" s="64" t="s">
        <v>59</v>
      </c>
      <c r="AJ11" s="64" t="s">
        <v>78</v>
      </c>
      <c r="AK11" s="68" t="s">
        <v>113</v>
      </c>
      <c r="AL11" s="65" t="s">
        <v>62</v>
      </c>
      <c r="AM11" s="65" t="s">
        <v>63</v>
      </c>
      <c r="AN11" s="65" t="s">
        <v>64</v>
      </c>
    </row>
    <row r="12" spans="1:40" s="66" customFormat="1" x14ac:dyDescent="0.25">
      <c r="A12" s="64">
        <v>2021</v>
      </c>
      <c r="B12" s="64" t="s">
        <v>41</v>
      </c>
      <c r="C12" s="64" t="s">
        <v>42</v>
      </c>
      <c r="D12" s="64" t="s">
        <v>114</v>
      </c>
      <c r="E12" s="64" t="s">
        <v>115</v>
      </c>
      <c r="F12" s="64" t="s">
        <v>116</v>
      </c>
      <c r="G12" s="64" t="s">
        <v>117</v>
      </c>
      <c r="H12" s="78">
        <v>42702</v>
      </c>
      <c r="I12" s="64">
        <f t="shared" si="0"/>
        <v>49</v>
      </c>
      <c r="J12" s="78">
        <v>44210</v>
      </c>
      <c r="K12" s="64" t="str">
        <f t="shared" si="1"/>
        <v>ANTIGUO</v>
      </c>
      <c r="L12" s="64"/>
      <c r="M12" s="64"/>
      <c r="N12" s="64"/>
      <c r="O12" s="64">
        <v>0</v>
      </c>
      <c r="P12" s="64" t="s">
        <v>47</v>
      </c>
      <c r="Q12" s="64"/>
      <c r="R12" s="65"/>
      <c r="S12" s="64" t="s">
        <v>118</v>
      </c>
      <c r="T12" s="64" t="s">
        <v>119</v>
      </c>
      <c r="U12" s="64" t="s">
        <v>50</v>
      </c>
      <c r="V12" s="64" t="s">
        <v>119</v>
      </c>
      <c r="W12" s="64"/>
      <c r="X12" s="64" t="s">
        <v>87</v>
      </c>
      <c r="Y12" s="79">
        <v>0.71875</v>
      </c>
      <c r="Z12" s="64" t="s">
        <v>100</v>
      </c>
      <c r="AA12" s="64" t="s">
        <v>120</v>
      </c>
      <c r="AB12" s="65"/>
      <c r="AC12" s="82"/>
      <c r="AD12" s="64" t="s">
        <v>74</v>
      </c>
      <c r="AE12" s="64" t="s">
        <v>121</v>
      </c>
      <c r="AF12" s="64">
        <v>46</v>
      </c>
      <c r="AG12" s="64" t="s">
        <v>122</v>
      </c>
      <c r="AH12" s="64" t="s">
        <v>123</v>
      </c>
      <c r="AI12" s="64" t="s">
        <v>124</v>
      </c>
      <c r="AJ12" s="64" t="s">
        <v>125</v>
      </c>
      <c r="AK12" s="68" t="s">
        <v>126</v>
      </c>
      <c r="AL12" s="65" t="s">
        <v>103</v>
      </c>
      <c r="AM12" s="65" t="s">
        <v>63</v>
      </c>
      <c r="AN12" s="65" t="s">
        <v>64</v>
      </c>
    </row>
    <row r="13" spans="1:40" s="66" customFormat="1" ht="30" x14ac:dyDescent="0.25">
      <c r="A13" s="64">
        <v>2021</v>
      </c>
      <c r="B13" s="64" t="s">
        <v>41</v>
      </c>
      <c r="C13" s="64" t="s">
        <v>42</v>
      </c>
      <c r="D13" s="64" t="s">
        <v>127</v>
      </c>
      <c r="E13" s="64" t="s">
        <v>128</v>
      </c>
      <c r="F13" s="64" t="s">
        <v>116</v>
      </c>
      <c r="G13" s="64" t="s">
        <v>129</v>
      </c>
      <c r="H13" s="78">
        <v>41493</v>
      </c>
      <c r="I13" s="64">
        <f t="shared" si="0"/>
        <v>89</v>
      </c>
      <c r="J13" s="78">
        <v>44210</v>
      </c>
      <c r="K13" s="64" t="str">
        <f t="shared" si="1"/>
        <v>ANTIGUO</v>
      </c>
      <c r="L13" s="64"/>
      <c r="M13" s="64"/>
      <c r="N13" s="64"/>
      <c r="O13" s="64">
        <v>0</v>
      </c>
      <c r="P13" s="64" t="s">
        <v>47</v>
      </c>
      <c r="Q13" s="64"/>
      <c r="R13" s="65"/>
      <c r="S13" s="64" t="s">
        <v>118</v>
      </c>
      <c r="T13" s="64" t="s">
        <v>130</v>
      </c>
      <c r="U13" s="64" t="s">
        <v>50</v>
      </c>
      <c r="V13" s="64" t="s">
        <v>130</v>
      </c>
      <c r="W13" s="64" t="s">
        <v>71</v>
      </c>
      <c r="X13" s="64" t="s">
        <v>109</v>
      </c>
      <c r="Y13" s="79">
        <v>0.88888888888888884</v>
      </c>
      <c r="Z13" s="64" t="s">
        <v>100</v>
      </c>
      <c r="AA13" s="64" t="s">
        <v>120</v>
      </c>
      <c r="AB13" s="65"/>
      <c r="AC13" s="82"/>
      <c r="AD13" s="64" t="s">
        <v>74</v>
      </c>
      <c r="AE13" s="64" t="s">
        <v>131</v>
      </c>
      <c r="AF13" s="64">
        <v>40</v>
      </c>
      <c r="AG13" s="64" t="s">
        <v>132</v>
      </c>
      <c r="AH13" s="64" t="s">
        <v>133</v>
      </c>
      <c r="AI13" s="64" t="s">
        <v>59</v>
      </c>
      <c r="AJ13" s="64" t="s">
        <v>134</v>
      </c>
      <c r="AK13" s="68" t="s">
        <v>135</v>
      </c>
      <c r="AL13" s="65" t="s">
        <v>103</v>
      </c>
      <c r="AM13" s="65" t="s">
        <v>63</v>
      </c>
      <c r="AN13" s="65" t="s">
        <v>64</v>
      </c>
    </row>
    <row r="14" spans="1:40" s="66" customFormat="1" x14ac:dyDescent="0.25">
      <c r="A14" s="64">
        <v>2021</v>
      </c>
      <c r="B14" s="64" t="s">
        <v>41</v>
      </c>
      <c r="C14" s="64" t="s">
        <v>42</v>
      </c>
      <c r="D14" s="64" t="s">
        <v>136</v>
      </c>
      <c r="E14" s="64" t="s">
        <v>137</v>
      </c>
      <c r="F14" s="64" t="s">
        <v>45</v>
      </c>
      <c r="G14" s="64" t="s">
        <v>138</v>
      </c>
      <c r="H14" s="78">
        <v>44204</v>
      </c>
      <c r="I14" s="64">
        <f t="shared" si="0"/>
        <v>0</v>
      </c>
      <c r="J14" s="78">
        <v>44210</v>
      </c>
      <c r="K14" s="64" t="str">
        <f t="shared" si="1"/>
        <v>NUEVO</v>
      </c>
      <c r="L14" s="64"/>
      <c r="M14" s="64"/>
      <c r="N14" s="64"/>
      <c r="O14" s="64">
        <v>0</v>
      </c>
      <c r="P14" s="64" t="s">
        <v>47</v>
      </c>
      <c r="Q14" s="64"/>
      <c r="R14" s="65"/>
      <c r="S14" s="64" t="s">
        <v>48</v>
      </c>
      <c r="T14" s="64" t="s">
        <v>99</v>
      </c>
      <c r="U14" s="64" t="s">
        <v>50</v>
      </c>
      <c r="V14" s="64" t="s">
        <v>99</v>
      </c>
      <c r="W14" s="64" t="s">
        <v>71</v>
      </c>
      <c r="X14" s="64" t="s">
        <v>109</v>
      </c>
      <c r="Y14" s="79">
        <v>0.84027777777777779</v>
      </c>
      <c r="Z14" s="64" t="s">
        <v>100</v>
      </c>
      <c r="AA14" s="64" t="s">
        <v>120</v>
      </c>
      <c r="AB14" s="65"/>
      <c r="AC14" s="82"/>
      <c r="AD14" s="64" t="s">
        <v>55</v>
      </c>
      <c r="AE14" s="64" t="s">
        <v>101</v>
      </c>
      <c r="AF14" s="64" t="s">
        <v>139</v>
      </c>
      <c r="AG14" s="64" t="s">
        <v>140</v>
      </c>
      <c r="AH14" s="64" t="s">
        <v>58</v>
      </c>
      <c r="AI14" s="64" t="s">
        <v>59</v>
      </c>
      <c r="AJ14" s="64" t="s">
        <v>78</v>
      </c>
      <c r="AK14" s="68" t="s">
        <v>141</v>
      </c>
      <c r="AL14" s="65" t="s">
        <v>62</v>
      </c>
      <c r="AM14" s="65" t="s">
        <v>63</v>
      </c>
      <c r="AN14" s="65" t="s">
        <v>64</v>
      </c>
    </row>
    <row r="15" spans="1:40" s="66" customFormat="1" ht="30" x14ac:dyDescent="0.25">
      <c r="A15" s="64">
        <v>2021</v>
      </c>
      <c r="B15" s="64" t="s">
        <v>41</v>
      </c>
      <c r="C15" s="64" t="s">
        <v>42</v>
      </c>
      <c r="D15" s="64" t="s">
        <v>142</v>
      </c>
      <c r="E15" s="64" t="s">
        <v>143</v>
      </c>
      <c r="F15" s="64" t="s">
        <v>45</v>
      </c>
      <c r="G15" s="64" t="s">
        <v>144</v>
      </c>
      <c r="H15" s="78">
        <v>43801</v>
      </c>
      <c r="I15" s="64">
        <f t="shared" si="0"/>
        <v>13</v>
      </c>
      <c r="J15" s="78">
        <v>44212</v>
      </c>
      <c r="K15" s="64" t="str">
        <f t="shared" si="1"/>
        <v>NUEVO</v>
      </c>
      <c r="L15" s="78">
        <v>44217</v>
      </c>
      <c r="M15" s="78">
        <v>44221</v>
      </c>
      <c r="N15" s="64"/>
      <c r="O15" s="64">
        <v>7</v>
      </c>
      <c r="P15" s="64" t="s">
        <v>68</v>
      </c>
      <c r="Q15" s="64"/>
      <c r="R15" s="65"/>
      <c r="S15" s="64" t="s">
        <v>107</v>
      </c>
      <c r="T15" s="64" t="s">
        <v>145</v>
      </c>
      <c r="U15" s="64" t="s">
        <v>50</v>
      </c>
      <c r="V15" s="64" t="s">
        <v>145</v>
      </c>
      <c r="W15" s="64" t="s">
        <v>146</v>
      </c>
      <c r="X15" s="64" t="s">
        <v>87</v>
      </c>
      <c r="Y15" s="79">
        <v>0.69791666666666663</v>
      </c>
      <c r="Z15" s="64" t="s">
        <v>147</v>
      </c>
      <c r="AA15" s="64" t="s">
        <v>120</v>
      </c>
      <c r="AB15" s="87">
        <v>14266</v>
      </c>
      <c r="AC15" s="82" t="s">
        <v>148</v>
      </c>
      <c r="AD15" s="64" t="s">
        <v>111</v>
      </c>
      <c r="AE15" s="64" t="s">
        <v>112</v>
      </c>
      <c r="AF15" s="64">
        <v>27</v>
      </c>
      <c r="AG15" s="64" t="s">
        <v>92</v>
      </c>
      <c r="AH15" s="64" t="s">
        <v>149</v>
      </c>
      <c r="AI15" s="64" t="s">
        <v>150</v>
      </c>
      <c r="AJ15" s="64" t="s">
        <v>151</v>
      </c>
      <c r="AK15" s="68" t="s">
        <v>152</v>
      </c>
      <c r="AL15" s="65" t="s">
        <v>103</v>
      </c>
      <c r="AM15" s="65" t="s">
        <v>63</v>
      </c>
      <c r="AN15" s="65" t="s">
        <v>63</v>
      </c>
    </row>
    <row r="16" spans="1:40" s="66" customFormat="1" x14ac:dyDescent="0.25">
      <c r="A16" s="64">
        <v>2021</v>
      </c>
      <c r="B16" s="64" t="s">
        <v>41</v>
      </c>
      <c r="C16" s="64" t="s">
        <v>42</v>
      </c>
      <c r="D16" s="64" t="s">
        <v>153</v>
      </c>
      <c r="E16" s="64" t="s">
        <v>154</v>
      </c>
      <c r="F16" s="64" t="s">
        <v>45</v>
      </c>
      <c r="G16" s="64" t="s">
        <v>155</v>
      </c>
      <c r="H16" s="78">
        <v>43934</v>
      </c>
      <c r="I16" s="64">
        <f t="shared" si="0"/>
        <v>9</v>
      </c>
      <c r="J16" s="78">
        <v>44213</v>
      </c>
      <c r="K16" s="64" t="str">
        <f t="shared" si="1"/>
        <v>NUEVO</v>
      </c>
      <c r="L16" s="64"/>
      <c r="M16" s="64"/>
      <c r="N16" s="64"/>
      <c r="O16" s="64">
        <v>0</v>
      </c>
      <c r="P16" s="64" t="s">
        <v>47</v>
      </c>
      <c r="Q16" s="64"/>
      <c r="R16" s="65"/>
      <c r="S16" s="64" t="s">
        <v>156</v>
      </c>
      <c r="T16" s="64" t="s">
        <v>157</v>
      </c>
      <c r="U16" s="64" t="s">
        <v>50</v>
      </c>
      <c r="V16" s="64" t="s">
        <v>157</v>
      </c>
      <c r="W16" s="64" t="s">
        <v>71</v>
      </c>
      <c r="X16" s="64" t="s">
        <v>109</v>
      </c>
      <c r="Y16" s="79">
        <v>2.0833333333333332E-2</v>
      </c>
      <c r="Z16" s="64" t="s">
        <v>158</v>
      </c>
      <c r="AA16" s="64" t="s">
        <v>120</v>
      </c>
      <c r="AB16" s="65"/>
      <c r="AC16" s="82"/>
      <c r="AD16" s="64" t="s">
        <v>159</v>
      </c>
      <c r="AE16" s="64" t="s">
        <v>160</v>
      </c>
      <c r="AF16" s="64">
        <v>47</v>
      </c>
      <c r="AG16" s="64" t="s">
        <v>132</v>
      </c>
      <c r="AH16" s="64" t="s">
        <v>102</v>
      </c>
      <c r="AI16" s="64" t="s">
        <v>59</v>
      </c>
      <c r="AJ16" s="64" t="s">
        <v>134</v>
      </c>
      <c r="AK16" s="68" t="s">
        <v>161</v>
      </c>
      <c r="AL16" s="65" t="s">
        <v>103</v>
      </c>
      <c r="AM16" s="65" t="s">
        <v>63</v>
      </c>
      <c r="AN16" s="65" t="s">
        <v>64</v>
      </c>
    </row>
    <row r="17" spans="1:40" s="66" customFormat="1" x14ac:dyDescent="0.25">
      <c r="A17" s="64">
        <v>2021</v>
      </c>
      <c r="B17" s="64" t="s">
        <v>41</v>
      </c>
      <c r="C17" s="64" t="s">
        <v>42</v>
      </c>
      <c r="D17" s="64" t="s">
        <v>162</v>
      </c>
      <c r="E17" s="64" t="s">
        <v>163</v>
      </c>
      <c r="F17" s="64" t="s">
        <v>45</v>
      </c>
      <c r="G17" s="64" t="s">
        <v>164</v>
      </c>
      <c r="H17" s="78">
        <v>40763</v>
      </c>
      <c r="I17" s="64">
        <f t="shared" si="0"/>
        <v>113</v>
      </c>
      <c r="J17" s="78">
        <v>44213</v>
      </c>
      <c r="K17" s="64" t="str">
        <f t="shared" si="1"/>
        <v>ANTIGUO</v>
      </c>
      <c r="L17" s="64"/>
      <c r="M17" s="64"/>
      <c r="N17" s="64"/>
      <c r="O17" s="64">
        <v>0</v>
      </c>
      <c r="P17" s="64" t="s">
        <v>47</v>
      </c>
      <c r="Q17" s="64"/>
      <c r="R17" s="65"/>
      <c r="S17" s="64" t="s">
        <v>165</v>
      </c>
      <c r="T17" s="64" t="s">
        <v>166</v>
      </c>
      <c r="U17" s="64" t="s">
        <v>50</v>
      </c>
      <c r="V17" s="64" t="s">
        <v>167</v>
      </c>
      <c r="W17" s="64" t="s">
        <v>71</v>
      </c>
      <c r="X17" s="64" t="s">
        <v>52</v>
      </c>
      <c r="Y17" s="79">
        <v>0.41666666666666669</v>
      </c>
      <c r="Z17" s="64" t="s">
        <v>158</v>
      </c>
      <c r="AA17" s="64" t="s">
        <v>120</v>
      </c>
      <c r="AB17" s="65"/>
      <c r="AC17" s="82"/>
      <c r="AD17" s="64" t="s">
        <v>168</v>
      </c>
      <c r="AE17" s="64" t="s">
        <v>169</v>
      </c>
      <c r="AF17" s="64">
        <v>61</v>
      </c>
      <c r="AG17" s="64" t="s">
        <v>132</v>
      </c>
      <c r="AH17" s="64" t="s">
        <v>102</v>
      </c>
      <c r="AI17" s="64" t="s">
        <v>59</v>
      </c>
      <c r="AJ17" s="64" t="s">
        <v>134</v>
      </c>
      <c r="AK17" s="68" t="s">
        <v>170</v>
      </c>
      <c r="AL17" s="65" t="s">
        <v>62</v>
      </c>
      <c r="AM17" s="65" t="s">
        <v>64</v>
      </c>
      <c r="AN17" s="65" t="s">
        <v>64</v>
      </c>
    </row>
    <row r="18" spans="1:40" s="66" customFormat="1" x14ac:dyDescent="0.25">
      <c r="A18" s="64">
        <v>2021</v>
      </c>
      <c r="B18" s="64" t="s">
        <v>41</v>
      </c>
      <c r="C18" s="64" t="s">
        <v>42</v>
      </c>
      <c r="D18" s="64" t="s">
        <v>171</v>
      </c>
      <c r="E18" s="64" t="s">
        <v>172</v>
      </c>
      <c r="F18" s="64" t="s">
        <v>45</v>
      </c>
      <c r="G18" s="64" t="s">
        <v>173</v>
      </c>
      <c r="H18" s="78">
        <v>43528</v>
      </c>
      <c r="I18" s="64">
        <f t="shared" si="0"/>
        <v>22</v>
      </c>
      <c r="J18" s="78">
        <v>44214</v>
      </c>
      <c r="K18" s="64" t="str">
        <f t="shared" si="1"/>
        <v>INTERMEDIO</v>
      </c>
      <c r="L18" s="78">
        <v>44215</v>
      </c>
      <c r="M18" s="78">
        <v>44221</v>
      </c>
      <c r="N18" s="64"/>
      <c r="O18" s="64">
        <v>13</v>
      </c>
      <c r="P18" s="64" t="s">
        <v>68</v>
      </c>
      <c r="Q18" s="64"/>
      <c r="R18" s="65"/>
      <c r="S18" s="64" t="s">
        <v>107</v>
      </c>
      <c r="T18" s="64" t="s">
        <v>174</v>
      </c>
      <c r="U18" s="64" t="s">
        <v>50</v>
      </c>
      <c r="V18" s="64" t="s">
        <v>175</v>
      </c>
      <c r="W18" s="64" t="s">
        <v>71</v>
      </c>
      <c r="X18" s="64" t="s">
        <v>109</v>
      </c>
      <c r="Y18" s="79">
        <v>0.84722222222222221</v>
      </c>
      <c r="Z18" s="64" t="s">
        <v>53</v>
      </c>
      <c r="AA18" s="64" t="s">
        <v>176</v>
      </c>
      <c r="AB18" s="87">
        <v>14252</v>
      </c>
      <c r="AC18" s="82" t="s">
        <v>177</v>
      </c>
      <c r="AD18" s="64" t="s">
        <v>111</v>
      </c>
      <c r="AE18" s="64" t="s">
        <v>178</v>
      </c>
      <c r="AF18" s="64">
        <v>60</v>
      </c>
      <c r="AG18" s="64" t="s">
        <v>132</v>
      </c>
      <c r="AH18" s="64" t="s">
        <v>133</v>
      </c>
      <c r="AI18" s="64" t="s">
        <v>59</v>
      </c>
      <c r="AJ18" s="64" t="s">
        <v>134</v>
      </c>
      <c r="AK18" s="68" t="s">
        <v>179</v>
      </c>
      <c r="AL18" s="65" t="s">
        <v>103</v>
      </c>
      <c r="AM18" s="65" t="s">
        <v>63</v>
      </c>
      <c r="AN18" s="65" t="s">
        <v>63</v>
      </c>
    </row>
    <row r="19" spans="1:40" s="66" customFormat="1" x14ac:dyDescent="0.25">
      <c r="A19" s="64">
        <v>2021</v>
      </c>
      <c r="B19" s="64" t="s">
        <v>41</v>
      </c>
      <c r="C19" s="64" t="s">
        <v>42</v>
      </c>
      <c r="D19" s="64" t="s">
        <v>180</v>
      </c>
      <c r="E19" s="64" t="s">
        <v>181</v>
      </c>
      <c r="F19" s="64" t="s">
        <v>45</v>
      </c>
      <c r="G19" s="64" t="s">
        <v>182</v>
      </c>
      <c r="H19" s="78">
        <v>44210</v>
      </c>
      <c r="I19" s="64">
        <f t="shared" si="0"/>
        <v>0</v>
      </c>
      <c r="J19" s="78">
        <v>44215</v>
      </c>
      <c r="K19" s="64" t="str">
        <f t="shared" si="1"/>
        <v>NUEVO</v>
      </c>
      <c r="L19" s="64"/>
      <c r="M19" s="64"/>
      <c r="N19" s="64"/>
      <c r="O19" s="64">
        <v>0</v>
      </c>
      <c r="P19" s="64" t="s">
        <v>47</v>
      </c>
      <c r="Q19" s="64"/>
      <c r="R19" s="65"/>
      <c r="S19" s="64" t="s">
        <v>156</v>
      </c>
      <c r="T19" s="64" t="s">
        <v>183</v>
      </c>
      <c r="U19" s="64" t="s">
        <v>50</v>
      </c>
      <c r="V19" s="64" t="s">
        <v>118</v>
      </c>
      <c r="W19" s="64" t="s">
        <v>71</v>
      </c>
      <c r="X19" s="64" t="s">
        <v>52</v>
      </c>
      <c r="Y19" s="79">
        <v>0.42708333333333331</v>
      </c>
      <c r="Z19" s="64" t="s">
        <v>72</v>
      </c>
      <c r="AA19" s="64" t="s">
        <v>176</v>
      </c>
      <c r="AB19" s="65"/>
      <c r="AC19" s="82"/>
      <c r="AD19" s="64" t="s">
        <v>159</v>
      </c>
      <c r="AE19" s="64" t="s">
        <v>184</v>
      </c>
      <c r="AF19" s="64" t="s">
        <v>139</v>
      </c>
      <c r="AG19" s="64" t="s">
        <v>132</v>
      </c>
      <c r="AH19" s="64" t="s">
        <v>102</v>
      </c>
      <c r="AI19" s="64" t="s">
        <v>59</v>
      </c>
      <c r="AJ19" s="64" t="s">
        <v>134</v>
      </c>
      <c r="AK19" s="68" t="s">
        <v>185</v>
      </c>
      <c r="AL19" s="65" t="s">
        <v>103</v>
      </c>
      <c r="AM19" s="65" t="s">
        <v>63</v>
      </c>
      <c r="AN19" s="65" t="s">
        <v>64</v>
      </c>
    </row>
    <row r="20" spans="1:40" s="66" customFormat="1" x14ac:dyDescent="0.25">
      <c r="A20" s="64">
        <v>2021</v>
      </c>
      <c r="B20" s="64" t="s">
        <v>41</v>
      </c>
      <c r="C20" s="64" t="s">
        <v>42</v>
      </c>
      <c r="D20" s="64" t="s">
        <v>186</v>
      </c>
      <c r="E20" s="64" t="s">
        <v>187</v>
      </c>
      <c r="F20" s="64" t="s">
        <v>45</v>
      </c>
      <c r="G20" s="64" t="s">
        <v>188</v>
      </c>
      <c r="H20" s="78">
        <v>43696</v>
      </c>
      <c r="I20" s="64">
        <f t="shared" si="0"/>
        <v>17</v>
      </c>
      <c r="J20" s="78">
        <v>44216</v>
      </c>
      <c r="K20" s="64" t="str">
        <f t="shared" si="1"/>
        <v>NUEVO</v>
      </c>
      <c r="L20" s="64"/>
      <c r="M20" s="64"/>
      <c r="N20" s="64"/>
      <c r="O20" s="64">
        <v>0</v>
      </c>
      <c r="P20" s="64" t="s">
        <v>47</v>
      </c>
      <c r="Q20" s="64"/>
      <c r="R20" s="65"/>
      <c r="S20" s="64" t="s">
        <v>118</v>
      </c>
      <c r="T20" s="64" t="s">
        <v>189</v>
      </c>
      <c r="U20" s="64" t="s">
        <v>31</v>
      </c>
      <c r="V20" s="64" t="s">
        <v>190</v>
      </c>
      <c r="W20" s="64" t="s">
        <v>71</v>
      </c>
      <c r="X20" s="64" t="s">
        <v>87</v>
      </c>
      <c r="Y20" s="79">
        <v>0.59722222222222221</v>
      </c>
      <c r="Z20" s="64" t="s">
        <v>88</v>
      </c>
      <c r="AA20" s="64" t="s">
        <v>176</v>
      </c>
      <c r="AB20" s="65"/>
      <c r="AC20" s="82"/>
      <c r="AD20" s="64" t="s">
        <v>74</v>
      </c>
      <c r="AE20" s="64" t="s">
        <v>191</v>
      </c>
      <c r="AF20" s="64">
        <v>46</v>
      </c>
      <c r="AG20" s="64" t="s">
        <v>192</v>
      </c>
      <c r="AH20" s="64" t="s">
        <v>102</v>
      </c>
      <c r="AI20" s="64" t="s">
        <v>59</v>
      </c>
      <c r="AJ20" s="64" t="s">
        <v>60</v>
      </c>
      <c r="AK20" s="68" t="s">
        <v>193</v>
      </c>
      <c r="AL20" s="65" t="s">
        <v>62</v>
      </c>
      <c r="AM20" s="65" t="s">
        <v>64</v>
      </c>
      <c r="AN20" s="65" t="s">
        <v>64</v>
      </c>
    </row>
    <row r="21" spans="1:40" s="66" customFormat="1" x14ac:dyDescent="0.25">
      <c r="A21" s="64">
        <v>2021</v>
      </c>
      <c r="B21" s="64" t="s">
        <v>41</v>
      </c>
      <c r="C21" s="64" t="s">
        <v>42</v>
      </c>
      <c r="D21" s="64"/>
      <c r="E21" s="64"/>
      <c r="F21" s="64" t="s">
        <v>45</v>
      </c>
      <c r="G21" s="64"/>
      <c r="H21" s="78"/>
      <c r="I21" s="64"/>
      <c r="J21" s="78">
        <v>44217</v>
      </c>
      <c r="K21" s="64" t="s">
        <v>194</v>
      </c>
      <c r="L21" s="64"/>
      <c r="M21" s="64"/>
      <c r="N21" s="64"/>
      <c r="O21" s="64">
        <v>0</v>
      </c>
      <c r="P21" s="64" t="s">
        <v>47</v>
      </c>
      <c r="Q21" s="64" t="s">
        <v>195</v>
      </c>
      <c r="R21" s="65" t="s">
        <v>196</v>
      </c>
      <c r="S21" s="64" t="s">
        <v>118</v>
      </c>
      <c r="T21" s="64" t="s">
        <v>130</v>
      </c>
      <c r="U21" s="64" t="s">
        <v>50</v>
      </c>
      <c r="V21" s="64"/>
      <c r="W21" s="64" t="s">
        <v>197</v>
      </c>
      <c r="X21" s="64" t="s">
        <v>87</v>
      </c>
      <c r="Y21" s="79">
        <v>0.70833333333333337</v>
      </c>
      <c r="Z21" s="64" t="s">
        <v>100</v>
      </c>
      <c r="AA21" s="64" t="s">
        <v>176</v>
      </c>
      <c r="AB21" s="65"/>
      <c r="AC21" s="82"/>
      <c r="AD21" s="64" t="s">
        <v>74</v>
      </c>
      <c r="AE21" s="64" t="s">
        <v>198</v>
      </c>
      <c r="AF21" s="64" t="s">
        <v>139</v>
      </c>
      <c r="AG21" s="64" t="s">
        <v>57</v>
      </c>
      <c r="AH21" s="64" t="s">
        <v>58</v>
      </c>
      <c r="AI21" s="64" t="s">
        <v>94</v>
      </c>
      <c r="AJ21" s="64" t="s">
        <v>199</v>
      </c>
      <c r="AK21" s="68" t="s">
        <v>200</v>
      </c>
      <c r="AL21" s="65" t="s">
        <v>62</v>
      </c>
      <c r="AM21" s="65" t="s">
        <v>63</v>
      </c>
      <c r="AN21" s="65" t="s">
        <v>64</v>
      </c>
    </row>
    <row r="22" spans="1:40" s="66" customFormat="1" x14ac:dyDescent="0.25">
      <c r="A22" s="64">
        <v>2021</v>
      </c>
      <c r="B22" s="64" t="s">
        <v>41</v>
      </c>
      <c r="C22" s="64" t="s">
        <v>42</v>
      </c>
      <c r="D22" s="64" t="s">
        <v>201</v>
      </c>
      <c r="E22" s="64" t="s">
        <v>202</v>
      </c>
      <c r="F22" s="64" t="s">
        <v>116</v>
      </c>
      <c r="G22" s="64" t="s">
        <v>203</v>
      </c>
      <c r="H22" s="78">
        <v>43836</v>
      </c>
      <c r="I22" s="64">
        <f t="shared" si="0"/>
        <v>12</v>
      </c>
      <c r="J22" s="78">
        <v>44218</v>
      </c>
      <c r="K22" s="64" t="str">
        <f t="shared" si="1"/>
        <v>NUEVO</v>
      </c>
      <c r="L22" s="64"/>
      <c r="M22" s="64"/>
      <c r="N22" s="64"/>
      <c r="O22" s="64">
        <v>0</v>
      </c>
      <c r="P22" s="64" t="s">
        <v>47</v>
      </c>
      <c r="Q22" s="64"/>
      <c r="R22" s="65"/>
      <c r="S22" s="64" t="s">
        <v>156</v>
      </c>
      <c r="T22" s="64" t="s">
        <v>130</v>
      </c>
      <c r="U22" s="64" t="s">
        <v>50</v>
      </c>
      <c r="V22" s="64" t="s">
        <v>130</v>
      </c>
      <c r="W22" s="64" t="s">
        <v>204</v>
      </c>
      <c r="X22" s="64" t="s">
        <v>87</v>
      </c>
      <c r="Y22" s="79">
        <v>0.71527777777777779</v>
      </c>
      <c r="Z22" s="64" t="s">
        <v>110</v>
      </c>
      <c r="AA22" s="64" t="s">
        <v>176</v>
      </c>
      <c r="AB22" s="65"/>
      <c r="AC22" s="82"/>
      <c r="AD22" s="64" t="s">
        <v>159</v>
      </c>
      <c r="AE22" s="64" t="s">
        <v>160</v>
      </c>
      <c r="AF22" s="64">
        <v>50</v>
      </c>
      <c r="AG22" s="64" t="s">
        <v>57</v>
      </c>
      <c r="AH22" s="64" t="s">
        <v>205</v>
      </c>
      <c r="AI22" s="64" t="s">
        <v>59</v>
      </c>
      <c r="AJ22" s="64" t="s">
        <v>78</v>
      </c>
      <c r="AK22" s="68" t="s">
        <v>206</v>
      </c>
      <c r="AL22" s="65" t="s">
        <v>62</v>
      </c>
      <c r="AM22" s="65" t="s">
        <v>63</v>
      </c>
      <c r="AN22" s="65" t="s">
        <v>64</v>
      </c>
    </row>
    <row r="23" spans="1:40" s="66" customFormat="1" x14ac:dyDescent="0.25">
      <c r="A23" s="64">
        <v>2021</v>
      </c>
      <c r="B23" s="64" t="s">
        <v>41</v>
      </c>
      <c r="C23" s="64" t="s">
        <v>42</v>
      </c>
      <c r="D23" s="64" t="s">
        <v>207</v>
      </c>
      <c r="E23" s="64" t="s">
        <v>208</v>
      </c>
      <c r="F23" s="64" t="s">
        <v>116</v>
      </c>
      <c r="G23" s="64" t="s">
        <v>209</v>
      </c>
      <c r="H23" s="78">
        <v>43717</v>
      </c>
      <c r="I23" s="64">
        <f t="shared" si="0"/>
        <v>16</v>
      </c>
      <c r="J23" s="78">
        <v>44222</v>
      </c>
      <c r="K23" s="64" t="str">
        <f t="shared" si="1"/>
        <v>NUEVO</v>
      </c>
      <c r="L23" s="78">
        <v>44222</v>
      </c>
      <c r="M23" s="78">
        <v>44222</v>
      </c>
      <c r="N23" s="64"/>
      <c r="O23" s="64">
        <v>0</v>
      </c>
      <c r="P23" s="64" t="s">
        <v>47</v>
      </c>
      <c r="Q23" s="65" t="s">
        <v>210</v>
      </c>
      <c r="R23" s="65" t="s">
        <v>211</v>
      </c>
      <c r="S23" s="64" t="s">
        <v>118</v>
      </c>
      <c r="T23" s="64" t="s">
        <v>119</v>
      </c>
      <c r="U23" s="64" t="s">
        <v>50</v>
      </c>
      <c r="V23" s="64" t="s">
        <v>71</v>
      </c>
      <c r="W23" s="64" t="s">
        <v>71</v>
      </c>
      <c r="X23" s="64" t="s">
        <v>87</v>
      </c>
      <c r="Y23" s="79">
        <v>0.60069444444444442</v>
      </c>
      <c r="Z23" s="64" t="s">
        <v>72</v>
      </c>
      <c r="AA23" s="64" t="s">
        <v>212</v>
      </c>
      <c r="AB23" s="65" t="s">
        <v>210</v>
      </c>
      <c r="AC23" s="82" t="s">
        <v>210</v>
      </c>
      <c r="AD23" s="64" t="s">
        <v>74</v>
      </c>
      <c r="AE23" s="64" t="s">
        <v>191</v>
      </c>
      <c r="AF23" s="64">
        <v>46</v>
      </c>
      <c r="AG23" s="64" t="s">
        <v>76</v>
      </c>
      <c r="AH23" s="64" t="s">
        <v>58</v>
      </c>
      <c r="AI23" s="64" t="s">
        <v>59</v>
      </c>
      <c r="AJ23" s="64" t="s">
        <v>60</v>
      </c>
      <c r="AK23" s="68" t="s">
        <v>213</v>
      </c>
      <c r="AL23" s="65" t="s">
        <v>62</v>
      </c>
      <c r="AM23" s="65" t="s">
        <v>63</v>
      </c>
      <c r="AN23" s="65" t="s">
        <v>64</v>
      </c>
    </row>
    <row r="24" spans="1:40" s="66" customFormat="1" x14ac:dyDescent="0.25">
      <c r="A24" s="64">
        <v>2021</v>
      </c>
      <c r="B24" s="64" t="s">
        <v>41</v>
      </c>
      <c r="C24" s="64" t="s">
        <v>42</v>
      </c>
      <c r="D24" s="64" t="s">
        <v>214</v>
      </c>
      <c r="E24" s="64" t="s">
        <v>215</v>
      </c>
      <c r="F24" s="64" t="s">
        <v>116</v>
      </c>
      <c r="G24" s="64" t="s">
        <v>216</v>
      </c>
      <c r="H24" s="78">
        <v>43640</v>
      </c>
      <c r="I24" s="64">
        <f t="shared" si="0"/>
        <v>19</v>
      </c>
      <c r="J24" s="78">
        <v>44222</v>
      </c>
      <c r="K24" s="64" t="str">
        <f t="shared" si="1"/>
        <v>INTERMEDIO</v>
      </c>
      <c r="L24" s="64"/>
      <c r="M24" s="64"/>
      <c r="N24" s="64"/>
      <c r="O24" s="64">
        <v>0</v>
      </c>
      <c r="P24" s="64" t="s">
        <v>47</v>
      </c>
      <c r="Q24" s="64"/>
      <c r="R24" s="65"/>
      <c r="S24" s="64" t="s">
        <v>156</v>
      </c>
      <c r="T24" s="64" t="s">
        <v>84</v>
      </c>
      <c r="U24" s="64" t="s">
        <v>50</v>
      </c>
      <c r="V24" s="64" t="s">
        <v>217</v>
      </c>
      <c r="W24" s="64" t="s">
        <v>71</v>
      </c>
      <c r="X24" s="64" t="s">
        <v>109</v>
      </c>
      <c r="Y24" s="79">
        <v>0.19791666666666666</v>
      </c>
      <c r="Z24" s="64" t="s">
        <v>53</v>
      </c>
      <c r="AA24" s="64" t="s">
        <v>212</v>
      </c>
      <c r="AB24" s="65"/>
      <c r="AC24" s="82"/>
      <c r="AD24" s="64" t="s">
        <v>159</v>
      </c>
      <c r="AE24" s="64" t="s">
        <v>218</v>
      </c>
      <c r="AF24" s="64">
        <v>37</v>
      </c>
      <c r="AG24" s="64" t="s">
        <v>140</v>
      </c>
      <c r="AH24" s="64" t="s">
        <v>58</v>
      </c>
      <c r="AI24" s="64" t="s">
        <v>59</v>
      </c>
      <c r="AJ24" s="64" t="s">
        <v>60</v>
      </c>
      <c r="AK24" s="68" t="s">
        <v>219</v>
      </c>
      <c r="AL24" s="65" t="s">
        <v>103</v>
      </c>
      <c r="AM24" s="65" t="s">
        <v>64</v>
      </c>
      <c r="AN24" s="65" t="s">
        <v>64</v>
      </c>
    </row>
    <row r="25" spans="1:40" s="66" customFormat="1" x14ac:dyDescent="0.25">
      <c r="A25" s="64">
        <v>2021</v>
      </c>
      <c r="B25" s="64" t="s">
        <v>41</v>
      </c>
      <c r="C25" s="64" t="s">
        <v>42</v>
      </c>
      <c r="D25" s="64" t="s">
        <v>220</v>
      </c>
      <c r="E25" s="64" t="s">
        <v>221</v>
      </c>
      <c r="F25" s="64" t="s">
        <v>45</v>
      </c>
      <c r="G25" s="64" t="s">
        <v>222</v>
      </c>
      <c r="H25" s="78">
        <v>43689</v>
      </c>
      <c r="I25" s="64">
        <f t="shared" si="0"/>
        <v>17</v>
      </c>
      <c r="J25" s="78">
        <v>44221</v>
      </c>
      <c r="K25" s="64" t="str">
        <f t="shared" si="1"/>
        <v>NUEVO</v>
      </c>
      <c r="L25" s="78">
        <v>44222</v>
      </c>
      <c r="M25" s="78">
        <v>44225</v>
      </c>
      <c r="N25" s="64"/>
      <c r="O25" s="64">
        <v>0</v>
      </c>
      <c r="P25" s="64" t="s">
        <v>47</v>
      </c>
      <c r="Q25" s="65" t="s">
        <v>210</v>
      </c>
      <c r="R25" s="65" t="s">
        <v>211</v>
      </c>
      <c r="S25" s="64" t="s">
        <v>165</v>
      </c>
      <c r="T25" s="64" t="s">
        <v>71</v>
      </c>
      <c r="U25" s="64" t="s">
        <v>71</v>
      </c>
      <c r="V25" s="64" t="s">
        <v>71</v>
      </c>
      <c r="W25" s="64" t="s">
        <v>71</v>
      </c>
      <c r="X25" s="64" t="s">
        <v>87</v>
      </c>
      <c r="Y25" s="79">
        <v>0.64583333333333337</v>
      </c>
      <c r="Z25" s="64" t="s">
        <v>53</v>
      </c>
      <c r="AA25" s="64" t="s">
        <v>212</v>
      </c>
      <c r="AB25" s="65" t="s">
        <v>210</v>
      </c>
      <c r="AC25" s="82" t="s">
        <v>210</v>
      </c>
      <c r="AD25" s="64" t="s">
        <v>168</v>
      </c>
      <c r="AE25" s="64" t="s">
        <v>223</v>
      </c>
      <c r="AF25" s="64">
        <v>25</v>
      </c>
      <c r="AG25" s="64" t="s">
        <v>140</v>
      </c>
      <c r="AH25" s="64" t="s">
        <v>58</v>
      </c>
      <c r="AI25" s="64" t="s">
        <v>59</v>
      </c>
      <c r="AJ25" s="64" t="s">
        <v>224</v>
      </c>
      <c r="AK25" s="68" t="s">
        <v>225</v>
      </c>
      <c r="AL25" s="65" t="s">
        <v>62</v>
      </c>
      <c r="AM25" s="65" t="s">
        <v>63</v>
      </c>
      <c r="AN25" s="65" t="s">
        <v>64</v>
      </c>
    </row>
    <row r="26" spans="1:40" s="66" customFormat="1" x14ac:dyDescent="0.25">
      <c r="A26" s="64">
        <v>2021</v>
      </c>
      <c r="B26" s="64" t="s">
        <v>41</v>
      </c>
      <c r="C26" s="64" t="s">
        <v>42</v>
      </c>
      <c r="D26" s="64" t="s">
        <v>226</v>
      </c>
      <c r="E26" s="64" t="s">
        <v>227</v>
      </c>
      <c r="F26" s="64" t="s">
        <v>45</v>
      </c>
      <c r="G26" s="64" t="s">
        <v>228</v>
      </c>
      <c r="H26" s="78">
        <v>44158</v>
      </c>
      <c r="I26" s="64">
        <f t="shared" si="0"/>
        <v>2</v>
      </c>
      <c r="J26" s="78">
        <v>44224</v>
      </c>
      <c r="K26" s="64" t="str">
        <f t="shared" si="1"/>
        <v>NUEVO</v>
      </c>
      <c r="L26" s="64"/>
      <c r="M26" s="64"/>
      <c r="N26" s="64"/>
      <c r="O26" s="64">
        <v>0</v>
      </c>
      <c r="P26" s="64" t="s">
        <v>47</v>
      </c>
      <c r="Q26" s="64"/>
      <c r="R26" s="65"/>
      <c r="S26" s="64" t="s">
        <v>48</v>
      </c>
      <c r="T26" s="64" t="s">
        <v>49</v>
      </c>
      <c r="U26" s="64" t="s">
        <v>50</v>
      </c>
      <c r="V26" s="64" t="s">
        <v>71</v>
      </c>
      <c r="W26" s="64" t="s">
        <v>49</v>
      </c>
      <c r="X26" s="64" t="s">
        <v>109</v>
      </c>
      <c r="Y26" s="79">
        <v>0.20138888888888887</v>
      </c>
      <c r="Z26" s="64" t="s">
        <v>100</v>
      </c>
      <c r="AA26" s="64" t="s">
        <v>212</v>
      </c>
      <c r="AB26" s="65"/>
      <c r="AC26" s="82"/>
      <c r="AD26" s="64" t="s">
        <v>55</v>
      </c>
      <c r="AE26" s="64" t="s">
        <v>56</v>
      </c>
      <c r="AF26" s="64">
        <v>29</v>
      </c>
      <c r="AG26" s="64" t="s">
        <v>140</v>
      </c>
      <c r="AH26" s="64" t="s">
        <v>205</v>
      </c>
      <c r="AI26" s="64" t="s">
        <v>59</v>
      </c>
      <c r="AJ26" s="64" t="s">
        <v>78</v>
      </c>
      <c r="AK26" s="68" t="s">
        <v>229</v>
      </c>
      <c r="AL26" s="65" t="s">
        <v>62</v>
      </c>
      <c r="AM26" s="65" t="s">
        <v>63</v>
      </c>
      <c r="AN26" s="65" t="s">
        <v>64</v>
      </c>
    </row>
    <row r="27" spans="1:40" s="66" customFormat="1" x14ac:dyDescent="0.25">
      <c r="A27" s="64">
        <v>2021</v>
      </c>
      <c r="B27" s="64" t="s">
        <v>230</v>
      </c>
      <c r="C27" s="64" t="s">
        <v>42</v>
      </c>
      <c r="D27" s="64" t="s">
        <v>231</v>
      </c>
      <c r="E27" s="64" t="s">
        <v>232</v>
      </c>
      <c r="F27" s="64" t="s">
        <v>45</v>
      </c>
      <c r="G27" s="64" t="s">
        <v>233</v>
      </c>
      <c r="H27" s="78">
        <v>41493</v>
      </c>
      <c r="I27" s="64">
        <f t="shared" si="0"/>
        <v>89</v>
      </c>
      <c r="J27" s="78">
        <v>44228</v>
      </c>
      <c r="K27" s="64" t="str">
        <f t="shared" si="1"/>
        <v>ANTIGUO</v>
      </c>
      <c r="L27" s="64"/>
      <c r="M27" s="64"/>
      <c r="N27" s="64"/>
      <c r="O27" s="64">
        <v>0</v>
      </c>
      <c r="P27" s="64" t="s">
        <v>47</v>
      </c>
      <c r="Q27" s="64"/>
      <c r="R27" s="65"/>
      <c r="S27" s="64" t="s">
        <v>118</v>
      </c>
      <c r="T27" s="64" t="s">
        <v>130</v>
      </c>
      <c r="U27" s="64" t="s">
        <v>50</v>
      </c>
      <c r="V27" s="64" t="s">
        <v>130</v>
      </c>
      <c r="W27" s="64" t="s">
        <v>234</v>
      </c>
      <c r="X27" s="64" t="s">
        <v>52</v>
      </c>
      <c r="Y27" s="79">
        <v>0.29166666666666669</v>
      </c>
      <c r="Z27" s="64" t="s">
        <v>53</v>
      </c>
      <c r="AA27" s="64" t="s">
        <v>235</v>
      </c>
      <c r="AB27" s="65"/>
      <c r="AC27" s="82"/>
      <c r="AD27" s="64" t="s">
        <v>74</v>
      </c>
      <c r="AE27" s="64" t="s">
        <v>198</v>
      </c>
      <c r="AF27" s="64">
        <v>25</v>
      </c>
      <c r="AG27" s="64" t="s">
        <v>57</v>
      </c>
      <c r="AH27" s="64" t="s">
        <v>236</v>
      </c>
      <c r="AI27" s="64" t="s">
        <v>59</v>
      </c>
      <c r="AJ27" s="64" t="s">
        <v>224</v>
      </c>
      <c r="AK27" s="68" t="s">
        <v>237</v>
      </c>
      <c r="AL27" s="65" t="s">
        <v>62</v>
      </c>
      <c r="AM27" s="65" t="s">
        <v>64</v>
      </c>
      <c r="AN27" s="65" t="s">
        <v>64</v>
      </c>
    </row>
    <row r="28" spans="1:40" s="66" customFormat="1" x14ac:dyDescent="0.25">
      <c r="A28" s="64">
        <v>2021</v>
      </c>
      <c r="B28" s="64" t="s">
        <v>230</v>
      </c>
      <c r="C28" s="64" t="s">
        <v>42</v>
      </c>
      <c r="D28" s="64" t="s">
        <v>238</v>
      </c>
      <c r="E28" s="64" t="s">
        <v>239</v>
      </c>
      <c r="F28" s="64" t="s">
        <v>45</v>
      </c>
      <c r="G28" s="64" t="s">
        <v>240</v>
      </c>
      <c r="H28" s="78">
        <v>43971</v>
      </c>
      <c r="I28" s="64">
        <f t="shared" si="0"/>
        <v>8</v>
      </c>
      <c r="J28" s="78">
        <v>44228</v>
      </c>
      <c r="K28" s="64" t="str">
        <f t="shared" si="1"/>
        <v>NUEVO</v>
      </c>
      <c r="L28" s="78">
        <v>44228</v>
      </c>
      <c r="M28" s="78">
        <v>44201</v>
      </c>
      <c r="N28" s="64"/>
      <c r="O28" s="64">
        <v>5</v>
      </c>
      <c r="P28" s="64" t="s">
        <v>68</v>
      </c>
      <c r="Q28" s="64"/>
      <c r="R28" s="65"/>
      <c r="S28" s="64" t="s">
        <v>107</v>
      </c>
      <c r="T28" s="64" t="s">
        <v>241</v>
      </c>
      <c r="U28" s="64" t="s">
        <v>50</v>
      </c>
      <c r="V28" s="64" t="s">
        <v>242</v>
      </c>
      <c r="W28" s="64" t="s">
        <v>71</v>
      </c>
      <c r="X28" s="64" t="s">
        <v>52</v>
      </c>
      <c r="Y28" s="79">
        <v>0.49652777777777773</v>
      </c>
      <c r="Z28" s="64" t="s">
        <v>53</v>
      </c>
      <c r="AA28" s="64" t="s">
        <v>235</v>
      </c>
      <c r="AB28" s="87">
        <v>14360</v>
      </c>
      <c r="AC28" s="82" t="s">
        <v>243</v>
      </c>
      <c r="AD28" s="64" t="s">
        <v>111</v>
      </c>
      <c r="AE28" s="64" t="s">
        <v>112</v>
      </c>
      <c r="AF28" s="64">
        <v>37</v>
      </c>
      <c r="AG28" s="64" t="s">
        <v>92</v>
      </c>
      <c r="AH28" s="64" t="s">
        <v>58</v>
      </c>
      <c r="AI28" s="64" t="s">
        <v>59</v>
      </c>
      <c r="AJ28" s="64" t="s">
        <v>244</v>
      </c>
      <c r="AK28" s="90" t="s">
        <v>245</v>
      </c>
      <c r="AL28" s="65" t="s">
        <v>103</v>
      </c>
      <c r="AM28" s="65" t="s">
        <v>63</v>
      </c>
      <c r="AN28" s="65" t="s">
        <v>63</v>
      </c>
    </row>
    <row r="29" spans="1:40" s="66" customFormat="1" x14ac:dyDescent="0.25">
      <c r="A29" s="64">
        <v>2021</v>
      </c>
      <c r="B29" s="64" t="s">
        <v>230</v>
      </c>
      <c r="C29" s="64" t="s">
        <v>42</v>
      </c>
      <c r="D29" s="64" t="s">
        <v>246</v>
      </c>
      <c r="E29" s="64" t="s">
        <v>247</v>
      </c>
      <c r="F29" s="64" t="s">
        <v>116</v>
      </c>
      <c r="G29" s="64" t="s">
        <v>248</v>
      </c>
      <c r="H29" s="78">
        <v>43885</v>
      </c>
      <c r="I29" s="64">
        <f t="shared" si="0"/>
        <v>11</v>
      </c>
      <c r="J29" s="78">
        <v>44228</v>
      </c>
      <c r="K29" s="64" t="str">
        <f t="shared" si="1"/>
        <v>NUEVO</v>
      </c>
      <c r="L29" s="78">
        <v>44229</v>
      </c>
      <c r="M29" s="78">
        <v>44202</v>
      </c>
      <c r="N29" s="64"/>
      <c r="O29" s="64">
        <v>5</v>
      </c>
      <c r="P29" s="64" t="s">
        <v>68</v>
      </c>
      <c r="Q29" s="64"/>
      <c r="R29" s="65"/>
      <c r="S29" s="64" t="s">
        <v>118</v>
      </c>
      <c r="T29" s="64" t="s">
        <v>130</v>
      </c>
      <c r="U29" s="64" t="s">
        <v>50</v>
      </c>
      <c r="V29" s="64" t="s">
        <v>249</v>
      </c>
      <c r="W29" s="64" t="s">
        <v>71</v>
      </c>
      <c r="X29" s="64" t="s">
        <v>87</v>
      </c>
      <c r="Y29" s="79">
        <v>0.5625</v>
      </c>
      <c r="Z29" s="64" t="s">
        <v>53</v>
      </c>
      <c r="AA29" s="64" t="s">
        <v>235</v>
      </c>
      <c r="AB29" s="87">
        <v>14294</v>
      </c>
      <c r="AC29" s="82" t="s">
        <v>250</v>
      </c>
      <c r="AD29" s="64" t="s">
        <v>74</v>
      </c>
      <c r="AE29" s="64" t="s">
        <v>198</v>
      </c>
      <c r="AF29" s="64">
        <v>32</v>
      </c>
      <c r="AG29" s="64" t="s">
        <v>92</v>
      </c>
      <c r="AH29" s="64" t="s">
        <v>102</v>
      </c>
      <c r="AI29" s="64" t="s">
        <v>59</v>
      </c>
      <c r="AJ29" s="64" t="s">
        <v>134</v>
      </c>
      <c r="AK29" s="90" t="s">
        <v>251</v>
      </c>
      <c r="AL29" s="65" t="s">
        <v>103</v>
      </c>
      <c r="AM29" s="65" t="s">
        <v>63</v>
      </c>
      <c r="AN29" s="65" t="s">
        <v>63</v>
      </c>
    </row>
    <row r="30" spans="1:40" s="66" customFormat="1" x14ac:dyDescent="0.25">
      <c r="A30" s="64">
        <v>2021</v>
      </c>
      <c r="B30" s="64" t="s">
        <v>230</v>
      </c>
      <c r="C30" s="64" t="s">
        <v>42</v>
      </c>
      <c r="D30" s="64" t="s">
        <v>252</v>
      </c>
      <c r="E30" s="253" t="s">
        <v>253</v>
      </c>
      <c r="F30" s="64" t="s">
        <v>45</v>
      </c>
      <c r="G30" s="64" t="s">
        <v>254</v>
      </c>
      <c r="H30" s="78">
        <v>43292</v>
      </c>
      <c r="I30" s="64">
        <f t="shared" si="0"/>
        <v>30</v>
      </c>
      <c r="J30" s="78">
        <v>44230</v>
      </c>
      <c r="K30" s="64" t="str">
        <f t="shared" si="1"/>
        <v>INTERMEDIO</v>
      </c>
      <c r="L30" s="78">
        <v>44230</v>
      </c>
      <c r="M30" s="78">
        <v>44230</v>
      </c>
      <c r="N30" s="64"/>
      <c r="O30" s="64">
        <v>0</v>
      </c>
      <c r="P30" s="64" t="s">
        <v>47</v>
      </c>
      <c r="Q30" s="64"/>
      <c r="R30" s="65" t="s">
        <v>211</v>
      </c>
      <c r="S30" s="64" t="s">
        <v>255</v>
      </c>
      <c r="T30" s="64" t="s">
        <v>256</v>
      </c>
      <c r="U30" s="64" t="s">
        <v>50</v>
      </c>
      <c r="V30" s="64" t="s">
        <v>257</v>
      </c>
      <c r="W30" s="64" t="s">
        <v>71</v>
      </c>
      <c r="X30" s="64" t="s">
        <v>87</v>
      </c>
      <c r="Y30" s="79">
        <v>0.63541666666666663</v>
      </c>
      <c r="Z30" s="64" t="s">
        <v>88</v>
      </c>
      <c r="AA30" s="64" t="s">
        <v>235</v>
      </c>
      <c r="AB30" s="87">
        <v>14302</v>
      </c>
      <c r="AC30" s="82" t="s">
        <v>258</v>
      </c>
      <c r="AD30" s="64" t="s">
        <v>259</v>
      </c>
      <c r="AE30" s="64" t="s">
        <v>260</v>
      </c>
      <c r="AF30" s="64">
        <v>46</v>
      </c>
      <c r="AG30" s="64" t="s">
        <v>140</v>
      </c>
      <c r="AH30" s="64" t="s">
        <v>58</v>
      </c>
      <c r="AI30" s="64" t="s">
        <v>59</v>
      </c>
      <c r="AJ30" s="64" t="s">
        <v>199</v>
      </c>
      <c r="AK30" s="68" t="s">
        <v>261</v>
      </c>
      <c r="AL30" s="65" t="s">
        <v>103</v>
      </c>
      <c r="AM30" s="65" t="s">
        <v>64</v>
      </c>
      <c r="AN30" s="65" t="s">
        <v>63</v>
      </c>
    </row>
    <row r="31" spans="1:40" s="66" customFormat="1" x14ac:dyDescent="0.25">
      <c r="A31" s="64">
        <v>2021</v>
      </c>
      <c r="B31" s="64" t="s">
        <v>230</v>
      </c>
      <c r="C31" s="64" t="s">
        <v>42</v>
      </c>
      <c r="D31" s="64" t="s">
        <v>262</v>
      </c>
      <c r="E31" s="64" t="s">
        <v>263</v>
      </c>
      <c r="F31" s="64" t="s">
        <v>116</v>
      </c>
      <c r="G31" s="64" t="s">
        <v>264</v>
      </c>
      <c r="H31" s="78">
        <v>43341</v>
      </c>
      <c r="I31" s="64">
        <f t="shared" si="0"/>
        <v>29</v>
      </c>
      <c r="J31" s="78">
        <v>44231</v>
      </c>
      <c r="K31" s="64" t="str">
        <f t="shared" si="1"/>
        <v>INTERMEDIO</v>
      </c>
      <c r="L31" s="64"/>
      <c r="M31" s="64"/>
      <c r="N31" s="64"/>
      <c r="O31" s="64">
        <v>0</v>
      </c>
      <c r="P31" s="64" t="s">
        <v>47</v>
      </c>
      <c r="Q31" s="64"/>
      <c r="R31" s="65"/>
      <c r="S31" s="64" t="s">
        <v>265</v>
      </c>
      <c r="T31" s="64" t="s">
        <v>266</v>
      </c>
      <c r="U31" s="64" t="s">
        <v>267</v>
      </c>
      <c r="V31" s="64" t="s">
        <v>266</v>
      </c>
      <c r="W31" s="64" t="s">
        <v>266</v>
      </c>
      <c r="X31" s="64" t="s">
        <v>87</v>
      </c>
      <c r="Y31" s="79">
        <v>0.81944444444444453</v>
      </c>
      <c r="Z31" s="64" t="s">
        <v>100</v>
      </c>
      <c r="AA31" s="64" t="s">
        <v>235</v>
      </c>
      <c r="AB31" s="65"/>
      <c r="AC31" s="82"/>
      <c r="AD31" s="64" t="s">
        <v>268</v>
      </c>
      <c r="AE31" s="64" t="s">
        <v>269</v>
      </c>
      <c r="AF31" s="64">
        <v>29</v>
      </c>
      <c r="AG31" s="64" t="s">
        <v>270</v>
      </c>
      <c r="AH31" s="64" t="s">
        <v>123</v>
      </c>
      <c r="AI31" s="64" t="s">
        <v>124</v>
      </c>
      <c r="AJ31" s="64" t="s">
        <v>125</v>
      </c>
      <c r="AK31" s="68" t="s">
        <v>271</v>
      </c>
      <c r="AL31" s="65" t="s">
        <v>103</v>
      </c>
      <c r="AM31" s="65" t="s">
        <v>63</v>
      </c>
      <c r="AN31" s="65" t="s">
        <v>64</v>
      </c>
    </row>
    <row r="32" spans="1:40" s="66" customFormat="1" x14ac:dyDescent="0.25">
      <c r="A32" s="64">
        <v>2021</v>
      </c>
      <c r="B32" s="64" t="s">
        <v>230</v>
      </c>
      <c r="C32" s="64" t="s">
        <v>42</v>
      </c>
      <c r="D32" s="64" t="s">
        <v>272</v>
      </c>
      <c r="E32" s="64" t="s">
        <v>273</v>
      </c>
      <c r="F32" s="64" t="s">
        <v>45</v>
      </c>
      <c r="G32" s="64" t="s">
        <v>274</v>
      </c>
      <c r="H32" s="78">
        <v>44201</v>
      </c>
      <c r="I32" s="64">
        <f t="shared" si="0"/>
        <v>1</v>
      </c>
      <c r="J32" s="78">
        <v>44232</v>
      </c>
      <c r="K32" s="64" t="str">
        <f t="shared" si="1"/>
        <v>NUEVO</v>
      </c>
      <c r="L32" s="64"/>
      <c r="M32" s="64"/>
      <c r="N32" s="64"/>
      <c r="O32" s="64">
        <v>0</v>
      </c>
      <c r="P32" s="64" t="s">
        <v>47</v>
      </c>
      <c r="Q32" s="64"/>
      <c r="R32" s="65"/>
      <c r="S32" s="64" t="s">
        <v>48</v>
      </c>
      <c r="T32" s="64" t="s">
        <v>266</v>
      </c>
      <c r="U32" s="64" t="s">
        <v>50</v>
      </c>
      <c r="V32" s="64" t="s">
        <v>266</v>
      </c>
      <c r="W32" s="64" t="s">
        <v>71</v>
      </c>
      <c r="X32" s="64" t="s">
        <v>87</v>
      </c>
      <c r="Y32" s="79">
        <v>0.52083333333333337</v>
      </c>
      <c r="Z32" s="64" t="s">
        <v>110</v>
      </c>
      <c r="AA32" s="64" t="s">
        <v>235</v>
      </c>
      <c r="AB32" s="65"/>
      <c r="AC32" s="82"/>
      <c r="AD32" s="64" t="s">
        <v>55</v>
      </c>
      <c r="AE32" s="64" t="s">
        <v>101</v>
      </c>
      <c r="AF32" s="64" t="s">
        <v>139</v>
      </c>
      <c r="AG32" s="64" t="s">
        <v>275</v>
      </c>
      <c r="AH32" s="64" t="s">
        <v>102</v>
      </c>
      <c r="AI32" s="64" t="s">
        <v>59</v>
      </c>
      <c r="AJ32" s="64" t="s">
        <v>60</v>
      </c>
      <c r="AK32" s="68" t="s">
        <v>1516</v>
      </c>
      <c r="AL32" s="65" t="s">
        <v>62</v>
      </c>
      <c r="AM32" s="65" t="s">
        <v>64</v>
      </c>
      <c r="AN32" s="65" t="s">
        <v>64</v>
      </c>
    </row>
    <row r="33" spans="1:40" s="66" customFormat="1" x14ac:dyDescent="0.25">
      <c r="A33" s="64">
        <v>2021</v>
      </c>
      <c r="B33" s="64" t="s">
        <v>230</v>
      </c>
      <c r="C33" s="64" t="s">
        <v>42</v>
      </c>
      <c r="D33" s="64" t="s">
        <v>276</v>
      </c>
      <c r="E33" s="253" t="s">
        <v>277</v>
      </c>
      <c r="F33" s="64" t="s">
        <v>116</v>
      </c>
      <c r="G33" s="64" t="s">
        <v>278</v>
      </c>
      <c r="H33" s="78">
        <v>43663</v>
      </c>
      <c r="I33" s="64">
        <f t="shared" si="0"/>
        <v>18</v>
      </c>
      <c r="J33" s="78">
        <v>44233</v>
      </c>
      <c r="K33" s="64" t="str">
        <f t="shared" si="1"/>
        <v>NUEVO</v>
      </c>
      <c r="L33" s="78">
        <v>44235</v>
      </c>
      <c r="M33" s="78">
        <v>44235</v>
      </c>
      <c r="N33" s="64"/>
      <c r="O33" s="64">
        <v>0</v>
      </c>
      <c r="P33" s="64" t="s">
        <v>47</v>
      </c>
      <c r="Q33" s="64"/>
      <c r="R33" s="65"/>
      <c r="S33" s="64" t="s">
        <v>118</v>
      </c>
      <c r="T33" s="64" t="s">
        <v>119</v>
      </c>
      <c r="U33" s="64" t="s">
        <v>50</v>
      </c>
      <c r="V33" s="64" t="s">
        <v>249</v>
      </c>
      <c r="W33" s="64" t="s">
        <v>71</v>
      </c>
      <c r="X33" s="64" t="s">
        <v>109</v>
      </c>
      <c r="Y33" s="79">
        <v>0.88888888888888884</v>
      </c>
      <c r="Z33" s="64" t="s">
        <v>147</v>
      </c>
      <c r="AA33" s="64" t="s">
        <v>235</v>
      </c>
      <c r="AB33" s="87">
        <v>14308</v>
      </c>
      <c r="AC33" s="82" t="s">
        <v>279</v>
      </c>
      <c r="AD33" s="64" t="s">
        <v>74</v>
      </c>
      <c r="AE33" s="64" t="s">
        <v>280</v>
      </c>
      <c r="AF33" s="64">
        <v>28</v>
      </c>
      <c r="AG33" s="64" t="s">
        <v>92</v>
      </c>
      <c r="AH33" s="64" t="s">
        <v>102</v>
      </c>
      <c r="AI33" s="64" t="s">
        <v>59</v>
      </c>
      <c r="AJ33" s="64" t="s">
        <v>134</v>
      </c>
      <c r="AK33" s="90" t="s">
        <v>281</v>
      </c>
      <c r="AL33" s="65" t="s">
        <v>103</v>
      </c>
      <c r="AM33" s="65" t="s">
        <v>63</v>
      </c>
      <c r="AN33" s="65" t="s">
        <v>63</v>
      </c>
    </row>
    <row r="34" spans="1:40" s="66" customFormat="1" x14ac:dyDescent="0.25">
      <c r="A34" s="64">
        <v>2021</v>
      </c>
      <c r="B34" s="64" t="s">
        <v>230</v>
      </c>
      <c r="C34" s="64" t="s">
        <v>42</v>
      </c>
      <c r="D34" s="64" t="s">
        <v>282</v>
      </c>
      <c r="E34" s="64" t="s">
        <v>283</v>
      </c>
      <c r="F34" s="64" t="s">
        <v>45</v>
      </c>
      <c r="G34" s="64" t="s">
        <v>284</v>
      </c>
      <c r="H34" s="78">
        <v>40452</v>
      </c>
      <c r="I34" s="64">
        <f t="shared" si="0"/>
        <v>124</v>
      </c>
      <c r="J34" s="78">
        <v>44235</v>
      </c>
      <c r="K34" s="64" t="str">
        <f t="shared" si="1"/>
        <v>ANTIGUO</v>
      </c>
      <c r="L34" s="64"/>
      <c r="M34" s="64"/>
      <c r="N34" s="64"/>
      <c r="O34" s="64">
        <v>0</v>
      </c>
      <c r="P34" s="64" t="s">
        <v>47</v>
      </c>
      <c r="Q34" s="64"/>
      <c r="R34" s="65"/>
      <c r="S34" s="64" t="s">
        <v>48</v>
      </c>
      <c r="T34" s="64" t="s">
        <v>99</v>
      </c>
      <c r="U34" s="64" t="s">
        <v>50</v>
      </c>
      <c r="V34" s="64" t="s">
        <v>285</v>
      </c>
      <c r="W34" s="64" t="s">
        <v>71</v>
      </c>
      <c r="X34" s="64" t="s">
        <v>52</v>
      </c>
      <c r="Y34" s="79">
        <v>0.29166666666666669</v>
      </c>
      <c r="Z34" s="64" t="s">
        <v>53</v>
      </c>
      <c r="AA34" s="64" t="s">
        <v>286</v>
      </c>
      <c r="AB34" s="65"/>
      <c r="AC34" s="82"/>
      <c r="AD34" s="64" t="s">
        <v>55</v>
      </c>
      <c r="AE34" s="64" t="s">
        <v>287</v>
      </c>
      <c r="AF34" s="64">
        <v>31</v>
      </c>
      <c r="AG34" s="64" t="s">
        <v>92</v>
      </c>
      <c r="AH34" s="64" t="s">
        <v>58</v>
      </c>
      <c r="AI34" s="64" t="s">
        <v>59</v>
      </c>
      <c r="AJ34" s="64" t="s">
        <v>78</v>
      </c>
      <c r="AK34" s="68" t="s">
        <v>288</v>
      </c>
      <c r="AL34" s="65" t="s">
        <v>62</v>
      </c>
      <c r="AM34" s="65" t="s">
        <v>63</v>
      </c>
      <c r="AN34" s="65" t="s">
        <v>64</v>
      </c>
    </row>
    <row r="35" spans="1:40" s="66" customFormat="1" x14ac:dyDescent="0.25">
      <c r="A35" s="64">
        <v>2021</v>
      </c>
      <c r="B35" s="64" t="s">
        <v>230</v>
      </c>
      <c r="C35" s="64" t="s">
        <v>42</v>
      </c>
      <c r="D35" s="64" t="s">
        <v>289</v>
      </c>
      <c r="E35" s="64" t="s">
        <v>290</v>
      </c>
      <c r="F35" s="64" t="s">
        <v>45</v>
      </c>
      <c r="G35" s="64" t="s">
        <v>291</v>
      </c>
      <c r="H35" s="78">
        <v>43983</v>
      </c>
      <c r="I35" s="64">
        <f t="shared" si="0"/>
        <v>8</v>
      </c>
      <c r="J35" s="78">
        <v>44235</v>
      </c>
      <c r="K35" s="64" t="str">
        <f t="shared" si="1"/>
        <v>NUEVO</v>
      </c>
      <c r="L35" s="64"/>
      <c r="M35" s="64"/>
      <c r="N35" s="64"/>
      <c r="O35" s="64">
        <v>0</v>
      </c>
      <c r="P35" s="64" t="s">
        <v>47</v>
      </c>
      <c r="Q35" s="64"/>
      <c r="R35" s="65"/>
      <c r="S35" s="64" t="s">
        <v>69</v>
      </c>
      <c r="T35" s="64" t="s">
        <v>292</v>
      </c>
      <c r="U35" s="64" t="s">
        <v>50</v>
      </c>
      <c r="V35" s="64" t="s">
        <v>292</v>
      </c>
      <c r="W35" s="64" t="s">
        <v>71</v>
      </c>
      <c r="X35" s="64" t="s">
        <v>52</v>
      </c>
      <c r="Y35" s="79">
        <v>0.58333333333333337</v>
      </c>
      <c r="Z35" s="64" t="s">
        <v>53</v>
      </c>
      <c r="AA35" s="64" t="s">
        <v>286</v>
      </c>
      <c r="AB35" s="65"/>
      <c r="AC35" s="82"/>
      <c r="AD35" s="64" t="s">
        <v>74</v>
      </c>
      <c r="AE35" s="64" t="s">
        <v>293</v>
      </c>
      <c r="AF35" s="64">
        <v>51</v>
      </c>
      <c r="AG35" s="64" t="s">
        <v>76</v>
      </c>
      <c r="AH35" s="64" t="s">
        <v>149</v>
      </c>
      <c r="AI35" s="64" t="s">
        <v>59</v>
      </c>
      <c r="AJ35" s="64" t="s">
        <v>60</v>
      </c>
      <c r="AK35" s="68" t="s">
        <v>294</v>
      </c>
      <c r="AL35" s="65" t="s">
        <v>62</v>
      </c>
      <c r="AM35" s="65" t="s">
        <v>63</v>
      </c>
      <c r="AN35" s="65" t="s">
        <v>64</v>
      </c>
    </row>
    <row r="36" spans="1:40" s="66" customFormat="1" x14ac:dyDescent="0.25">
      <c r="A36" s="64">
        <v>2021</v>
      </c>
      <c r="B36" s="64" t="s">
        <v>230</v>
      </c>
      <c r="C36" s="64" t="s">
        <v>42</v>
      </c>
      <c r="D36" s="64" t="s">
        <v>295</v>
      </c>
      <c r="E36" s="64" t="s">
        <v>44</v>
      </c>
      <c r="F36" s="64" t="s">
        <v>45</v>
      </c>
      <c r="G36" s="64" t="s">
        <v>296</v>
      </c>
      <c r="H36" s="78">
        <v>43262</v>
      </c>
      <c r="I36" s="64">
        <f t="shared" si="0"/>
        <v>31</v>
      </c>
      <c r="J36" s="78">
        <v>44235</v>
      </c>
      <c r="K36" s="64" t="str">
        <f t="shared" si="1"/>
        <v>INTERMEDIO</v>
      </c>
      <c r="L36" s="64"/>
      <c r="M36" s="64"/>
      <c r="N36" s="64"/>
      <c r="O36" s="64">
        <v>0</v>
      </c>
      <c r="P36" s="64" t="s">
        <v>47</v>
      </c>
      <c r="Q36" s="64"/>
      <c r="R36" s="65"/>
      <c r="S36" s="64" t="s">
        <v>107</v>
      </c>
      <c r="T36" s="64" t="s">
        <v>297</v>
      </c>
      <c r="U36" s="64" t="s">
        <v>50</v>
      </c>
      <c r="V36" s="64" t="s">
        <v>297</v>
      </c>
      <c r="W36" s="64" t="s">
        <v>71</v>
      </c>
      <c r="X36" s="64" t="s">
        <v>87</v>
      </c>
      <c r="Y36" s="79">
        <v>0.625</v>
      </c>
      <c r="Z36" s="64" t="s">
        <v>53</v>
      </c>
      <c r="AA36" s="64" t="s">
        <v>286</v>
      </c>
      <c r="AB36" s="65"/>
      <c r="AC36" s="82" t="s">
        <v>211</v>
      </c>
      <c r="AD36" s="64" t="s">
        <v>111</v>
      </c>
      <c r="AE36" s="64" t="s">
        <v>298</v>
      </c>
      <c r="AF36" s="64">
        <v>21</v>
      </c>
      <c r="AG36" s="64" t="s">
        <v>122</v>
      </c>
      <c r="AH36" s="64" t="s">
        <v>58</v>
      </c>
      <c r="AI36" s="64" t="s">
        <v>59</v>
      </c>
      <c r="AJ36" s="64" t="s">
        <v>60</v>
      </c>
      <c r="AK36" s="68" t="s">
        <v>299</v>
      </c>
      <c r="AL36" s="65" t="s">
        <v>62</v>
      </c>
      <c r="AM36" s="65" t="s">
        <v>63</v>
      </c>
      <c r="AN36" s="65" t="s">
        <v>64</v>
      </c>
    </row>
    <row r="37" spans="1:40" s="66" customFormat="1" x14ac:dyDescent="0.25">
      <c r="A37" s="64">
        <v>2021</v>
      </c>
      <c r="B37" s="64" t="s">
        <v>230</v>
      </c>
      <c r="C37" s="64" t="s">
        <v>42</v>
      </c>
      <c r="D37" s="64" t="s">
        <v>300</v>
      </c>
      <c r="E37" s="64" t="s">
        <v>301</v>
      </c>
      <c r="F37" s="64" t="s">
        <v>45</v>
      </c>
      <c r="G37" s="64" t="s">
        <v>302</v>
      </c>
      <c r="H37" s="78">
        <v>43839</v>
      </c>
      <c r="I37" s="64">
        <f t="shared" si="0"/>
        <v>13</v>
      </c>
      <c r="J37" s="78">
        <v>44236</v>
      </c>
      <c r="K37" s="64" t="str">
        <f t="shared" si="1"/>
        <v>NUEVO</v>
      </c>
      <c r="L37" s="64"/>
      <c r="M37" s="64"/>
      <c r="N37" s="64"/>
      <c r="O37" s="64">
        <v>0</v>
      </c>
      <c r="P37" s="64" t="s">
        <v>47</v>
      </c>
      <c r="Q37" s="64"/>
      <c r="R37" s="65"/>
      <c r="S37" s="64" t="s">
        <v>303</v>
      </c>
      <c r="T37" s="64" t="s">
        <v>303</v>
      </c>
      <c r="U37" s="64" t="s">
        <v>50</v>
      </c>
      <c r="V37" s="64" t="s">
        <v>304</v>
      </c>
      <c r="W37" s="64" t="s">
        <v>71</v>
      </c>
      <c r="X37" s="64" t="s">
        <v>87</v>
      </c>
      <c r="Y37" s="79">
        <v>0.53472222222222221</v>
      </c>
      <c r="Z37" s="64" t="s">
        <v>72</v>
      </c>
      <c r="AA37" s="64" t="s">
        <v>286</v>
      </c>
      <c r="AB37" s="65"/>
      <c r="AC37" s="82"/>
      <c r="AD37" s="64" t="s">
        <v>305</v>
      </c>
      <c r="AE37" s="64" t="s">
        <v>306</v>
      </c>
      <c r="AF37" s="64">
        <v>30</v>
      </c>
      <c r="AG37" s="64" t="s">
        <v>92</v>
      </c>
      <c r="AH37" s="64" t="s">
        <v>102</v>
      </c>
      <c r="AI37" s="64" t="s">
        <v>59</v>
      </c>
      <c r="AJ37" s="64" t="s">
        <v>134</v>
      </c>
      <c r="AK37" s="68" t="s">
        <v>307</v>
      </c>
      <c r="AL37" s="65" t="s">
        <v>62</v>
      </c>
      <c r="AM37" s="65" t="s">
        <v>63</v>
      </c>
      <c r="AN37" s="65" t="s">
        <v>64</v>
      </c>
    </row>
    <row r="38" spans="1:40" s="66" customFormat="1" x14ac:dyDescent="0.25">
      <c r="A38" s="64">
        <v>2021</v>
      </c>
      <c r="B38" s="64" t="s">
        <v>230</v>
      </c>
      <c r="C38" s="64" t="s">
        <v>42</v>
      </c>
      <c r="D38" s="64" t="s">
        <v>308</v>
      </c>
      <c r="E38" s="64" t="s">
        <v>309</v>
      </c>
      <c r="F38" s="64" t="s">
        <v>45</v>
      </c>
      <c r="G38" s="64" t="s">
        <v>310</v>
      </c>
      <c r="H38" s="78">
        <v>43842</v>
      </c>
      <c r="I38" s="64">
        <f t="shared" si="0"/>
        <v>13</v>
      </c>
      <c r="J38" s="78">
        <v>44239</v>
      </c>
      <c r="K38" s="64" t="str">
        <f t="shared" si="1"/>
        <v>NUEVO</v>
      </c>
      <c r="L38" s="64"/>
      <c r="M38" s="64"/>
      <c r="N38" s="64"/>
      <c r="O38" s="64">
        <v>0</v>
      </c>
      <c r="P38" s="64" t="s">
        <v>47</v>
      </c>
      <c r="Q38" s="64"/>
      <c r="R38" s="65"/>
      <c r="S38" s="64" t="s">
        <v>69</v>
      </c>
      <c r="T38" s="64" t="s">
        <v>292</v>
      </c>
      <c r="U38" s="64" t="s">
        <v>50</v>
      </c>
      <c r="V38" s="64" t="s">
        <v>292</v>
      </c>
      <c r="W38" s="64" t="s">
        <v>71</v>
      </c>
      <c r="X38" s="64" t="s">
        <v>52</v>
      </c>
      <c r="Y38" s="79">
        <v>0.49305555555555558</v>
      </c>
      <c r="Z38" s="64" t="s">
        <v>110</v>
      </c>
      <c r="AA38" s="64" t="s">
        <v>286</v>
      </c>
      <c r="AB38" s="65"/>
      <c r="AC38" s="82"/>
      <c r="AD38" s="64" t="s">
        <v>74</v>
      </c>
      <c r="AE38" s="64" t="s">
        <v>75</v>
      </c>
      <c r="AF38" s="64">
        <v>22</v>
      </c>
      <c r="AG38" s="64" t="s">
        <v>140</v>
      </c>
      <c r="AH38" s="64" t="s">
        <v>149</v>
      </c>
      <c r="AI38" s="64" t="s">
        <v>59</v>
      </c>
      <c r="AJ38" s="64" t="s">
        <v>134</v>
      </c>
      <c r="AK38" s="68" t="s">
        <v>311</v>
      </c>
      <c r="AL38" s="65" t="s">
        <v>62</v>
      </c>
      <c r="AM38" s="65" t="s">
        <v>63</v>
      </c>
      <c r="AN38" s="65" t="s">
        <v>64</v>
      </c>
    </row>
    <row r="39" spans="1:40" s="66" customFormat="1" x14ac:dyDescent="0.25">
      <c r="A39" s="64">
        <v>2021</v>
      </c>
      <c r="B39" s="64" t="s">
        <v>230</v>
      </c>
      <c r="C39" s="64" t="s">
        <v>42</v>
      </c>
      <c r="D39" s="64" t="s">
        <v>312</v>
      </c>
      <c r="E39" s="64" t="s">
        <v>154</v>
      </c>
      <c r="F39" s="64" t="s">
        <v>45</v>
      </c>
      <c r="G39" s="64" t="s">
        <v>313</v>
      </c>
      <c r="H39" s="78">
        <v>43032</v>
      </c>
      <c r="I39" s="64">
        <f>DATEDIF(H39,J39,"m")</f>
        <v>39</v>
      </c>
      <c r="J39" s="78">
        <v>44239</v>
      </c>
      <c r="K39" s="64" t="str">
        <f t="shared" si="1"/>
        <v>ANTIGUO</v>
      </c>
      <c r="L39" s="64"/>
      <c r="M39" s="64"/>
      <c r="N39" s="64"/>
      <c r="O39" s="64">
        <v>0</v>
      </c>
      <c r="P39" s="64" t="s">
        <v>47</v>
      </c>
      <c r="Q39" s="64"/>
      <c r="R39" s="65"/>
      <c r="S39" s="64" t="s">
        <v>165</v>
      </c>
      <c r="T39" s="64" t="s">
        <v>71</v>
      </c>
      <c r="U39" s="64" t="s">
        <v>50</v>
      </c>
      <c r="V39" s="64" t="s">
        <v>71</v>
      </c>
      <c r="W39" s="64" t="s">
        <v>71</v>
      </c>
      <c r="X39" s="64" t="s">
        <v>52</v>
      </c>
      <c r="Y39" s="79">
        <v>0.45833333333333331</v>
      </c>
      <c r="Z39" s="64" t="s">
        <v>110</v>
      </c>
      <c r="AA39" s="64" t="s">
        <v>286</v>
      </c>
      <c r="AB39" s="65"/>
      <c r="AC39" s="82"/>
      <c r="AD39" s="64" t="s">
        <v>168</v>
      </c>
      <c r="AE39" s="64" t="s">
        <v>314</v>
      </c>
      <c r="AF39" s="64">
        <v>47</v>
      </c>
      <c r="AG39" s="64" t="s">
        <v>315</v>
      </c>
      <c r="AH39" s="64" t="s">
        <v>149</v>
      </c>
      <c r="AI39" s="64" t="s">
        <v>59</v>
      </c>
      <c r="AJ39" s="64" t="s">
        <v>316</v>
      </c>
      <c r="AK39" s="68" t="s">
        <v>317</v>
      </c>
      <c r="AL39" s="65" t="s">
        <v>103</v>
      </c>
      <c r="AM39" s="65" t="s">
        <v>63</v>
      </c>
      <c r="AN39" s="65" t="s">
        <v>64</v>
      </c>
    </row>
    <row r="40" spans="1:40" s="66" customFormat="1" x14ac:dyDescent="0.25">
      <c r="A40" s="64">
        <v>2021</v>
      </c>
      <c r="B40" s="64" t="s">
        <v>230</v>
      </c>
      <c r="C40" s="64" t="s">
        <v>42</v>
      </c>
      <c r="D40" s="64" t="s">
        <v>318</v>
      </c>
      <c r="E40" s="64" t="s">
        <v>319</v>
      </c>
      <c r="F40" s="64" t="s">
        <v>116</v>
      </c>
      <c r="G40" s="64" t="s">
        <v>310</v>
      </c>
      <c r="H40" s="78">
        <v>43842</v>
      </c>
      <c r="I40" s="64">
        <f t="shared" ref="I40:I74" si="2">DATEDIF(H40,J40,"m")</f>
        <v>13</v>
      </c>
      <c r="J40" s="78">
        <v>44239</v>
      </c>
      <c r="K40" s="64" t="str">
        <f t="shared" si="1"/>
        <v>NUEVO</v>
      </c>
      <c r="L40" s="64"/>
      <c r="M40" s="64"/>
      <c r="N40" s="64"/>
      <c r="O40" s="64">
        <v>0</v>
      </c>
      <c r="P40" s="64" t="s">
        <v>47</v>
      </c>
      <c r="Q40" s="64"/>
      <c r="R40" s="65"/>
      <c r="S40" s="64" t="s">
        <v>69</v>
      </c>
      <c r="T40" s="64" t="s">
        <v>292</v>
      </c>
      <c r="U40" s="64" t="s">
        <v>50</v>
      </c>
      <c r="V40" s="64" t="s">
        <v>292</v>
      </c>
      <c r="W40" s="64" t="s">
        <v>320</v>
      </c>
      <c r="X40" s="64" t="s">
        <v>52</v>
      </c>
      <c r="Y40" s="79">
        <v>0.49305555555555558</v>
      </c>
      <c r="Z40" s="64" t="s">
        <v>110</v>
      </c>
      <c r="AA40" s="64" t="s">
        <v>286</v>
      </c>
      <c r="AB40" s="65"/>
      <c r="AC40" s="82"/>
      <c r="AD40" s="64" t="s">
        <v>74</v>
      </c>
      <c r="AE40" s="64" t="s">
        <v>75</v>
      </c>
      <c r="AF40" s="64">
        <v>22</v>
      </c>
      <c r="AG40" s="64" t="s">
        <v>57</v>
      </c>
      <c r="AH40" s="64" t="s">
        <v>58</v>
      </c>
      <c r="AI40" s="64" t="s">
        <v>59</v>
      </c>
      <c r="AJ40" s="64" t="s">
        <v>134</v>
      </c>
      <c r="AK40" s="68" t="s">
        <v>321</v>
      </c>
      <c r="AL40" s="65" t="s">
        <v>103</v>
      </c>
      <c r="AM40" s="65" t="s">
        <v>63</v>
      </c>
      <c r="AN40" s="65" t="s">
        <v>64</v>
      </c>
    </row>
    <row r="41" spans="1:40" s="66" customFormat="1" x14ac:dyDescent="0.25">
      <c r="A41" s="64">
        <v>2021</v>
      </c>
      <c r="B41" s="64" t="s">
        <v>230</v>
      </c>
      <c r="C41" s="64" t="s">
        <v>42</v>
      </c>
      <c r="D41" s="64" t="s">
        <v>322</v>
      </c>
      <c r="E41" s="64" t="s">
        <v>323</v>
      </c>
      <c r="F41" s="64" t="s">
        <v>45</v>
      </c>
      <c r="G41" s="64" t="s">
        <v>324</v>
      </c>
      <c r="H41" s="78">
        <v>42162</v>
      </c>
      <c r="I41" s="64">
        <f t="shared" si="2"/>
        <v>68</v>
      </c>
      <c r="J41" s="78">
        <v>44242</v>
      </c>
      <c r="K41" s="64" t="str">
        <f t="shared" si="1"/>
        <v>ANTIGUO</v>
      </c>
      <c r="L41" s="64"/>
      <c r="M41" s="64"/>
      <c r="N41" s="64"/>
      <c r="O41" s="64">
        <v>0</v>
      </c>
      <c r="P41" s="64" t="s">
        <v>47</v>
      </c>
      <c r="Q41" s="64"/>
      <c r="R41" s="65"/>
      <c r="S41" s="64" t="s">
        <v>69</v>
      </c>
      <c r="T41" s="64" t="s">
        <v>325</v>
      </c>
      <c r="U41" s="64" t="s">
        <v>50</v>
      </c>
      <c r="V41" s="64" t="s">
        <v>326</v>
      </c>
      <c r="W41" s="64" t="s">
        <v>71</v>
      </c>
      <c r="X41" s="64" t="s">
        <v>52</v>
      </c>
      <c r="Y41" s="79">
        <v>0.5</v>
      </c>
      <c r="Z41" s="64" t="s">
        <v>53</v>
      </c>
      <c r="AA41" s="64" t="s">
        <v>327</v>
      </c>
      <c r="AB41" s="65"/>
      <c r="AC41" s="82"/>
      <c r="AD41" s="64" t="s">
        <v>74</v>
      </c>
      <c r="AE41" s="64" t="s">
        <v>75</v>
      </c>
      <c r="AF41" s="64">
        <v>24</v>
      </c>
      <c r="AG41" s="64" t="s">
        <v>328</v>
      </c>
      <c r="AH41" s="64" t="s">
        <v>58</v>
      </c>
      <c r="AI41" s="64" t="s">
        <v>94</v>
      </c>
      <c r="AJ41" s="64" t="s">
        <v>199</v>
      </c>
      <c r="AK41" s="68" t="s">
        <v>329</v>
      </c>
      <c r="AL41" s="65" t="s">
        <v>62</v>
      </c>
      <c r="AM41" s="65" t="s">
        <v>63</v>
      </c>
      <c r="AN41" s="65" t="s">
        <v>64</v>
      </c>
    </row>
    <row r="42" spans="1:40" s="66" customFormat="1" x14ac:dyDescent="0.25">
      <c r="A42" s="64">
        <v>2021</v>
      </c>
      <c r="B42" s="64" t="s">
        <v>230</v>
      </c>
      <c r="C42" s="64" t="s">
        <v>42</v>
      </c>
      <c r="D42" s="64" t="s">
        <v>330</v>
      </c>
      <c r="E42" s="64" t="s">
        <v>331</v>
      </c>
      <c r="F42" s="64" t="s">
        <v>45</v>
      </c>
      <c r="G42" s="64" t="s">
        <v>332</v>
      </c>
      <c r="H42" s="78">
        <v>43675</v>
      </c>
      <c r="I42" s="64">
        <f t="shared" si="2"/>
        <v>18</v>
      </c>
      <c r="J42" s="78">
        <v>44243</v>
      </c>
      <c r="K42" s="64" t="str">
        <f t="shared" si="1"/>
        <v>NUEVO</v>
      </c>
      <c r="L42" s="64"/>
      <c r="M42" s="64"/>
      <c r="N42" s="64"/>
      <c r="O42" s="64">
        <v>0</v>
      </c>
      <c r="P42" s="64" t="s">
        <v>47</v>
      </c>
      <c r="Q42" s="64"/>
      <c r="R42" s="65"/>
      <c r="S42" s="64" t="s">
        <v>118</v>
      </c>
      <c r="T42" s="64" t="s">
        <v>119</v>
      </c>
      <c r="U42" s="64" t="s">
        <v>50</v>
      </c>
      <c r="V42" s="64" t="s">
        <v>119</v>
      </c>
      <c r="W42" s="64" t="s">
        <v>333</v>
      </c>
      <c r="X42" s="64" t="s">
        <v>52</v>
      </c>
      <c r="Y42" s="79">
        <v>0.5</v>
      </c>
      <c r="Z42" s="64" t="s">
        <v>72</v>
      </c>
      <c r="AA42" s="64" t="s">
        <v>327</v>
      </c>
      <c r="AB42" s="65"/>
      <c r="AC42" s="82"/>
      <c r="AD42" s="64" t="s">
        <v>74</v>
      </c>
      <c r="AE42" s="64" t="s">
        <v>191</v>
      </c>
      <c r="AF42" s="64">
        <v>24</v>
      </c>
      <c r="AG42" s="64" t="s">
        <v>92</v>
      </c>
      <c r="AH42" s="64" t="s">
        <v>93</v>
      </c>
      <c r="AI42" s="64" t="s">
        <v>59</v>
      </c>
      <c r="AJ42" s="64" t="s">
        <v>78</v>
      </c>
      <c r="AK42" s="68" t="s">
        <v>334</v>
      </c>
      <c r="AL42" s="65" t="s">
        <v>62</v>
      </c>
      <c r="AM42" s="65" t="s">
        <v>63</v>
      </c>
      <c r="AN42" s="65" t="s">
        <v>64</v>
      </c>
    </row>
    <row r="43" spans="1:40" s="66" customFormat="1" x14ac:dyDescent="0.25">
      <c r="A43" s="64">
        <v>2021</v>
      </c>
      <c r="B43" s="64" t="s">
        <v>230</v>
      </c>
      <c r="C43" s="64" t="s">
        <v>42</v>
      </c>
      <c r="D43" s="64" t="s">
        <v>335</v>
      </c>
      <c r="E43" s="253" t="s">
        <v>336</v>
      </c>
      <c r="F43" s="64" t="s">
        <v>45</v>
      </c>
      <c r="G43" s="64" t="s">
        <v>337</v>
      </c>
      <c r="H43" s="78">
        <v>41700</v>
      </c>
      <c r="I43" s="64">
        <f t="shared" si="2"/>
        <v>83</v>
      </c>
      <c r="J43" s="78">
        <v>44244</v>
      </c>
      <c r="K43" s="64" t="str">
        <f t="shared" si="1"/>
        <v>ANTIGUO</v>
      </c>
      <c r="L43" s="78">
        <v>44249</v>
      </c>
      <c r="M43" s="78">
        <v>44249</v>
      </c>
      <c r="N43" s="64"/>
      <c r="O43" s="64">
        <v>0</v>
      </c>
      <c r="P43" s="64" t="s">
        <v>47</v>
      </c>
      <c r="Q43" s="64"/>
      <c r="R43" s="65"/>
      <c r="S43" s="64" t="s">
        <v>156</v>
      </c>
      <c r="T43" s="64" t="s">
        <v>338</v>
      </c>
      <c r="U43" s="64" t="s">
        <v>50</v>
      </c>
      <c r="V43" s="64" t="s">
        <v>339</v>
      </c>
      <c r="W43" s="64" t="s">
        <v>340</v>
      </c>
      <c r="X43" s="64" t="s">
        <v>52</v>
      </c>
      <c r="Y43" s="79">
        <v>0.39583333333333331</v>
      </c>
      <c r="Z43" s="64" t="s">
        <v>88</v>
      </c>
      <c r="AA43" s="64" t="s">
        <v>327</v>
      </c>
      <c r="AB43" s="87">
        <v>14334</v>
      </c>
      <c r="AC43" s="82" t="s">
        <v>341</v>
      </c>
      <c r="AD43" s="64" t="s">
        <v>159</v>
      </c>
      <c r="AE43" s="64" t="s">
        <v>184</v>
      </c>
      <c r="AF43" s="64">
        <v>29</v>
      </c>
      <c r="AG43" s="64" t="s">
        <v>92</v>
      </c>
      <c r="AH43" s="64" t="s">
        <v>149</v>
      </c>
      <c r="AI43" s="64" t="s">
        <v>59</v>
      </c>
      <c r="AJ43" s="64" t="s">
        <v>78</v>
      </c>
      <c r="AK43" s="68" t="s">
        <v>342</v>
      </c>
      <c r="AL43" s="65" t="s">
        <v>62</v>
      </c>
      <c r="AM43" s="65" t="s">
        <v>63</v>
      </c>
      <c r="AN43" s="65" t="s">
        <v>63</v>
      </c>
    </row>
    <row r="44" spans="1:40" s="66" customFormat="1" x14ac:dyDescent="0.25">
      <c r="A44" s="64">
        <v>2021</v>
      </c>
      <c r="B44" s="64" t="s">
        <v>230</v>
      </c>
      <c r="C44" s="64" t="s">
        <v>42</v>
      </c>
      <c r="D44" s="64" t="s">
        <v>343</v>
      </c>
      <c r="E44" s="253" t="s">
        <v>344</v>
      </c>
      <c r="F44" s="64" t="s">
        <v>116</v>
      </c>
      <c r="G44" s="64" t="s">
        <v>345</v>
      </c>
      <c r="H44" s="78">
        <v>43980</v>
      </c>
      <c r="I44" s="64">
        <f t="shared" si="2"/>
        <v>8</v>
      </c>
      <c r="J44" s="78">
        <v>44244</v>
      </c>
      <c r="K44" s="64" t="str">
        <f t="shared" si="1"/>
        <v>NUEVO</v>
      </c>
      <c r="L44" s="78">
        <v>44245</v>
      </c>
      <c r="M44" s="78">
        <v>44245</v>
      </c>
      <c r="N44" s="64"/>
      <c r="O44" s="64">
        <v>0</v>
      </c>
      <c r="P44" s="64" t="s">
        <v>47</v>
      </c>
      <c r="Q44" s="64"/>
      <c r="R44" s="65"/>
      <c r="S44" s="64" t="s">
        <v>48</v>
      </c>
      <c r="T44" s="64" t="s">
        <v>346</v>
      </c>
      <c r="U44" s="64" t="s">
        <v>50</v>
      </c>
      <c r="V44" s="64" t="s">
        <v>347</v>
      </c>
      <c r="W44" s="64" t="s">
        <v>71</v>
      </c>
      <c r="X44" s="64" t="s">
        <v>52</v>
      </c>
      <c r="Y44" s="79">
        <v>0.55902777777777779</v>
      </c>
      <c r="Z44" s="64" t="s">
        <v>88</v>
      </c>
      <c r="AA44" s="64" t="s">
        <v>327</v>
      </c>
      <c r="AB44" s="87">
        <v>14332</v>
      </c>
      <c r="AC44" s="82" t="s">
        <v>348</v>
      </c>
      <c r="AD44" s="64" t="s">
        <v>55</v>
      </c>
      <c r="AE44" s="64" t="s">
        <v>101</v>
      </c>
      <c r="AF44" s="64">
        <v>47</v>
      </c>
      <c r="AG44" s="64" t="s">
        <v>140</v>
      </c>
      <c r="AH44" s="64" t="s">
        <v>93</v>
      </c>
      <c r="AI44" s="64" t="s">
        <v>59</v>
      </c>
      <c r="AJ44" s="64" t="s">
        <v>60</v>
      </c>
      <c r="AK44" s="68" t="s">
        <v>349</v>
      </c>
      <c r="AL44" s="65" t="s">
        <v>62</v>
      </c>
      <c r="AM44" s="65" t="s">
        <v>63</v>
      </c>
      <c r="AN44" s="65" t="s">
        <v>63</v>
      </c>
    </row>
    <row r="45" spans="1:40" s="66" customFormat="1" x14ac:dyDescent="0.25">
      <c r="A45" s="64">
        <v>2021</v>
      </c>
      <c r="B45" s="64" t="s">
        <v>230</v>
      </c>
      <c r="C45" s="64" t="s">
        <v>42</v>
      </c>
      <c r="D45" s="64" t="s">
        <v>350</v>
      </c>
      <c r="E45" s="253" t="s">
        <v>351</v>
      </c>
      <c r="F45" s="64" t="s">
        <v>45</v>
      </c>
      <c r="G45" s="64" t="s">
        <v>352</v>
      </c>
      <c r="H45" s="78">
        <v>43656</v>
      </c>
      <c r="I45" s="64">
        <f t="shared" si="2"/>
        <v>19</v>
      </c>
      <c r="J45" s="78">
        <v>44246</v>
      </c>
      <c r="K45" s="64" t="str">
        <f t="shared" si="1"/>
        <v>INTERMEDIO</v>
      </c>
      <c r="L45" s="78">
        <v>44263</v>
      </c>
      <c r="M45" s="78">
        <v>44263</v>
      </c>
      <c r="N45" s="64"/>
      <c r="O45" s="64">
        <v>0</v>
      </c>
      <c r="P45" s="64" t="s">
        <v>47</v>
      </c>
      <c r="Q45" s="64"/>
      <c r="R45" s="65"/>
      <c r="S45" s="64" t="s">
        <v>83</v>
      </c>
      <c r="T45" s="64" t="s">
        <v>353</v>
      </c>
      <c r="U45" s="64" t="s">
        <v>50</v>
      </c>
      <c r="V45" s="64" t="s">
        <v>353</v>
      </c>
      <c r="W45" s="64" t="s">
        <v>354</v>
      </c>
      <c r="X45" s="64" t="s">
        <v>87</v>
      </c>
      <c r="Y45" s="79">
        <v>0.64583333333333337</v>
      </c>
      <c r="Z45" s="64" t="s">
        <v>110</v>
      </c>
      <c r="AA45" s="64" t="s">
        <v>327</v>
      </c>
      <c r="AB45" s="87">
        <v>14369</v>
      </c>
      <c r="AC45" s="82" t="s">
        <v>355</v>
      </c>
      <c r="AD45" s="64" t="s">
        <v>90</v>
      </c>
      <c r="AE45" s="64" t="s">
        <v>356</v>
      </c>
      <c r="AF45" s="64">
        <v>21</v>
      </c>
      <c r="AG45" s="64" t="s">
        <v>92</v>
      </c>
      <c r="AH45" s="64" t="s">
        <v>93</v>
      </c>
      <c r="AI45" s="64" t="s">
        <v>59</v>
      </c>
      <c r="AJ45" s="64" t="s">
        <v>60</v>
      </c>
      <c r="AK45" s="68" t="s">
        <v>357</v>
      </c>
      <c r="AL45" s="65" t="s">
        <v>62</v>
      </c>
      <c r="AM45" s="65" t="s">
        <v>63</v>
      </c>
      <c r="AN45" s="65" t="s">
        <v>63</v>
      </c>
    </row>
    <row r="46" spans="1:40" s="66" customFormat="1" x14ac:dyDescent="0.25">
      <c r="A46" s="64">
        <v>2021</v>
      </c>
      <c r="B46" s="64" t="s">
        <v>230</v>
      </c>
      <c r="C46" s="64" t="s">
        <v>42</v>
      </c>
      <c r="D46" s="64" t="s">
        <v>358</v>
      </c>
      <c r="E46" s="64" t="s">
        <v>359</v>
      </c>
      <c r="F46" s="64" t="s">
        <v>116</v>
      </c>
      <c r="G46" s="64" t="s">
        <v>360</v>
      </c>
      <c r="H46" s="78">
        <v>42723</v>
      </c>
      <c r="I46" s="64">
        <f t="shared" si="2"/>
        <v>50</v>
      </c>
      <c r="J46" s="78">
        <v>44249</v>
      </c>
      <c r="K46" s="64" t="str">
        <f t="shared" si="1"/>
        <v>ANTIGUO</v>
      </c>
      <c r="L46" s="64"/>
      <c r="M46" s="64"/>
      <c r="N46" s="64"/>
      <c r="O46" s="64">
        <v>0</v>
      </c>
      <c r="P46" s="64" t="s">
        <v>47</v>
      </c>
      <c r="Q46" s="64"/>
      <c r="R46" s="65"/>
      <c r="S46" s="64" t="s">
        <v>83</v>
      </c>
      <c r="T46" s="64" t="s">
        <v>84</v>
      </c>
      <c r="U46" s="64" t="s">
        <v>50</v>
      </c>
      <c r="V46" s="64" t="s">
        <v>361</v>
      </c>
      <c r="W46" s="64" t="s">
        <v>362</v>
      </c>
      <c r="X46" s="64" t="s">
        <v>52</v>
      </c>
      <c r="Y46" s="79">
        <v>0.35416666666666669</v>
      </c>
      <c r="Z46" s="64" t="s">
        <v>53</v>
      </c>
      <c r="AA46" s="64" t="s">
        <v>363</v>
      </c>
      <c r="AB46" s="65"/>
      <c r="AC46" s="82"/>
      <c r="AD46" s="64" t="s">
        <v>90</v>
      </c>
      <c r="AE46" s="64" t="s">
        <v>364</v>
      </c>
      <c r="AF46" s="64">
        <v>56</v>
      </c>
      <c r="AG46" s="64" t="s">
        <v>92</v>
      </c>
      <c r="AH46" s="64" t="s">
        <v>58</v>
      </c>
      <c r="AI46" s="64" t="s">
        <v>59</v>
      </c>
      <c r="AJ46" s="64" t="s">
        <v>60</v>
      </c>
      <c r="AK46" s="68" t="s">
        <v>365</v>
      </c>
      <c r="AL46" s="65" t="s">
        <v>62</v>
      </c>
      <c r="AM46" s="65" t="s">
        <v>63</v>
      </c>
      <c r="AN46" s="65" t="s">
        <v>64</v>
      </c>
    </row>
    <row r="47" spans="1:40" s="66" customFormat="1" x14ac:dyDescent="0.25">
      <c r="A47" s="64">
        <v>2021</v>
      </c>
      <c r="B47" s="64" t="s">
        <v>230</v>
      </c>
      <c r="C47" s="64" t="s">
        <v>42</v>
      </c>
      <c r="D47" s="64" t="s">
        <v>366</v>
      </c>
      <c r="E47" s="64" t="s">
        <v>105</v>
      </c>
      <c r="F47" s="64" t="s">
        <v>45</v>
      </c>
      <c r="G47" s="64" t="s">
        <v>367</v>
      </c>
      <c r="H47" s="78">
        <v>43347</v>
      </c>
      <c r="I47" s="64">
        <f t="shared" si="2"/>
        <v>29</v>
      </c>
      <c r="J47" s="78">
        <v>44249</v>
      </c>
      <c r="K47" s="64" t="str">
        <f t="shared" si="1"/>
        <v>INTERMEDIO</v>
      </c>
      <c r="L47" s="64"/>
      <c r="M47" s="64"/>
      <c r="N47" s="64"/>
      <c r="O47" s="64">
        <v>0</v>
      </c>
      <c r="P47" s="64" t="s">
        <v>47</v>
      </c>
      <c r="Q47" s="64"/>
      <c r="R47" s="65"/>
      <c r="S47" s="64" t="s">
        <v>107</v>
      </c>
      <c r="T47" s="64" t="s">
        <v>368</v>
      </c>
      <c r="U47" s="64" t="s">
        <v>50</v>
      </c>
      <c r="V47" s="64" t="s">
        <v>369</v>
      </c>
      <c r="W47" s="64" t="s">
        <v>370</v>
      </c>
      <c r="X47" s="64" t="s">
        <v>87</v>
      </c>
      <c r="Y47" s="79">
        <v>0.72222222222222221</v>
      </c>
      <c r="Z47" s="64" t="s">
        <v>53</v>
      </c>
      <c r="AA47" s="64" t="s">
        <v>363</v>
      </c>
      <c r="AB47" s="65"/>
      <c r="AC47" s="82"/>
      <c r="AD47" s="64" t="s">
        <v>111</v>
      </c>
      <c r="AE47" s="64" t="s">
        <v>112</v>
      </c>
      <c r="AF47" s="64">
        <v>51</v>
      </c>
      <c r="AG47" s="64" t="s">
        <v>122</v>
      </c>
      <c r="AH47" s="64" t="s">
        <v>123</v>
      </c>
      <c r="AI47" s="64" t="s">
        <v>124</v>
      </c>
      <c r="AJ47" s="64" t="s">
        <v>125</v>
      </c>
      <c r="AK47" s="68" t="s">
        <v>371</v>
      </c>
      <c r="AL47" s="65" t="s">
        <v>62</v>
      </c>
      <c r="AM47" s="65" t="s">
        <v>63</v>
      </c>
      <c r="AN47" s="65" t="s">
        <v>64</v>
      </c>
    </row>
    <row r="48" spans="1:40" s="66" customFormat="1" x14ac:dyDescent="0.25">
      <c r="A48" s="64">
        <v>2021</v>
      </c>
      <c r="B48" s="64" t="s">
        <v>230</v>
      </c>
      <c r="C48" s="64" t="s">
        <v>42</v>
      </c>
      <c r="D48" s="64" t="s">
        <v>372</v>
      </c>
      <c r="E48" s="64" t="s">
        <v>336</v>
      </c>
      <c r="F48" s="64" t="s">
        <v>45</v>
      </c>
      <c r="G48" s="64" t="s">
        <v>373</v>
      </c>
      <c r="H48" s="78">
        <v>43168</v>
      </c>
      <c r="I48" s="64">
        <f t="shared" si="2"/>
        <v>35</v>
      </c>
      <c r="J48" s="78">
        <v>44250</v>
      </c>
      <c r="K48" s="64" t="str">
        <f t="shared" si="1"/>
        <v>INTERMEDIO</v>
      </c>
      <c r="L48" s="64"/>
      <c r="M48" s="64"/>
      <c r="N48" s="64"/>
      <c r="O48" s="64">
        <v>0</v>
      </c>
      <c r="P48" s="64" t="s">
        <v>47</v>
      </c>
      <c r="Q48" s="64"/>
      <c r="R48" s="65"/>
      <c r="S48" s="64" t="s">
        <v>107</v>
      </c>
      <c r="T48" s="64" t="s">
        <v>374</v>
      </c>
      <c r="U48" s="64" t="s">
        <v>50</v>
      </c>
      <c r="V48" s="64" t="s">
        <v>375</v>
      </c>
      <c r="W48" s="64" t="s">
        <v>376</v>
      </c>
      <c r="X48" s="64" t="s">
        <v>87</v>
      </c>
      <c r="Y48" s="79">
        <v>0.73611111111111116</v>
      </c>
      <c r="Z48" s="64" t="s">
        <v>72</v>
      </c>
      <c r="AA48" s="64" t="s">
        <v>363</v>
      </c>
      <c r="AB48" s="65"/>
      <c r="AC48" s="82"/>
      <c r="AD48" s="64" t="s">
        <v>111</v>
      </c>
      <c r="AE48" s="64" t="s">
        <v>298</v>
      </c>
      <c r="AF48" s="64">
        <v>21</v>
      </c>
      <c r="AG48" s="64" t="s">
        <v>76</v>
      </c>
      <c r="AH48" s="64" t="s">
        <v>58</v>
      </c>
      <c r="AI48" s="64" t="s">
        <v>94</v>
      </c>
      <c r="AJ48" s="64" t="s">
        <v>60</v>
      </c>
      <c r="AK48" s="68" t="s">
        <v>377</v>
      </c>
      <c r="AL48" s="65" t="s">
        <v>62</v>
      </c>
      <c r="AM48" s="65" t="s">
        <v>63</v>
      </c>
      <c r="AN48" s="65" t="s">
        <v>64</v>
      </c>
    </row>
    <row r="49" spans="1:40" s="66" customFormat="1" x14ac:dyDescent="0.25">
      <c r="A49" s="64">
        <v>2021</v>
      </c>
      <c r="B49" s="64" t="s">
        <v>230</v>
      </c>
      <c r="C49" s="64" t="s">
        <v>42</v>
      </c>
      <c r="D49" s="64" t="s">
        <v>378</v>
      </c>
      <c r="E49" s="64" t="s">
        <v>379</v>
      </c>
      <c r="F49" s="64" t="s">
        <v>116</v>
      </c>
      <c r="G49" s="64" t="s">
        <v>380</v>
      </c>
      <c r="H49" s="78">
        <v>42884</v>
      </c>
      <c r="I49" s="64">
        <f t="shared" si="2"/>
        <v>44</v>
      </c>
      <c r="J49" s="78">
        <v>44251</v>
      </c>
      <c r="K49" s="64" t="str">
        <f t="shared" si="1"/>
        <v>ANTIGUO</v>
      </c>
      <c r="L49" s="78">
        <v>44252</v>
      </c>
      <c r="M49" s="64"/>
      <c r="N49" s="64"/>
      <c r="O49" s="64">
        <v>5</v>
      </c>
      <c r="P49" s="64" t="s">
        <v>68</v>
      </c>
      <c r="Q49" s="64"/>
      <c r="R49" s="65"/>
      <c r="S49" s="64" t="s">
        <v>118</v>
      </c>
      <c r="T49" s="64" t="s">
        <v>119</v>
      </c>
      <c r="U49" s="64" t="s">
        <v>381</v>
      </c>
      <c r="V49" s="64" t="s">
        <v>326</v>
      </c>
      <c r="W49" s="64" t="s">
        <v>71</v>
      </c>
      <c r="X49" s="64" t="s">
        <v>52</v>
      </c>
      <c r="Y49" s="79">
        <v>0.29166666666666669</v>
      </c>
      <c r="Z49" s="64" t="s">
        <v>88</v>
      </c>
      <c r="AA49" s="64" t="s">
        <v>363</v>
      </c>
      <c r="AB49" s="87">
        <v>14341</v>
      </c>
      <c r="AC49" s="82" t="s">
        <v>382</v>
      </c>
      <c r="AD49" s="64" t="s">
        <v>74</v>
      </c>
      <c r="AE49" s="64" t="s">
        <v>191</v>
      </c>
      <c r="AF49" s="64">
        <v>38</v>
      </c>
      <c r="AG49" s="64" t="s">
        <v>140</v>
      </c>
      <c r="AH49" s="64" t="s">
        <v>102</v>
      </c>
      <c r="AI49" s="64" t="s">
        <v>59</v>
      </c>
      <c r="AJ49" s="64" t="s">
        <v>60</v>
      </c>
      <c r="AK49" s="68" t="s">
        <v>383</v>
      </c>
      <c r="AL49" s="65" t="s">
        <v>62</v>
      </c>
      <c r="AM49" s="65" t="s">
        <v>63</v>
      </c>
      <c r="AN49" s="65" t="s">
        <v>63</v>
      </c>
    </row>
    <row r="50" spans="1:40" s="66" customFormat="1" x14ac:dyDescent="0.25">
      <c r="A50" s="64">
        <v>2021</v>
      </c>
      <c r="B50" s="64" t="s">
        <v>230</v>
      </c>
      <c r="C50" s="64" t="s">
        <v>42</v>
      </c>
      <c r="D50" s="64" t="s">
        <v>384</v>
      </c>
      <c r="E50" s="64" t="s">
        <v>385</v>
      </c>
      <c r="F50" s="64" t="s">
        <v>45</v>
      </c>
      <c r="G50" s="64" t="s">
        <v>386</v>
      </c>
      <c r="H50" s="78">
        <v>43864</v>
      </c>
      <c r="I50" s="64">
        <f t="shared" si="2"/>
        <v>22</v>
      </c>
      <c r="J50" s="78">
        <v>44555</v>
      </c>
      <c r="K50" s="64" t="str">
        <f t="shared" si="1"/>
        <v>INTERMEDIO</v>
      </c>
      <c r="L50" s="64"/>
      <c r="M50" s="64"/>
      <c r="N50" s="64"/>
      <c r="O50" s="64">
        <v>0</v>
      </c>
      <c r="P50" s="64" t="s">
        <v>47</v>
      </c>
      <c r="Q50" s="64"/>
      <c r="R50" s="65"/>
      <c r="S50" s="64" t="s">
        <v>69</v>
      </c>
      <c r="T50" s="64" t="s">
        <v>387</v>
      </c>
      <c r="U50" s="64" t="s">
        <v>50</v>
      </c>
      <c r="V50" s="64" t="s">
        <v>388</v>
      </c>
      <c r="W50" s="64" t="s">
        <v>71</v>
      </c>
      <c r="X50" s="64" t="s">
        <v>52</v>
      </c>
      <c r="Y50" s="79">
        <v>0.41666666666666669</v>
      </c>
      <c r="Z50" s="64" t="s">
        <v>100</v>
      </c>
      <c r="AA50" s="64" t="s">
        <v>363</v>
      </c>
      <c r="AB50" s="65"/>
      <c r="AC50" s="82"/>
      <c r="AD50" s="64" t="s">
        <v>74</v>
      </c>
      <c r="AE50" s="64" t="s">
        <v>75</v>
      </c>
      <c r="AF50" s="64">
        <v>30</v>
      </c>
      <c r="AG50" s="64" t="s">
        <v>389</v>
      </c>
      <c r="AH50" s="64" t="s">
        <v>102</v>
      </c>
      <c r="AI50" s="64" t="s">
        <v>59</v>
      </c>
      <c r="AJ50" s="64" t="s">
        <v>60</v>
      </c>
      <c r="AK50" s="68" t="s">
        <v>390</v>
      </c>
      <c r="AL50" s="65" t="s">
        <v>62</v>
      </c>
      <c r="AM50" s="65" t="s">
        <v>63</v>
      </c>
      <c r="AN50" s="65" t="s">
        <v>64</v>
      </c>
    </row>
    <row r="51" spans="1:40" s="66" customFormat="1" hidden="1" x14ac:dyDescent="0.25">
      <c r="A51" s="64">
        <v>2021</v>
      </c>
      <c r="B51" s="64" t="s">
        <v>391</v>
      </c>
      <c r="C51" s="64" t="s">
        <v>42</v>
      </c>
      <c r="D51" s="64" t="s">
        <v>392</v>
      </c>
      <c r="E51" s="64" t="s">
        <v>393</v>
      </c>
      <c r="F51" s="64" t="s">
        <v>45</v>
      </c>
      <c r="G51" s="64" t="s">
        <v>394</v>
      </c>
      <c r="H51" s="78">
        <v>44077</v>
      </c>
      <c r="I51" s="64">
        <f t="shared" si="2"/>
        <v>5</v>
      </c>
      <c r="J51" s="78">
        <v>44256</v>
      </c>
      <c r="K51" s="64" t="str">
        <f t="shared" si="1"/>
        <v>NUEVO</v>
      </c>
      <c r="L51" s="64"/>
      <c r="M51" s="64"/>
      <c r="N51" s="64"/>
      <c r="O51" s="64">
        <v>0</v>
      </c>
      <c r="P51" s="64" t="s">
        <v>47</v>
      </c>
      <c r="Q51" s="64"/>
      <c r="R51" s="65"/>
      <c r="S51" s="64" t="s">
        <v>69</v>
      </c>
      <c r="T51" s="64" t="s">
        <v>292</v>
      </c>
      <c r="U51" s="64" t="s">
        <v>395</v>
      </c>
      <c r="V51" s="64" t="s">
        <v>292</v>
      </c>
      <c r="W51" s="64" t="s">
        <v>320</v>
      </c>
      <c r="X51" s="64" t="s">
        <v>87</v>
      </c>
      <c r="Y51" s="79">
        <v>0.85416666666666663</v>
      </c>
      <c r="Z51" s="64" t="s">
        <v>53</v>
      </c>
      <c r="AA51" s="64" t="s">
        <v>396</v>
      </c>
      <c r="AB51" s="65"/>
      <c r="AC51" s="82"/>
      <c r="AD51" s="64" t="s">
        <v>74</v>
      </c>
      <c r="AE51" s="64" t="s">
        <v>293</v>
      </c>
      <c r="AF51" s="64">
        <v>32</v>
      </c>
      <c r="AG51" s="64" t="s">
        <v>76</v>
      </c>
      <c r="AH51" s="64" t="s">
        <v>93</v>
      </c>
      <c r="AI51" s="64" t="s">
        <v>59</v>
      </c>
      <c r="AJ51" s="64" t="s">
        <v>60</v>
      </c>
      <c r="AK51" s="68" t="s">
        <v>397</v>
      </c>
      <c r="AL51" s="65" t="s">
        <v>62</v>
      </c>
      <c r="AM51" s="65" t="s">
        <v>63</v>
      </c>
      <c r="AN51" s="65" t="s">
        <v>64</v>
      </c>
    </row>
    <row r="52" spans="1:40" s="66" customFormat="1" hidden="1" x14ac:dyDescent="0.25">
      <c r="A52" s="64">
        <v>2021</v>
      </c>
      <c r="B52" s="64" t="s">
        <v>391</v>
      </c>
      <c r="C52" s="64" t="s">
        <v>42</v>
      </c>
      <c r="D52" s="45" t="s">
        <v>398</v>
      </c>
      <c r="E52" s="64" t="s">
        <v>399</v>
      </c>
      <c r="F52" s="64" t="s">
        <v>45</v>
      </c>
      <c r="G52" s="64" t="s">
        <v>400</v>
      </c>
      <c r="H52" s="78">
        <v>39122</v>
      </c>
      <c r="I52" s="64">
        <f t="shared" si="2"/>
        <v>168</v>
      </c>
      <c r="J52" s="78">
        <v>44258</v>
      </c>
      <c r="K52" s="64" t="str">
        <f>IF(I52&lt;=18,"NUEVO",IF(I52&lt;=36,"INTERMEDIO","ANTIGUO"))</f>
        <v>ANTIGUO</v>
      </c>
      <c r="L52" s="78">
        <v>44258</v>
      </c>
      <c r="M52" s="78">
        <v>44260</v>
      </c>
      <c r="N52" s="64"/>
      <c r="O52" s="64">
        <v>3</v>
      </c>
      <c r="P52" s="64" t="s">
        <v>68</v>
      </c>
      <c r="Q52" s="64"/>
      <c r="R52" s="65"/>
      <c r="S52" s="64" t="s">
        <v>156</v>
      </c>
      <c r="T52" s="64" t="s">
        <v>401</v>
      </c>
      <c r="U52" s="64" t="s">
        <v>50</v>
      </c>
      <c r="V52" s="64" t="s">
        <v>401</v>
      </c>
      <c r="W52" s="64" t="s">
        <v>71</v>
      </c>
      <c r="X52" s="64" t="s">
        <v>52</v>
      </c>
      <c r="Y52" s="79">
        <v>0.53125</v>
      </c>
      <c r="Z52" s="64" t="s">
        <v>88</v>
      </c>
      <c r="AA52" s="64" t="s">
        <v>396</v>
      </c>
      <c r="AB52" s="87">
        <v>14353</v>
      </c>
      <c r="AC52" s="82" t="s">
        <v>402</v>
      </c>
      <c r="AD52" s="64" t="s">
        <v>159</v>
      </c>
      <c r="AE52" s="64" t="s">
        <v>184</v>
      </c>
      <c r="AF52" s="64">
        <v>48</v>
      </c>
      <c r="AG52" s="64" t="s">
        <v>132</v>
      </c>
      <c r="AH52" s="64" t="s">
        <v>236</v>
      </c>
      <c r="AI52" s="64" t="s">
        <v>59</v>
      </c>
      <c r="AJ52" s="64" t="s">
        <v>60</v>
      </c>
      <c r="AK52" s="92" t="s">
        <v>403</v>
      </c>
      <c r="AL52" s="65" t="s">
        <v>103</v>
      </c>
      <c r="AM52" s="65" t="s">
        <v>63</v>
      </c>
      <c r="AN52" s="65" t="s">
        <v>63</v>
      </c>
    </row>
    <row r="53" spans="1:40" s="66" customFormat="1" hidden="1" x14ac:dyDescent="0.25">
      <c r="A53" s="64">
        <v>2021</v>
      </c>
      <c r="B53" s="64" t="s">
        <v>391</v>
      </c>
      <c r="C53" s="64" t="s">
        <v>42</v>
      </c>
      <c r="D53" s="64" t="s">
        <v>404</v>
      </c>
      <c r="E53" s="64" t="s">
        <v>405</v>
      </c>
      <c r="F53" s="64" t="s">
        <v>45</v>
      </c>
      <c r="G53" s="64" t="s">
        <v>406</v>
      </c>
      <c r="H53" s="78">
        <v>43389</v>
      </c>
      <c r="I53" s="64">
        <f t="shared" si="2"/>
        <v>28</v>
      </c>
      <c r="J53" s="78">
        <v>44260</v>
      </c>
      <c r="K53" s="64" t="str">
        <f t="shared" ref="K53:K93" si="3">IF(I53&lt;=18,"NUEVO",IF(I53&lt;=36,"INTERMEDIO","ANTIGUO"))</f>
        <v>INTERMEDIO</v>
      </c>
      <c r="L53" s="64"/>
      <c r="M53" s="64"/>
      <c r="N53" s="64"/>
      <c r="O53" s="64">
        <v>0</v>
      </c>
      <c r="P53" s="64" t="s">
        <v>47</v>
      </c>
      <c r="Q53" s="64"/>
      <c r="R53" s="65"/>
      <c r="S53" s="64" t="s">
        <v>156</v>
      </c>
      <c r="T53" s="64" t="s">
        <v>407</v>
      </c>
      <c r="U53" s="64" t="s">
        <v>50</v>
      </c>
      <c r="V53" s="64" t="s">
        <v>407</v>
      </c>
      <c r="W53" s="64" t="s">
        <v>71</v>
      </c>
      <c r="X53" s="64" t="s">
        <v>52</v>
      </c>
      <c r="Y53" s="79">
        <v>0.27777777777777779</v>
      </c>
      <c r="Z53" s="64" t="s">
        <v>110</v>
      </c>
      <c r="AA53" s="64" t="s">
        <v>396</v>
      </c>
      <c r="AB53" s="65"/>
      <c r="AC53" s="82" t="s">
        <v>211</v>
      </c>
      <c r="AD53" s="64" t="s">
        <v>159</v>
      </c>
      <c r="AE53" s="64" t="s">
        <v>184</v>
      </c>
      <c r="AF53" s="64">
        <v>50</v>
      </c>
      <c r="AG53" s="64" t="s">
        <v>140</v>
      </c>
      <c r="AH53" s="64" t="s">
        <v>58</v>
      </c>
      <c r="AI53" s="64" t="s">
        <v>59</v>
      </c>
      <c r="AJ53" s="64" t="s">
        <v>244</v>
      </c>
      <c r="AK53" s="68" t="s">
        <v>408</v>
      </c>
      <c r="AL53" s="65" t="s">
        <v>62</v>
      </c>
      <c r="AM53" s="65" t="s">
        <v>63</v>
      </c>
      <c r="AN53" s="65" t="s">
        <v>64</v>
      </c>
    </row>
    <row r="54" spans="1:40" s="66" customFormat="1" hidden="1" x14ac:dyDescent="0.25">
      <c r="A54" s="64">
        <v>2021</v>
      </c>
      <c r="B54" s="64" t="s">
        <v>391</v>
      </c>
      <c r="C54" s="64" t="s">
        <v>42</v>
      </c>
      <c r="D54" s="64" t="s">
        <v>409</v>
      </c>
      <c r="E54" s="64" t="s">
        <v>410</v>
      </c>
      <c r="F54" s="64" t="s">
        <v>45</v>
      </c>
      <c r="G54" s="64" t="s">
        <v>411</v>
      </c>
      <c r="H54" s="78">
        <v>44139</v>
      </c>
      <c r="I54" s="64">
        <f t="shared" si="2"/>
        <v>4</v>
      </c>
      <c r="J54" s="78">
        <v>44260</v>
      </c>
      <c r="K54" s="64" t="str">
        <f t="shared" si="3"/>
        <v>NUEVO</v>
      </c>
      <c r="L54" s="64"/>
      <c r="M54" s="64"/>
      <c r="N54" s="64"/>
      <c r="O54" s="64">
        <v>0</v>
      </c>
      <c r="P54" s="64" t="s">
        <v>47</v>
      </c>
      <c r="Q54" s="64"/>
      <c r="R54" s="65"/>
      <c r="S54" s="64" t="s">
        <v>48</v>
      </c>
      <c r="T54" s="64" t="s">
        <v>49</v>
      </c>
      <c r="U54" s="64" t="s">
        <v>412</v>
      </c>
      <c r="V54" s="64" t="s">
        <v>49</v>
      </c>
      <c r="W54" s="64" t="s">
        <v>71</v>
      </c>
      <c r="X54" s="64" t="s">
        <v>87</v>
      </c>
      <c r="Y54" s="79">
        <v>0.5</v>
      </c>
      <c r="Z54" s="64" t="s">
        <v>110</v>
      </c>
      <c r="AA54" s="64" t="s">
        <v>396</v>
      </c>
      <c r="AB54" s="65"/>
      <c r="AC54" s="82"/>
      <c r="AD54" s="64" t="s">
        <v>55</v>
      </c>
      <c r="AE54" s="64" t="s">
        <v>56</v>
      </c>
      <c r="AF54" s="64">
        <v>48</v>
      </c>
      <c r="AG54" s="64" t="s">
        <v>413</v>
      </c>
      <c r="AH54" s="64" t="s">
        <v>149</v>
      </c>
      <c r="AI54" s="64" t="s">
        <v>59</v>
      </c>
      <c r="AJ54" s="64" t="s">
        <v>224</v>
      </c>
      <c r="AK54" s="68" t="s">
        <v>414</v>
      </c>
      <c r="AL54" s="65" t="s">
        <v>62</v>
      </c>
      <c r="AM54" s="65" t="s">
        <v>63</v>
      </c>
      <c r="AN54" s="65" t="s">
        <v>64</v>
      </c>
    </row>
    <row r="55" spans="1:40" s="66" customFormat="1" hidden="1" x14ac:dyDescent="0.25">
      <c r="A55" s="64">
        <v>2021</v>
      </c>
      <c r="B55" s="64" t="s">
        <v>391</v>
      </c>
      <c r="C55" s="64" t="s">
        <v>42</v>
      </c>
      <c r="D55" s="64" t="s">
        <v>415</v>
      </c>
      <c r="E55" s="64" t="s">
        <v>416</v>
      </c>
      <c r="F55" s="64" t="s">
        <v>45</v>
      </c>
      <c r="G55" s="64" t="s">
        <v>417</v>
      </c>
      <c r="H55" s="78">
        <v>43318</v>
      </c>
      <c r="I55" s="64">
        <f t="shared" si="2"/>
        <v>30</v>
      </c>
      <c r="J55" s="78">
        <v>44260</v>
      </c>
      <c r="K55" s="64" t="str">
        <f t="shared" si="3"/>
        <v>INTERMEDIO</v>
      </c>
      <c r="L55" s="64"/>
      <c r="M55" s="64"/>
      <c r="N55" s="64"/>
      <c r="O55" s="64">
        <v>0</v>
      </c>
      <c r="P55" s="64" t="s">
        <v>47</v>
      </c>
      <c r="Q55" s="64"/>
      <c r="R55" s="65"/>
      <c r="S55" s="64" t="s">
        <v>48</v>
      </c>
      <c r="T55" s="64" t="s">
        <v>99</v>
      </c>
      <c r="U55" s="64" t="s">
        <v>412</v>
      </c>
      <c r="V55" s="64" t="s">
        <v>418</v>
      </c>
      <c r="W55" s="64" t="s">
        <v>71</v>
      </c>
      <c r="X55" s="64" t="s">
        <v>87</v>
      </c>
      <c r="Y55" s="79">
        <v>0.54166666666666663</v>
      </c>
      <c r="Z55" s="64" t="s">
        <v>110</v>
      </c>
      <c r="AA55" s="64" t="s">
        <v>396</v>
      </c>
      <c r="AB55" s="65"/>
      <c r="AC55" s="82"/>
      <c r="AD55" s="64" t="s">
        <v>55</v>
      </c>
      <c r="AE55" s="64" t="s">
        <v>101</v>
      </c>
      <c r="AF55" s="64">
        <v>37</v>
      </c>
      <c r="AG55" s="64" t="s">
        <v>140</v>
      </c>
      <c r="AH55" s="64" t="s">
        <v>419</v>
      </c>
      <c r="AI55" s="64" t="s">
        <v>59</v>
      </c>
      <c r="AJ55" s="64" t="s">
        <v>60</v>
      </c>
      <c r="AK55" s="68" t="s">
        <v>1517</v>
      </c>
      <c r="AL55" s="65" t="s">
        <v>103</v>
      </c>
      <c r="AM55" s="65" t="s">
        <v>63</v>
      </c>
      <c r="AN55" s="65" t="s">
        <v>64</v>
      </c>
    </row>
    <row r="56" spans="1:40" s="66" customFormat="1" hidden="1" x14ac:dyDescent="0.25">
      <c r="A56" s="64">
        <v>2021</v>
      </c>
      <c r="B56" s="64" t="s">
        <v>391</v>
      </c>
      <c r="C56" s="64" t="s">
        <v>42</v>
      </c>
      <c r="D56" s="64" t="s">
        <v>420</v>
      </c>
      <c r="E56" s="64" t="s">
        <v>421</v>
      </c>
      <c r="F56" s="64" t="s">
        <v>116</v>
      </c>
      <c r="G56" s="64" t="s">
        <v>422</v>
      </c>
      <c r="H56" s="78">
        <v>42614</v>
      </c>
      <c r="I56" s="64">
        <f t="shared" si="2"/>
        <v>54</v>
      </c>
      <c r="J56" s="78">
        <v>44260</v>
      </c>
      <c r="K56" s="64" t="str">
        <f t="shared" si="3"/>
        <v>ANTIGUO</v>
      </c>
      <c r="L56" s="78">
        <v>44267</v>
      </c>
      <c r="M56" s="78">
        <v>44267</v>
      </c>
      <c r="N56" s="64"/>
      <c r="O56" s="64">
        <v>0</v>
      </c>
      <c r="P56" s="64" t="s">
        <v>1509</v>
      </c>
      <c r="Q56" s="64"/>
      <c r="R56" s="65"/>
      <c r="S56" s="64" t="s">
        <v>118</v>
      </c>
      <c r="T56" s="64" t="s">
        <v>119</v>
      </c>
      <c r="U56" s="64" t="s">
        <v>381</v>
      </c>
      <c r="V56" s="64" t="s">
        <v>119</v>
      </c>
      <c r="W56" s="64" t="s">
        <v>71</v>
      </c>
      <c r="X56" s="64" t="s">
        <v>87</v>
      </c>
      <c r="Y56" s="79">
        <v>0.76388888888888884</v>
      </c>
      <c r="Z56" s="64" t="s">
        <v>110</v>
      </c>
      <c r="AA56" s="64" t="s">
        <v>396</v>
      </c>
      <c r="AB56" s="87">
        <v>14368</v>
      </c>
      <c r="AC56" s="82" t="s">
        <v>423</v>
      </c>
      <c r="AD56" s="64" t="s">
        <v>74</v>
      </c>
      <c r="AE56" s="64" t="s">
        <v>191</v>
      </c>
      <c r="AF56" s="64">
        <v>61</v>
      </c>
      <c r="AG56" s="64" t="s">
        <v>92</v>
      </c>
      <c r="AH56" s="64" t="s">
        <v>133</v>
      </c>
      <c r="AI56" s="64" t="s">
        <v>59</v>
      </c>
      <c r="AJ56" s="64" t="s">
        <v>78</v>
      </c>
      <c r="AK56" s="68" t="s">
        <v>424</v>
      </c>
      <c r="AL56" s="65" t="s">
        <v>62</v>
      </c>
      <c r="AM56" s="65" t="s">
        <v>63</v>
      </c>
      <c r="AN56" s="65" t="s">
        <v>63</v>
      </c>
    </row>
    <row r="57" spans="1:40" s="66" customFormat="1" hidden="1" x14ac:dyDescent="0.25">
      <c r="A57" s="64">
        <v>2021</v>
      </c>
      <c r="B57" s="64" t="s">
        <v>391</v>
      </c>
      <c r="C57" s="64" t="s">
        <v>42</v>
      </c>
      <c r="D57" s="64" t="s">
        <v>425</v>
      </c>
      <c r="E57" s="64" t="s">
        <v>426</v>
      </c>
      <c r="F57" s="64" t="s">
        <v>116</v>
      </c>
      <c r="G57" s="64" t="s">
        <v>427</v>
      </c>
      <c r="H57" s="78">
        <v>41918</v>
      </c>
      <c r="I57" s="64">
        <f t="shared" si="2"/>
        <v>77</v>
      </c>
      <c r="J57" s="78">
        <v>44264</v>
      </c>
      <c r="K57" s="64" t="str">
        <f t="shared" si="3"/>
        <v>ANTIGUO</v>
      </c>
      <c r="L57" s="78">
        <v>44265</v>
      </c>
      <c r="M57" s="78">
        <v>44272</v>
      </c>
      <c r="N57" s="64"/>
      <c r="O57" s="64">
        <v>11</v>
      </c>
      <c r="P57" s="64" t="s">
        <v>68</v>
      </c>
      <c r="Q57" s="64"/>
      <c r="R57" s="65"/>
      <c r="S57" s="64" t="s">
        <v>118</v>
      </c>
      <c r="T57" s="64" t="s">
        <v>119</v>
      </c>
      <c r="U57" s="64" t="s">
        <v>381</v>
      </c>
      <c r="V57" s="64" t="s">
        <v>119</v>
      </c>
      <c r="W57" s="64" t="s">
        <v>71</v>
      </c>
      <c r="X57" s="64" t="s">
        <v>87</v>
      </c>
      <c r="Y57" s="79">
        <v>0.86805555555555547</v>
      </c>
      <c r="Z57" s="64" t="s">
        <v>72</v>
      </c>
      <c r="AA57" s="64" t="s">
        <v>428</v>
      </c>
      <c r="AB57" s="87">
        <v>14366</v>
      </c>
      <c r="AC57" s="82" t="s">
        <v>429</v>
      </c>
      <c r="AD57" s="64" t="s">
        <v>74</v>
      </c>
      <c r="AE57" s="64" t="s">
        <v>131</v>
      </c>
      <c r="AF57" s="64">
        <v>38</v>
      </c>
      <c r="AG57" s="64" t="s">
        <v>328</v>
      </c>
      <c r="AH57" s="64" t="s">
        <v>58</v>
      </c>
      <c r="AI57" s="64" t="s">
        <v>94</v>
      </c>
      <c r="AJ57" s="64" t="s">
        <v>199</v>
      </c>
      <c r="AK57" s="68" t="s">
        <v>430</v>
      </c>
      <c r="AL57" s="65" t="s">
        <v>62</v>
      </c>
      <c r="AM57" s="65" t="s">
        <v>63</v>
      </c>
      <c r="AN57" s="65" t="s">
        <v>63</v>
      </c>
    </row>
    <row r="58" spans="1:40" s="66" customFormat="1" hidden="1" x14ac:dyDescent="0.25">
      <c r="A58" s="64">
        <v>2021</v>
      </c>
      <c r="B58" s="64" t="s">
        <v>391</v>
      </c>
      <c r="C58" s="64" t="s">
        <v>42</v>
      </c>
      <c r="D58" s="64" t="s">
        <v>431</v>
      </c>
      <c r="E58" s="64" t="s">
        <v>432</v>
      </c>
      <c r="F58" s="64" t="s">
        <v>116</v>
      </c>
      <c r="G58" s="64" t="s">
        <v>433</v>
      </c>
      <c r="H58" s="78">
        <v>42828</v>
      </c>
      <c r="I58" s="64">
        <f t="shared" si="2"/>
        <v>47</v>
      </c>
      <c r="J58" s="78">
        <v>44264</v>
      </c>
      <c r="K58" s="64" t="str">
        <f t="shared" si="3"/>
        <v>ANTIGUO</v>
      </c>
      <c r="L58" s="64"/>
      <c r="M58" s="64"/>
      <c r="N58" s="64"/>
      <c r="O58" s="64">
        <v>0</v>
      </c>
      <c r="P58" s="64" t="s">
        <v>47</v>
      </c>
      <c r="Q58" s="64"/>
      <c r="R58" s="65"/>
      <c r="S58" s="64" t="s">
        <v>48</v>
      </c>
      <c r="T58" s="64" t="s">
        <v>266</v>
      </c>
      <c r="U58" s="64" t="s">
        <v>50</v>
      </c>
      <c r="V58" s="64" t="s">
        <v>266</v>
      </c>
      <c r="W58" s="64" t="s">
        <v>71</v>
      </c>
      <c r="X58" s="64" t="s">
        <v>109</v>
      </c>
      <c r="Y58" s="79">
        <v>0.90277777777777779</v>
      </c>
      <c r="Z58" s="64" t="s">
        <v>72</v>
      </c>
      <c r="AA58" s="64" t="s">
        <v>428</v>
      </c>
      <c r="AB58" s="65"/>
      <c r="AC58" s="82"/>
      <c r="AD58" s="64" t="s">
        <v>55</v>
      </c>
      <c r="AE58" s="64" t="s">
        <v>101</v>
      </c>
      <c r="AF58" s="64">
        <v>36</v>
      </c>
      <c r="AG58" s="64" t="s">
        <v>92</v>
      </c>
      <c r="AH58" s="64" t="s">
        <v>58</v>
      </c>
      <c r="AI58" s="64" t="s">
        <v>59</v>
      </c>
      <c r="AJ58" s="64" t="s">
        <v>60</v>
      </c>
      <c r="AK58" s="68" t="s">
        <v>434</v>
      </c>
      <c r="AL58" s="65" t="s">
        <v>62</v>
      </c>
      <c r="AM58" s="65" t="s">
        <v>63</v>
      </c>
      <c r="AN58" s="65" t="s">
        <v>64</v>
      </c>
    </row>
    <row r="59" spans="1:40" s="66" customFormat="1" hidden="1" x14ac:dyDescent="0.25">
      <c r="A59" s="64">
        <v>2021</v>
      </c>
      <c r="B59" s="64" t="s">
        <v>391</v>
      </c>
      <c r="C59" s="64" t="s">
        <v>42</v>
      </c>
      <c r="D59" s="64" t="s">
        <v>415</v>
      </c>
      <c r="E59" s="64" t="s">
        <v>416</v>
      </c>
      <c r="F59" s="64" t="s">
        <v>45</v>
      </c>
      <c r="G59" s="64" t="s">
        <v>417</v>
      </c>
      <c r="H59" s="78">
        <v>43318</v>
      </c>
      <c r="I59" s="64">
        <f t="shared" si="2"/>
        <v>31</v>
      </c>
      <c r="J59" s="78">
        <v>44266</v>
      </c>
      <c r="K59" s="64" t="str">
        <f t="shared" si="3"/>
        <v>INTERMEDIO</v>
      </c>
      <c r="L59" s="64"/>
      <c r="M59" s="64"/>
      <c r="N59" s="64"/>
      <c r="O59" s="64">
        <v>0</v>
      </c>
      <c r="P59" s="64" t="s">
        <v>47</v>
      </c>
      <c r="Q59" s="64"/>
      <c r="R59" s="65"/>
      <c r="S59" s="64" t="s">
        <v>48</v>
      </c>
      <c r="T59" s="64" t="s">
        <v>99</v>
      </c>
      <c r="U59" s="64" t="s">
        <v>412</v>
      </c>
      <c r="V59" s="64" t="s">
        <v>99</v>
      </c>
      <c r="W59" s="64" t="s">
        <v>71</v>
      </c>
      <c r="X59" s="64" t="s">
        <v>87</v>
      </c>
      <c r="Y59" s="79">
        <v>0.58333333333333337</v>
      </c>
      <c r="Z59" s="64" t="s">
        <v>100</v>
      </c>
      <c r="AA59" s="64" t="s">
        <v>428</v>
      </c>
      <c r="AB59" s="65"/>
      <c r="AC59" s="82"/>
      <c r="AD59" s="64" t="s">
        <v>55</v>
      </c>
      <c r="AE59" s="64" t="s">
        <v>287</v>
      </c>
      <c r="AF59" s="64">
        <v>37</v>
      </c>
      <c r="AG59" s="64" t="s">
        <v>92</v>
      </c>
      <c r="AH59" s="64" t="s">
        <v>58</v>
      </c>
      <c r="AI59" s="64" t="s">
        <v>59</v>
      </c>
      <c r="AJ59" s="64" t="s">
        <v>78</v>
      </c>
      <c r="AK59" s="68" t="s">
        <v>435</v>
      </c>
      <c r="AL59" s="65" t="s">
        <v>62</v>
      </c>
      <c r="AM59" s="65" t="s">
        <v>63</v>
      </c>
      <c r="AN59" s="65" t="s">
        <v>64</v>
      </c>
    </row>
    <row r="60" spans="1:40" s="66" customFormat="1" hidden="1" x14ac:dyDescent="0.25">
      <c r="A60" s="64">
        <v>2021</v>
      </c>
      <c r="B60" s="64" t="s">
        <v>391</v>
      </c>
      <c r="C60" s="64" t="s">
        <v>42</v>
      </c>
      <c r="D60" s="64" t="s">
        <v>358</v>
      </c>
      <c r="E60" s="64" t="s">
        <v>44</v>
      </c>
      <c r="F60" s="64" t="s">
        <v>45</v>
      </c>
      <c r="G60" s="64" t="s">
        <v>436</v>
      </c>
      <c r="H60" s="78">
        <v>44216</v>
      </c>
      <c r="I60" s="64">
        <f t="shared" si="2"/>
        <v>1</v>
      </c>
      <c r="J60" s="78">
        <v>44261</v>
      </c>
      <c r="K60" s="64" t="str">
        <f t="shared" si="3"/>
        <v>NUEVO</v>
      </c>
      <c r="L60" s="78">
        <v>44263</v>
      </c>
      <c r="M60" s="78">
        <v>44263</v>
      </c>
      <c r="N60" s="64"/>
      <c r="O60" s="64">
        <v>0</v>
      </c>
      <c r="P60" s="64" t="s">
        <v>1509</v>
      </c>
      <c r="Q60" s="64"/>
      <c r="R60" s="65"/>
      <c r="S60" s="64" t="s">
        <v>107</v>
      </c>
      <c r="T60" s="64"/>
      <c r="U60" s="64" t="s">
        <v>50</v>
      </c>
      <c r="V60" s="64"/>
      <c r="W60" s="64" t="s">
        <v>71</v>
      </c>
      <c r="X60" s="64" t="s">
        <v>52</v>
      </c>
      <c r="Y60" s="64" t="s">
        <v>139</v>
      </c>
      <c r="Z60" s="64" t="s">
        <v>147</v>
      </c>
      <c r="AA60" s="64" t="s">
        <v>396</v>
      </c>
      <c r="AB60" s="87">
        <v>14367</v>
      </c>
      <c r="AC60" s="82" t="s">
        <v>437</v>
      </c>
      <c r="AD60" s="64" t="s">
        <v>111</v>
      </c>
      <c r="AE60" s="64" t="s">
        <v>178</v>
      </c>
      <c r="AF60" s="64">
        <v>35</v>
      </c>
      <c r="AG60" s="64" t="s">
        <v>275</v>
      </c>
      <c r="AH60" s="64" t="s">
        <v>419</v>
      </c>
      <c r="AI60" s="64" t="s">
        <v>59</v>
      </c>
      <c r="AJ60" s="64" t="s">
        <v>60</v>
      </c>
      <c r="AK60" s="68" t="s">
        <v>1518</v>
      </c>
      <c r="AL60" s="65" t="s">
        <v>62</v>
      </c>
      <c r="AM60" s="65" t="s">
        <v>63</v>
      </c>
      <c r="AN60" s="65" t="s">
        <v>63</v>
      </c>
    </row>
    <row r="61" spans="1:40" s="66" customFormat="1" hidden="1" x14ac:dyDescent="0.25">
      <c r="A61" s="64">
        <v>2021</v>
      </c>
      <c r="B61" s="64" t="s">
        <v>391</v>
      </c>
      <c r="C61" s="64" t="s">
        <v>42</v>
      </c>
      <c r="D61" s="64" t="s">
        <v>438</v>
      </c>
      <c r="E61" s="64" t="s">
        <v>439</v>
      </c>
      <c r="F61" s="64" t="s">
        <v>45</v>
      </c>
      <c r="G61" s="64" t="s">
        <v>440</v>
      </c>
      <c r="H61" s="78">
        <v>34403</v>
      </c>
      <c r="I61" s="64">
        <f t="shared" si="2"/>
        <v>324</v>
      </c>
      <c r="J61" s="78">
        <v>44268</v>
      </c>
      <c r="K61" s="64" t="str">
        <f t="shared" si="3"/>
        <v>ANTIGUO</v>
      </c>
      <c r="L61" s="64"/>
      <c r="M61" s="64"/>
      <c r="N61" s="64"/>
      <c r="O61" s="64">
        <v>0</v>
      </c>
      <c r="P61" s="64" t="s">
        <v>47</v>
      </c>
      <c r="Q61" s="64"/>
      <c r="R61" s="65"/>
      <c r="S61" s="64" t="s">
        <v>107</v>
      </c>
      <c r="T61" s="64" t="s">
        <v>441</v>
      </c>
      <c r="U61" s="64" t="s">
        <v>442</v>
      </c>
      <c r="V61" s="64" t="s">
        <v>441</v>
      </c>
      <c r="W61" s="64" t="s">
        <v>71</v>
      </c>
      <c r="X61" s="64" t="s">
        <v>87</v>
      </c>
      <c r="Y61" s="79">
        <v>0.64583333333333337</v>
      </c>
      <c r="Z61" s="64" t="s">
        <v>147</v>
      </c>
      <c r="AA61" s="64" t="s">
        <v>428</v>
      </c>
      <c r="AB61" s="65"/>
      <c r="AC61" s="82"/>
      <c r="AD61" s="64" t="s">
        <v>111</v>
      </c>
      <c r="AE61" s="64" t="s">
        <v>298</v>
      </c>
      <c r="AF61" s="64">
        <v>50</v>
      </c>
      <c r="AG61" s="64" t="s">
        <v>389</v>
      </c>
      <c r="AH61" s="64" t="s">
        <v>149</v>
      </c>
      <c r="AI61" s="64" t="s">
        <v>59</v>
      </c>
      <c r="AJ61" s="64" t="s">
        <v>60</v>
      </c>
      <c r="AK61" s="68" t="s">
        <v>443</v>
      </c>
      <c r="AL61" s="65" t="s">
        <v>62</v>
      </c>
      <c r="AM61" s="65" t="s">
        <v>64</v>
      </c>
      <c r="AN61" s="65" t="s">
        <v>64</v>
      </c>
    </row>
    <row r="62" spans="1:40" s="66" customFormat="1" hidden="1" x14ac:dyDescent="0.25">
      <c r="A62" s="64">
        <v>2021</v>
      </c>
      <c r="B62" s="64" t="s">
        <v>391</v>
      </c>
      <c r="C62" s="64" t="s">
        <v>42</v>
      </c>
      <c r="D62" s="64" t="s">
        <v>444</v>
      </c>
      <c r="E62" s="64" t="s">
        <v>445</v>
      </c>
      <c r="F62" s="64" t="s">
        <v>45</v>
      </c>
      <c r="G62" s="64" t="s">
        <v>446</v>
      </c>
      <c r="H62" s="78">
        <v>44217</v>
      </c>
      <c r="I62" s="64">
        <f t="shared" si="2"/>
        <v>1</v>
      </c>
      <c r="J62" s="78">
        <v>44270</v>
      </c>
      <c r="K62" s="64" t="str">
        <f t="shared" si="3"/>
        <v>NUEVO</v>
      </c>
      <c r="L62" s="64"/>
      <c r="M62" s="64"/>
      <c r="N62" s="64"/>
      <c r="O62" s="64">
        <v>0</v>
      </c>
      <c r="P62" s="64" t="s">
        <v>47</v>
      </c>
      <c r="Q62" s="64"/>
      <c r="R62" s="65"/>
      <c r="S62" s="64" t="s">
        <v>69</v>
      </c>
      <c r="T62" s="64" t="s">
        <v>69</v>
      </c>
      <c r="U62" s="64" t="s">
        <v>447</v>
      </c>
      <c r="V62" s="64" t="s">
        <v>69</v>
      </c>
      <c r="W62" s="64" t="s">
        <v>71</v>
      </c>
      <c r="X62" s="64" t="s">
        <v>87</v>
      </c>
      <c r="Y62" s="79">
        <v>0.51388888888888895</v>
      </c>
      <c r="Z62" s="64" t="s">
        <v>53</v>
      </c>
      <c r="AA62" s="64" t="s">
        <v>448</v>
      </c>
      <c r="AB62" s="65"/>
      <c r="AC62" s="82"/>
      <c r="AD62" s="64" t="s">
        <v>74</v>
      </c>
      <c r="AE62" s="64" t="s">
        <v>75</v>
      </c>
      <c r="AF62" s="64">
        <v>18</v>
      </c>
      <c r="AG62" s="64" t="s">
        <v>328</v>
      </c>
      <c r="AH62" s="64" t="s">
        <v>58</v>
      </c>
      <c r="AI62" s="64" t="s">
        <v>94</v>
      </c>
      <c r="AJ62" s="64" t="s">
        <v>199</v>
      </c>
      <c r="AK62" s="68" t="s">
        <v>449</v>
      </c>
      <c r="AL62" s="65" t="s">
        <v>62</v>
      </c>
      <c r="AM62" s="65" t="s">
        <v>63</v>
      </c>
      <c r="AN62" s="65" t="s">
        <v>64</v>
      </c>
    </row>
    <row r="63" spans="1:40" s="66" customFormat="1" hidden="1" x14ac:dyDescent="0.25">
      <c r="A63" s="64">
        <v>2021</v>
      </c>
      <c r="B63" s="64" t="s">
        <v>391</v>
      </c>
      <c r="C63" s="64" t="s">
        <v>42</v>
      </c>
      <c r="D63" s="64" t="s">
        <v>450</v>
      </c>
      <c r="E63" s="64" t="s">
        <v>451</v>
      </c>
      <c r="F63" s="64" t="s">
        <v>116</v>
      </c>
      <c r="G63" s="64" t="s">
        <v>452</v>
      </c>
      <c r="H63" s="78">
        <v>44215</v>
      </c>
      <c r="I63" s="64">
        <f t="shared" si="2"/>
        <v>1</v>
      </c>
      <c r="J63" s="78">
        <v>44270</v>
      </c>
      <c r="K63" s="64" t="str">
        <f t="shared" si="3"/>
        <v>NUEVO</v>
      </c>
      <c r="L63" s="64"/>
      <c r="M63" s="64"/>
      <c r="N63" s="64"/>
      <c r="O63" s="64">
        <v>0</v>
      </c>
      <c r="P63" s="64" t="s">
        <v>47</v>
      </c>
      <c r="Q63" s="64"/>
      <c r="R63" s="65"/>
      <c r="S63" s="64" t="s">
        <v>118</v>
      </c>
      <c r="T63" s="64" t="s">
        <v>119</v>
      </c>
      <c r="U63" s="64" t="s">
        <v>453</v>
      </c>
      <c r="V63" s="64" t="s">
        <v>119</v>
      </c>
      <c r="W63" s="64" t="s">
        <v>71</v>
      </c>
      <c r="X63" s="64" t="s">
        <v>109</v>
      </c>
      <c r="Y63" s="79">
        <v>0.94166666666666676</v>
      </c>
      <c r="Z63" s="64" t="s">
        <v>53</v>
      </c>
      <c r="AA63" s="64" t="s">
        <v>448</v>
      </c>
      <c r="AB63" s="65"/>
      <c r="AC63" s="82"/>
      <c r="AD63" s="64" t="s">
        <v>74</v>
      </c>
      <c r="AE63" s="64" t="s">
        <v>191</v>
      </c>
      <c r="AF63" s="64">
        <v>21</v>
      </c>
      <c r="AG63" s="64" t="s">
        <v>92</v>
      </c>
      <c r="AH63" s="64" t="s">
        <v>149</v>
      </c>
      <c r="AI63" s="64" t="s">
        <v>59</v>
      </c>
      <c r="AJ63" s="64" t="s">
        <v>78</v>
      </c>
      <c r="AK63" s="68" t="s">
        <v>454</v>
      </c>
      <c r="AL63" s="65" t="s">
        <v>103</v>
      </c>
      <c r="AM63" s="65" t="s">
        <v>63</v>
      </c>
      <c r="AN63" s="65" t="s">
        <v>64</v>
      </c>
    </row>
    <row r="64" spans="1:40" s="66" customFormat="1" hidden="1" x14ac:dyDescent="0.25">
      <c r="A64" s="64">
        <v>2021</v>
      </c>
      <c r="B64" s="64" t="s">
        <v>391</v>
      </c>
      <c r="C64" s="64" t="s">
        <v>42</v>
      </c>
      <c r="D64" s="96" t="s">
        <v>455</v>
      </c>
      <c r="E64" s="64" t="s">
        <v>456</v>
      </c>
      <c r="F64" s="64" t="s">
        <v>45</v>
      </c>
      <c r="G64" s="64" t="s">
        <v>457</v>
      </c>
      <c r="H64" s="97">
        <v>43801</v>
      </c>
      <c r="I64" s="64">
        <f t="shared" si="2"/>
        <v>15</v>
      </c>
      <c r="J64" s="98">
        <v>44272</v>
      </c>
      <c r="K64" s="64" t="str">
        <f t="shared" si="3"/>
        <v>NUEVO</v>
      </c>
      <c r="L64" s="78">
        <v>44273</v>
      </c>
      <c r="M64" s="78">
        <v>44276</v>
      </c>
      <c r="N64" s="64"/>
      <c r="O64" s="64">
        <v>4</v>
      </c>
      <c r="P64" s="64" t="s">
        <v>68</v>
      </c>
      <c r="Q64" s="64" t="s">
        <v>195</v>
      </c>
      <c r="R64" s="65" t="s">
        <v>564</v>
      </c>
      <c r="S64" s="64" t="s">
        <v>118</v>
      </c>
      <c r="T64" s="64" t="s">
        <v>119</v>
      </c>
      <c r="U64" s="64" t="s">
        <v>453</v>
      </c>
      <c r="V64" s="64" t="s">
        <v>119</v>
      </c>
      <c r="W64" s="64" t="s">
        <v>458</v>
      </c>
      <c r="X64" s="64" t="s">
        <v>87</v>
      </c>
      <c r="Y64" s="79">
        <v>0.81597222222222221</v>
      </c>
      <c r="Z64" s="64" t="s">
        <v>88</v>
      </c>
      <c r="AA64" s="64" t="s">
        <v>459</v>
      </c>
      <c r="AB64" s="87">
        <v>14383</v>
      </c>
      <c r="AC64" s="82" t="s">
        <v>460</v>
      </c>
      <c r="AD64" s="64" t="s">
        <v>74</v>
      </c>
      <c r="AE64" s="64" t="s">
        <v>191</v>
      </c>
      <c r="AF64" s="64">
        <v>19</v>
      </c>
      <c r="AG64" s="64" t="s">
        <v>92</v>
      </c>
      <c r="AH64" s="64" t="s">
        <v>58</v>
      </c>
      <c r="AI64" s="64" t="s">
        <v>461</v>
      </c>
      <c r="AJ64" s="64" t="s">
        <v>462</v>
      </c>
      <c r="AK64" s="1" t="s">
        <v>463</v>
      </c>
      <c r="AL64" s="65" t="s">
        <v>62</v>
      </c>
      <c r="AM64" s="65" t="s">
        <v>63</v>
      </c>
      <c r="AN64" s="65" t="s">
        <v>63</v>
      </c>
    </row>
    <row r="65" spans="1:40" s="66" customFormat="1" hidden="1" x14ac:dyDescent="0.25">
      <c r="A65" s="64">
        <v>2021</v>
      </c>
      <c r="B65" s="64" t="s">
        <v>391</v>
      </c>
      <c r="C65" s="64" t="s">
        <v>42</v>
      </c>
      <c r="D65" s="64" t="s">
        <v>464</v>
      </c>
      <c r="E65" s="64" t="s">
        <v>465</v>
      </c>
      <c r="F65" s="64" t="s">
        <v>45</v>
      </c>
      <c r="G65" s="64" t="s">
        <v>466</v>
      </c>
      <c r="H65" s="78">
        <v>42086</v>
      </c>
      <c r="I65" s="64">
        <f t="shared" si="2"/>
        <v>71</v>
      </c>
      <c r="J65" s="78">
        <v>44272</v>
      </c>
      <c r="K65" s="64" t="str">
        <f t="shared" si="3"/>
        <v>ANTIGUO</v>
      </c>
      <c r="L65" s="64"/>
      <c r="M65" s="64"/>
      <c r="N65" s="64"/>
      <c r="O65" s="64">
        <v>0</v>
      </c>
      <c r="P65" s="64" t="s">
        <v>47</v>
      </c>
      <c r="Q65" s="64" t="s">
        <v>195</v>
      </c>
      <c r="R65" s="65" t="s">
        <v>467</v>
      </c>
      <c r="S65" s="64" t="s">
        <v>118</v>
      </c>
      <c r="T65" s="64" t="s">
        <v>119</v>
      </c>
      <c r="U65" s="64" t="s">
        <v>468</v>
      </c>
      <c r="V65" s="64" t="s">
        <v>130</v>
      </c>
      <c r="W65" s="64" t="s">
        <v>71</v>
      </c>
      <c r="X65" s="64" t="s">
        <v>87</v>
      </c>
      <c r="Y65" s="79">
        <v>0.70833333333333337</v>
      </c>
      <c r="Z65" s="64" t="s">
        <v>72</v>
      </c>
      <c r="AA65" s="64" t="s">
        <v>459</v>
      </c>
      <c r="AB65" s="65"/>
      <c r="AC65" s="82" t="s">
        <v>211</v>
      </c>
      <c r="AD65" s="64" t="s">
        <v>74</v>
      </c>
      <c r="AE65" s="64" t="s">
        <v>280</v>
      </c>
      <c r="AF65" s="64">
        <v>25</v>
      </c>
      <c r="AG65" s="64" t="s">
        <v>275</v>
      </c>
      <c r="AH65" s="64" t="s">
        <v>419</v>
      </c>
      <c r="AI65" s="64" t="s">
        <v>59</v>
      </c>
      <c r="AJ65" s="64" t="s">
        <v>60</v>
      </c>
      <c r="AK65" s="1" t="s">
        <v>1535</v>
      </c>
      <c r="AL65" s="65" t="s">
        <v>62</v>
      </c>
      <c r="AM65" s="65" t="s">
        <v>63</v>
      </c>
      <c r="AN65" s="65" t="s">
        <v>64</v>
      </c>
    </row>
    <row r="66" spans="1:40" s="66" customFormat="1" hidden="1" x14ac:dyDescent="0.25">
      <c r="A66" s="64">
        <v>2021</v>
      </c>
      <c r="B66" s="64" t="s">
        <v>391</v>
      </c>
      <c r="C66" s="64" t="s">
        <v>42</v>
      </c>
      <c r="D66" s="64" t="s">
        <v>469</v>
      </c>
      <c r="E66" s="64" t="s">
        <v>470</v>
      </c>
      <c r="F66" s="64" t="s">
        <v>45</v>
      </c>
      <c r="G66" s="64" t="s">
        <v>471</v>
      </c>
      <c r="H66" s="78">
        <v>43979</v>
      </c>
      <c r="I66" s="64">
        <f t="shared" si="2"/>
        <v>9</v>
      </c>
      <c r="J66" s="78">
        <v>44274</v>
      </c>
      <c r="K66" s="64" t="str">
        <f t="shared" si="3"/>
        <v>NUEVO</v>
      </c>
      <c r="L66" s="64"/>
      <c r="M66" s="64"/>
      <c r="N66" s="64"/>
      <c r="O66" s="64">
        <v>0</v>
      </c>
      <c r="P66" s="64" t="s">
        <v>47</v>
      </c>
      <c r="Q66" s="64"/>
      <c r="R66" s="65"/>
      <c r="S66" s="64" t="s">
        <v>83</v>
      </c>
      <c r="T66" s="64" t="s">
        <v>472</v>
      </c>
      <c r="U66" s="64" t="s">
        <v>412</v>
      </c>
      <c r="V66" s="64" t="s">
        <v>472</v>
      </c>
      <c r="W66" s="64" t="s">
        <v>71</v>
      </c>
      <c r="X66" s="64" t="s">
        <v>52</v>
      </c>
      <c r="Y66" s="79">
        <v>0.35416666666666669</v>
      </c>
      <c r="Z66" s="64" t="s">
        <v>110</v>
      </c>
      <c r="AA66" s="64" t="s">
        <v>459</v>
      </c>
      <c r="AB66" s="65"/>
      <c r="AC66" s="82"/>
      <c r="AD66" s="64" t="s">
        <v>90</v>
      </c>
      <c r="AE66" s="64" t="s">
        <v>356</v>
      </c>
      <c r="AF66" s="64">
        <v>25</v>
      </c>
      <c r="AG66" s="64" t="s">
        <v>92</v>
      </c>
      <c r="AH66" s="64" t="s">
        <v>93</v>
      </c>
      <c r="AI66" s="64" t="s">
        <v>94</v>
      </c>
      <c r="AJ66" s="64" t="s">
        <v>60</v>
      </c>
      <c r="AK66" s="68" t="s">
        <v>473</v>
      </c>
      <c r="AL66" s="65" t="s">
        <v>62</v>
      </c>
      <c r="AM66" s="65" t="s">
        <v>63</v>
      </c>
      <c r="AN66" s="65" t="s">
        <v>64</v>
      </c>
    </row>
    <row r="67" spans="1:40" s="66" customFormat="1" hidden="1" x14ac:dyDescent="0.25">
      <c r="A67" s="64">
        <v>2021</v>
      </c>
      <c r="B67" s="64" t="s">
        <v>391</v>
      </c>
      <c r="C67" s="64" t="s">
        <v>42</v>
      </c>
      <c r="D67" s="64" t="s">
        <v>474</v>
      </c>
      <c r="E67" s="64" t="s">
        <v>44</v>
      </c>
      <c r="F67" s="64" t="s">
        <v>45</v>
      </c>
      <c r="G67" s="64" t="s">
        <v>475</v>
      </c>
      <c r="H67" s="78">
        <v>39498</v>
      </c>
      <c r="I67" s="64">
        <f t="shared" si="2"/>
        <v>156</v>
      </c>
      <c r="J67" s="78">
        <v>44274</v>
      </c>
      <c r="K67" s="64" t="str">
        <f t="shared" si="3"/>
        <v>ANTIGUO</v>
      </c>
      <c r="L67" s="78">
        <v>44275</v>
      </c>
      <c r="M67" s="78">
        <v>44352</v>
      </c>
      <c r="N67" s="64"/>
      <c r="O67" s="64">
        <v>79</v>
      </c>
      <c r="P67" s="64" t="s">
        <v>68</v>
      </c>
      <c r="Q67" s="64" t="s">
        <v>195</v>
      </c>
      <c r="R67" s="65" t="s">
        <v>196</v>
      </c>
      <c r="S67" s="64" t="s">
        <v>107</v>
      </c>
      <c r="T67" s="64" t="s">
        <v>401</v>
      </c>
      <c r="U67" s="64" t="s">
        <v>395</v>
      </c>
      <c r="V67" s="67" t="s">
        <v>145</v>
      </c>
      <c r="W67" s="10" t="s">
        <v>476</v>
      </c>
      <c r="X67" s="64" t="s">
        <v>87</v>
      </c>
      <c r="Y67" s="79">
        <v>0.86111111111111116</v>
      </c>
      <c r="Z67" s="64" t="s">
        <v>110</v>
      </c>
      <c r="AA67" s="64" t="s">
        <v>459</v>
      </c>
      <c r="AB67" s="87">
        <v>14394</v>
      </c>
      <c r="AC67" s="82" t="s">
        <v>477</v>
      </c>
      <c r="AD67" s="64" t="s">
        <v>111</v>
      </c>
      <c r="AE67" s="64" t="s">
        <v>178</v>
      </c>
      <c r="AF67" s="64">
        <v>49</v>
      </c>
      <c r="AG67" s="64" t="s">
        <v>57</v>
      </c>
      <c r="AH67" s="64" t="s">
        <v>58</v>
      </c>
      <c r="AI67" s="64" t="s">
        <v>94</v>
      </c>
      <c r="AJ67" s="64" t="s">
        <v>199</v>
      </c>
      <c r="AK67" t="s">
        <v>478</v>
      </c>
      <c r="AL67" s="65" t="s">
        <v>62</v>
      </c>
      <c r="AM67" s="65" t="s">
        <v>63</v>
      </c>
      <c r="AN67" s="65" t="s">
        <v>63</v>
      </c>
    </row>
    <row r="68" spans="1:40" s="66" customFormat="1" hidden="1" x14ac:dyDescent="0.25">
      <c r="A68" s="64">
        <v>2021</v>
      </c>
      <c r="B68" s="64" t="s">
        <v>391</v>
      </c>
      <c r="C68" s="64" t="s">
        <v>42</v>
      </c>
      <c r="D68" s="64" t="s">
        <v>479</v>
      </c>
      <c r="E68" s="64" t="s">
        <v>480</v>
      </c>
      <c r="F68" s="64" t="s">
        <v>45</v>
      </c>
      <c r="G68" s="64" t="s">
        <v>481</v>
      </c>
      <c r="H68" s="78">
        <v>43936</v>
      </c>
      <c r="I68" s="64">
        <f t="shared" si="2"/>
        <v>11</v>
      </c>
      <c r="J68" s="78">
        <v>44276</v>
      </c>
      <c r="K68" s="64" t="str">
        <f t="shared" si="3"/>
        <v>NUEVO</v>
      </c>
      <c r="L68" s="78">
        <v>44278</v>
      </c>
      <c r="M68" s="78">
        <v>44282</v>
      </c>
      <c r="N68" s="78">
        <v>44284</v>
      </c>
      <c r="O68" s="64">
        <v>9</v>
      </c>
      <c r="P68" s="64" t="s">
        <v>68</v>
      </c>
      <c r="Q68" s="64"/>
      <c r="R68" s="65" t="s">
        <v>211</v>
      </c>
      <c r="S68" s="64" t="s">
        <v>83</v>
      </c>
      <c r="T68" s="64" t="s">
        <v>482</v>
      </c>
      <c r="U68" s="64" t="s">
        <v>50</v>
      </c>
      <c r="V68" s="64" t="s">
        <v>482</v>
      </c>
      <c r="W68" s="64" t="s">
        <v>482</v>
      </c>
      <c r="X68" s="64" t="s">
        <v>87</v>
      </c>
      <c r="Y68" s="79">
        <v>0.70486111111111116</v>
      </c>
      <c r="Z68" s="64" t="s">
        <v>53</v>
      </c>
      <c r="AA68" s="64" t="s">
        <v>483</v>
      </c>
      <c r="AB68" s="87">
        <v>14384</v>
      </c>
      <c r="AC68" s="82" t="s">
        <v>484</v>
      </c>
      <c r="AD68" s="64" t="s">
        <v>90</v>
      </c>
      <c r="AE68" s="64" t="s">
        <v>485</v>
      </c>
      <c r="AF68" s="64">
        <v>38</v>
      </c>
      <c r="AG68" s="64" t="s">
        <v>92</v>
      </c>
      <c r="AH68" s="64" t="s">
        <v>236</v>
      </c>
      <c r="AI68" s="64" t="s">
        <v>59</v>
      </c>
      <c r="AJ68" s="64" t="s">
        <v>134</v>
      </c>
      <c r="AK68" s="68" t="s">
        <v>486</v>
      </c>
      <c r="AL68" s="65" t="s">
        <v>62</v>
      </c>
      <c r="AM68" s="65" t="s">
        <v>64</v>
      </c>
      <c r="AN68" s="65" t="s">
        <v>63</v>
      </c>
    </row>
    <row r="69" spans="1:40" s="66" customFormat="1" hidden="1" x14ac:dyDescent="0.25">
      <c r="A69" s="64">
        <v>2021</v>
      </c>
      <c r="B69" s="64" t="s">
        <v>391</v>
      </c>
      <c r="C69" s="64" t="s">
        <v>42</v>
      </c>
      <c r="D69" s="64" t="s">
        <v>487</v>
      </c>
      <c r="E69" s="64" t="s">
        <v>488</v>
      </c>
      <c r="F69" s="64" t="s">
        <v>45</v>
      </c>
      <c r="G69" s="64" t="s">
        <v>489</v>
      </c>
      <c r="H69" s="78">
        <v>39101</v>
      </c>
      <c r="I69" s="64">
        <f t="shared" si="2"/>
        <v>170</v>
      </c>
      <c r="J69" s="78">
        <v>44278</v>
      </c>
      <c r="K69" s="64" t="str">
        <f t="shared" si="3"/>
        <v>ANTIGUO</v>
      </c>
      <c r="L69" s="64"/>
      <c r="M69" s="64"/>
      <c r="N69" s="64"/>
      <c r="O69" s="64">
        <v>0</v>
      </c>
      <c r="P69" s="64" t="s">
        <v>47</v>
      </c>
      <c r="Q69" s="64"/>
      <c r="R69" s="65"/>
      <c r="S69" s="64" t="s">
        <v>118</v>
      </c>
      <c r="T69" s="64" t="s">
        <v>119</v>
      </c>
      <c r="U69" s="64" t="s">
        <v>490</v>
      </c>
      <c r="V69" s="64" t="s">
        <v>119</v>
      </c>
      <c r="W69" s="64" t="s">
        <v>71</v>
      </c>
      <c r="X69" s="64" t="s">
        <v>52</v>
      </c>
      <c r="Y69" s="79">
        <v>0.5</v>
      </c>
      <c r="Z69" s="64" t="s">
        <v>72</v>
      </c>
      <c r="AA69" s="64" t="s">
        <v>491</v>
      </c>
      <c r="AB69" s="65"/>
      <c r="AC69" s="82"/>
      <c r="AD69" s="64" t="s">
        <v>74</v>
      </c>
      <c r="AE69" s="64" t="s">
        <v>191</v>
      </c>
      <c r="AF69" s="64">
        <v>34</v>
      </c>
      <c r="AG69" s="64" t="s">
        <v>76</v>
      </c>
      <c r="AH69" s="64" t="s">
        <v>133</v>
      </c>
      <c r="AI69" s="64" t="s">
        <v>59</v>
      </c>
      <c r="AJ69" s="64" t="s">
        <v>60</v>
      </c>
      <c r="AK69" t="s">
        <v>492</v>
      </c>
      <c r="AL69" s="65" t="s">
        <v>103</v>
      </c>
      <c r="AM69" s="65" t="s">
        <v>63</v>
      </c>
      <c r="AN69" s="65" t="s">
        <v>64</v>
      </c>
    </row>
    <row r="70" spans="1:40" s="66" customFormat="1" hidden="1" x14ac:dyDescent="0.25">
      <c r="A70" s="64">
        <v>2021</v>
      </c>
      <c r="B70" s="64" t="s">
        <v>391</v>
      </c>
      <c r="C70" s="64" t="s">
        <v>42</v>
      </c>
      <c r="D70" s="64" t="s">
        <v>493</v>
      </c>
      <c r="E70" s="64" t="s">
        <v>494</v>
      </c>
      <c r="F70" s="64" t="s">
        <v>45</v>
      </c>
      <c r="G70" s="64" t="s">
        <v>495</v>
      </c>
      <c r="H70" s="78">
        <v>36442</v>
      </c>
      <c r="I70" s="64">
        <f t="shared" si="2"/>
        <v>257</v>
      </c>
      <c r="J70" s="78">
        <v>44279</v>
      </c>
      <c r="K70" s="64" t="str">
        <f t="shared" si="3"/>
        <v>ANTIGUO</v>
      </c>
      <c r="L70" s="64"/>
      <c r="M70" s="64"/>
      <c r="N70" s="64"/>
      <c r="O70" s="64">
        <v>0</v>
      </c>
      <c r="P70" s="64" t="s">
        <v>47</v>
      </c>
      <c r="Q70" s="64"/>
      <c r="R70" s="65"/>
      <c r="S70" s="64" t="s">
        <v>107</v>
      </c>
      <c r="T70" s="64" t="s">
        <v>496</v>
      </c>
      <c r="U70" s="64" t="s">
        <v>447</v>
      </c>
      <c r="V70" s="64" t="s">
        <v>496</v>
      </c>
      <c r="W70" s="64" t="s">
        <v>71</v>
      </c>
      <c r="X70" s="64" t="s">
        <v>52</v>
      </c>
      <c r="Y70" s="79">
        <v>0.3611111111111111</v>
      </c>
      <c r="Z70" s="64" t="s">
        <v>88</v>
      </c>
      <c r="AA70" s="64" t="s">
        <v>497</v>
      </c>
      <c r="AB70" s="65"/>
      <c r="AC70" s="82"/>
      <c r="AD70" s="64" t="s">
        <v>111</v>
      </c>
      <c r="AE70" s="64" t="s">
        <v>178</v>
      </c>
      <c r="AF70" s="64">
        <v>44</v>
      </c>
      <c r="AG70" s="64" t="s">
        <v>122</v>
      </c>
      <c r="AH70" s="64" t="s">
        <v>123</v>
      </c>
      <c r="AI70" s="64" t="s">
        <v>498</v>
      </c>
      <c r="AJ70" s="64" t="s">
        <v>125</v>
      </c>
      <c r="AK70" s="1" t="s">
        <v>499</v>
      </c>
      <c r="AL70" s="65" t="s">
        <v>103</v>
      </c>
      <c r="AM70" s="65" t="s">
        <v>63</v>
      </c>
      <c r="AN70" s="65" t="s">
        <v>64</v>
      </c>
    </row>
    <row r="71" spans="1:40" s="66" customFormat="1" ht="30" hidden="1" x14ac:dyDescent="0.25">
      <c r="A71" s="64">
        <v>2021</v>
      </c>
      <c r="B71" s="64" t="s">
        <v>391</v>
      </c>
      <c r="C71" s="64" t="s">
        <v>42</v>
      </c>
      <c r="D71" s="64" t="s">
        <v>500</v>
      </c>
      <c r="E71" s="64" t="s">
        <v>501</v>
      </c>
      <c r="F71" s="64" t="s">
        <v>116</v>
      </c>
      <c r="G71" s="64" t="s">
        <v>502</v>
      </c>
      <c r="H71" s="78">
        <v>42576</v>
      </c>
      <c r="I71" s="64">
        <f t="shared" si="2"/>
        <v>56</v>
      </c>
      <c r="J71" s="78">
        <v>44281</v>
      </c>
      <c r="K71" s="64" t="str">
        <f t="shared" si="3"/>
        <v>ANTIGUO</v>
      </c>
      <c r="L71" s="64"/>
      <c r="M71" s="64"/>
      <c r="N71" s="64"/>
      <c r="O71" s="64">
        <v>0</v>
      </c>
      <c r="P71" s="64" t="s">
        <v>47</v>
      </c>
      <c r="Q71" s="64"/>
      <c r="R71" s="65"/>
      <c r="S71" s="64" t="s">
        <v>156</v>
      </c>
      <c r="T71" s="64" t="s">
        <v>346</v>
      </c>
      <c r="U71" s="64" t="s">
        <v>50</v>
      </c>
      <c r="V71" s="64" t="s">
        <v>346</v>
      </c>
      <c r="W71" s="64" t="s">
        <v>71</v>
      </c>
      <c r="X71" s="64" t="s">
        <v>87</v>
      </c>
      <c r="Y71" s="79">
        <v>0.80208333333333337</v>
      </c>
      <c r="Z71" s="64" t="s">
        <v>110</v>
      </c>
      <c r="AA71" s="64" t="s">
        <v>497</v>
      </c>
      <c r="AB71" s="65"/>
      <c r="AC71" s="82"/>
      <c r="AD71" s="64" t="s">
        <v>159</v>
      </c>
      <c r="AE71" s="64" t="s">
        <v>184</v>
      </c>
      <c r="AF71" s="64">
        <v>62</v>
      </c>
      <c r="AG71" s="64" t="s">
        <v>76</v>
      </c>
      <c r="AH71" s="64" t="s">
        <v>58</v>
      </c>
      <c r="AI71" s="64" t="s">
        <v>59</v>
      </c>
      <c r="AJ71" s="64" t="s">
        <v>60</v>
      </c>
      <c r="AK71" s="68" t="s">
        <v>1519</v>
      </c>
      <c r="AL71" s="65" t="s">
        <v>103</v>
      </c>
      <c r="AM71" s="65" t="s">
        <v>63</v>
      </c>
      <c r="AN71" s="65" t="s">
        <v>64</v>
      </c>
    </row>
    <row r="72" spans="1:40" s="66" customFormat="1" hidden="1" x14ac:dyDescent="0.25">
      <c r="A72" s="64">
        <v>2021</v>
      </c>
      <c r="B72" s="64" t="s">
        <v>391</v>
      </c>
      <c r="C72" s="64" t="s">
        <v>42</v>
      </c>
      <c r="D72" s="64" t="s">
        <v>503</v>
      </c>
      <c r="E72" s="64" t="s">
        <v>504</v>
      </c>
      <c r="F72" s="64" t="s">
        <v>116</v>
      </c>
      <c r="G72" s="64" t="s">
        <v>505</v>
      </c>
      <c r="H72" s="78">
        <v>44260</v>
      </c>
      <c r="I72" s="64">
        <f t="shared" si="2"/>
        <v>0</v>
      </c>
      <c r="J72" s="78">
        <v>44285</v>
      </c>
      <c r="K72" s="64" t="str">
        <f t="shared" si="3"/>
        <v>NUEVO</v>
      </c>
      <c r="L72" s="64"/>
      <c r="M72" s="64"/>
      <c r="N72" s="64"/>
      <c r="O72" s="64">
        <v>0</v>
      </c>
      <c r="P72" s="64" t="s">
        <v>47</v>
      </c>
      <c r="Q72" s="64" t="s">
        <v>195</v>
      </c>
      <c r="R72" s="65" t="s">
        <v>564</v>
      </c>
      <c r="S72" s="64" t="s">
        <v>83</v>
      </c>
      <c r="T72" s="64" t="s">
        <v>472</v>
      </c>
      <c r="U72" s="64"/>
      <c r="V72" s="64"/>
      <c r="W72" s="64" t="s">
        <v>944</v>
      </c>
      <c r="X72" s="64" t="s">
        <v>52</v>
      </c>
      <c r="Y72" s="79">
        <v>0.4513888888888889</v>
      </c>
      <c r="Z72" s="64" t="s">
        <v>72</v>
      </c>
      <c r="AA72" s="64" t="s">
        <v>506</v>
      </c>
      <c r="AB72" s="65"/>
      <c r="AC72" s="82"/>
      <c r="AD72" s="64" t="s">
        <v>90</v>
      </c>
      <c r="AE72" s="64" t="s">
        <v>356</v>
      </c>
      <c r="AF72" s="64"/>
      <c r="AG72" s="64" t="s">
        <v>57</v>
      </c>
      <c r="AH72" s="64" t="s">
        <v>58</v>
      </c>
      <c r="AI72" s="64" t="s">
        <v>461</v>
      </c>
      <c r="AJ72" s="64" t="s">
        <v>60</v>
      </c>
      <c r="AK72" t="s">
        <v>507</v>
      </c>
      <c r="AL72" s="65" t="s">
        <v>62</v>
      </c>
      <c r="AM72" s="65" t="s">
        <v>63</v>
      </c>
      <c r="AN72" s="65" t="s">
        <v>64</v>
      </c>
    </row>
    <row r="73" spans="1:40" s="66" customFormat="1" hidden="1" x14ac:dyDescent="0.25">
      <c r="A73" s="64">
        <v>2021</v>
      </c>
      <c r="B73" s="64" t="s">
        <v>391</v>
      </c>
      <c r="C73" s="64" t="s">
        <v>42</v>
      </c>
      <c r="D73" s="64" t="s">
        <v>508</v>
      </c>
      <c r="E73" s="64" t="s">
        <v>509</v>
      </c>
      <c r="F73" s="64" t="s">
        <v>45</v>
      </c>
      <c r="G73" s="64" t="s">
        <v>510</v>
      </c>
      <c r="H73" s="78">
        <v>44084</v>
      </c>
      <c r="I73" s="64">
        <f t="shared" si="2"/>
        <v>6</v>
      </c>
      <c r="J73" s="78">
        <v>44286</v>
      </c>
      <c r="K73" s="64" t="str">
        <f t="shared" si="3"/>
        <v>NUEVO</v>
      </c>
      <c r="L73" s="64"/>
      <c r="M73" s="64"/>
      <c r="N73" s="64"/>
      <c r="O73" s="64">
        <v>0</v>
      </c>
      <c r="P73" s="64" t="s">
        <v>47</v>
      </c>
      <c r="Q73" s="64"/>
      <c r="R73" s="65"/>
      <c r="S73" s="64" t="s">
        <v>165</v>
      </c>
      <c r="T73" s="64" t="s">
        <v>303</v>
      </c>
      <c r="U73" s="64" t="s">
        <v>511</v>
      </c>
      <c r="V73" s="64" t="s">
        <v>512</v>
      </c>
      <c r="W73" s="64" t="s">
        <v>71</v>
      </c>
      <c r="X73" s="64" t="s">
        <v>52</v>
      </c>
      <c r="Y73" s="79">
        <v>0.23958333333333334</v>
      </c>
      <c r="Z73" s="64" t="s">
        <v>88</v>
      </c>
      <c r="AA73" s="64" t="s">
        <v>506</v>
      </c>
      <c r="AB73" s="65"/>
      <c r="AC73" s="82"/>
      <c r="AD73" s="64" t="s">
        <v>168</v>
      </c>
      <c r="AE73" s="64" t="s">
        <v>513</v>
      </c>
      <c r="AF73" s="64">
        <v>28</v>
      </c>
      <c r="AG73" s="64" t="s">
        <v>192</v>
      </c>
      <c r="AH73" s="64" t="s">
        <v>102</v>
      </c>
      <c r="AI73" s="64" t="s">
        <v>514</v>
      </c>
      <c r="AJ73" s="64" t="s">
        <v>60</v>
      </c>
      <c r="AK73" s="99" t="s">
        <v>515</v>
      </c>
      <c r="AL73" s="65" t="s">
        <v>62</v>
      </c>
      <c r="AM73" s="65" t="s">
        <v>64</v>
      </c>
      <c r="AN73" s="65" t="s">
        <v>64</v>
      </c>
    </row>
    <row r="74" spans="1:40" s="66" customFormat="1" hidden="1" x14ac:dyDescent="0.25">
      <c r="A74" s="64">
        <v>2021</v>
      </c>
      <c r="B74" s="64" t="s">
        <v>516</v>
      </c>
      <c r="C74" s="64" t="s">
        <v>42</v>
      </c>
      <c r="D74" s="64" t="s">
        <v>517</v>
      </c>
      <c r="E74" s="64" t="s">
        <v>518</v>
      </c>
      <c r="F74" s="64" t="s">
        <v>45</v>
      </c>
      <c r="G74" s="64" t="s">
        <v>519</v>
      </c>
      <c r="H74" s="78">
        <v>38177</v>
      </c>
      <c r="I74" s="64">
        <f t="shared" si="2"/>
        <v>200</v>
      </c>
      <c r="J74" s="78">
        <v>44287</v>
      </c>
      <c r="K74" s="64" t="str">
        <f t="shared" si="3"/>
        <v>ANTIGUO</v>
      </c>
      <c r="L74" s="64"/>
      <c r="M74" s="64"/>
      <c r="N74" s="64"/>
      <c r="O74" s="64">
        <v>0</v>
      </c>
      <c r="P74" s="64" t="s">
        <v>47</v>
      </c>
      <c r="Q74" s="64" t="s">
        <v>195</v>
      </c>
      <c r="R74" s="65" t="s">
        <v>467</v>
      </c>
      <c r="S74" s="64" t="s">
        <v>48</v>
      </c>
      <c r="T74" s="64" t="s">
        <v>266</v>
      </c>
      <c r="U74" s="64" t="s">
        <v>468</v>
      </c>
      <c r="V74" s="64" t="s">
        <v>99</v>
      </c>
      <c r="W74" s="64" t="s">
        <v>71</v>
      </c>
      <c r="X74" s="64" t="s">
        <v>52</v>
      </c>
      <c r="Y74" s="79">
        <v>0.36458333333333331</v>
      </c>
      <c r="Z74" s="64" t="s">
        <v>100</v>
      </c>
      <c r="AA74" s="64" t="s">
        <v>506</v>
      </c>
      <c r="AB74" s="65"/>
      <c r="AC74" s="82"/>
      <c r="AD74" s="64" t="s">
        <v>55</v>
      </c>
      <c r="AE74" s="64" t="s">
        <v>101</v>
      </c>
      <c r="AF74" s="64">
        <v>36</v>
      </c>
      <c r="AG74" s="64" t="s">
        <v>275</v>
      </c>
      <c r="AH74" s="64" t="s">
        <v>102</v>
      </c>
      <c r="AI74" s="64" t="s">
        <v>59</v>
      </c>
      <c r="AJ74" s="64" t="s">
        <v>60</v>
      </c>
      <c r="AK74" s="68" t="s">
        <v>1536</v>
      </c>
      <c r="AL74" s="65" t="s">
        <v>103</v>
      </c>
      <c r="AM74" s="65" t="s">
        <v>64</v>
      </c>
      <c r="AN74" s="65" t="s">
        <v>64</v>
      </c>
    </row>
    <row r="75" spans="1:40" s="66" customFormat="1" hidden="1" x14ac:dyDescent="0.25">
      <c r="A75" s="64">
        <v>2021</v>
      </c>
      <c r="B75" s="64" t="s">
        <v>516</v>
      </c>
      <c r="C75" s="64" t="s">
        <v>42</v>
      </c>
      <c r="D75" s="64" t="s">
        <v>520</v>
      </c>
      <c r="E75" s="64" t="s">
        <v>521</v>
      </c>
      <c r="F75" s="64" t="s">
        <v>116</v>
      </c>
      <c r="G75" s="64" t="s">
        <v>522</v>
      </c>
      <c r="H75" s="78">
        <v>43102</v>
      </c>
      <c r="I75" s="64">
        <f t="shared" ref="I75:I98" si="4">DATEDIF(H75,J75,"m")</f>
        <v>39</v>
      </c>
      <c r="J75" s="78">
        <v>44292</v>
      </c>
      <c r="K75" s="64" t="str">
        <f t="shared" si="3"/>
        <v>ANTIGUO</v>
      </c>
      <c r="L75" s="64"/>
      <c r="M75" s="64"/>
      <c r="N75" s="64"/>
      <c r="O75" s="64">
        <v>0</v>
      </c>
      <c r="P75" s="64" t="s">
        <v>47</v>
      </c>
      <c r="Q75" s="64"/>
      <c r="R75" s="65"/>
      <c r="S75" s="64" t="s">
        <v>83</v>
      </c>
      <c r="T75" s="64" t="s">
        <v>71</v>
      </c>
      <c r="U75" s="64" t="s">
        <v>50</v>
      </c>
      <c r="V75" s="64" t="s">
        <v>523</v>
      </c>
      <c r="W75" s="64" t="s">
        <v>71</v>
      </c>
      <c r="X75" s="64" t="s">
        <v>87</v>
      </c>
      <c r="Y75" s="79">
        <v>0.72222222222222221</v>
      </c>
      <c r="Z75" s="64" t="s">
        <v>72</v>
      </c>
      <c r="AA75" s="64" t="s">
        <v>524</v>
      </c>
      <c r="AB75" s="65"/>
      <c r="AC75" s="82"/>
      <c r="AD75" s="64" t="s">
        <v>90</v>
      </c>
      <c r="AE75" s="64" t="s">
        <v>485</v>
      </c>
      <c r="AF75" s="64">
        <v>39</v>
      </c>
      <c r="AG75" s="64" t="s">
        <v>92</v>
      </c>
      <c r="AH75" s="64" t="s">
        <v>58</v>
      </c>
      <c r="AI75" s="64" t="s">
        <v>59</v>
      </c>
      <c r="AJ75" s="64" t="s">
        <v>78</v>
      </c>
      <c r="AK75" s="68" t="s">
        <v>525</v>
      </c>
      <c r="AL75" s="65" t="s">
        <v>62</v>
      </c>
      <c r="AM75" s="65" t="s">
        <v>64</v>
      </c>
      <c r="AN75" s="65" t="s">
        <v>64</v>
      </c>
    </row>
    <row r="76" spans="1:40" s="66" customFormat="1" hidden="1" x14ac:dyDescent="0.25">
      <c r="A76" s="64">
        <v>2021</v>
      </c>
      <c r="B76" s="64" t="s">
        <v>516</v>
      </c>
      <c r="C76" s="64" t="s">
        <v>42</v>
      </c>
      <c r="D76" s="64" t="s">
        <v>526</v>
      </c>
      <c r="E76" s="64" t="s">
        <v>527</v>
      </c>
      <c r="F76" s="64" t="s">
        <v>45</v>
      </c>
      <c r="G76" s="64" t="s">
        <v>528</v>
      </c>
      <c r="H76" s="78">
        <v>43984</v>
      </c>
      <c r="I76" s="64">
        <f t="shared" si="4"/>
        <v>10</v>
      </c>
      <c r="J76" s="78">
        <v>44293</v>
      </c>
      <c r="K76" s="64" t="str">
        <f t="shared" si="3"/>
        <v>NUEVO</v>
      </c>
      <c r="L76" s="64"/>
      <c r="M76" s="64"/>
      <c r="N76" s="64"/>
      <c r="O76" s="64">
        <v>0</v>
      </c>
      <c r="P76" s="64" t="s">
        <v>47</v>
      </c>
      <c r="Q76" s="64"/>
      <c r="R76" s="65"/>
      <c r="S76" s="64" t="s">
        <v>83</v>
      </c>
      <c r="T76" s="64" t="s">
        <v>472</v>
      </c>
      <c r="U76" s="64" t="s">
        <v>50</v>
      </c>
      <c r="V76" s="64" t="s">
        <v>472</v>
      </c>
      <c r="W76" s="64" t="s">
        <v>71</v>
      </c>
      <c r="X76" s="64" t="s">
        <v>52</v>
      </c>
      <c r="Y76" s="79">
        <v>0.41666666666666669</v>
      </c>
      <c r="Z76" s="64" t="s">
        <v>88</v>
      </c>
      <c r="AA76" s="64" t="s">
        <v>524</v>
      </c>
      <c r="AB76" s="65"/>
      <c r="AC76" s="82"/>
      <c r="AD76" s="64" t="s">
        <v>90</v>
      </c>
      <c r="AE76" s="64" t="s">
        <v>91</v>
      </c>
      <c r="AF76" s="64">
        <v>26</v>
      </c>
      <c r="AG76" s="64" t="s">
        <v>529</v>
      </c>
      <c r="AH76" s="64" t="s">
        <v>123</v>
      </c>
      <c r="AI76" s="64" t="s">
        <v>59</v>
      </c>
      <c r="AJ76" s="64" t="s">
        <v>60</v>
      </c>
      <c r="AK76" s="68" t="s">
        <v>530</v>
      </c>
      <c r="AL76" s="65" t="s">
        <v>62</v>
      </c>
      <c r="AM76" s="65" t="s">
        <v>63</v>
      </c>
      <c r="AN76" s="65" t="s">
        <v>64</v>
      </c>
    </row>
    <row r="77" spans="1:40" s="66" customFormat="1" hidden="1" x14ac:dyDescent="0.25">
      <c r="A77" s="64">
        <v>2021</v>
      </c>
      <c r="B77" s="64" t="s">
        <v>516</v>
      </c>
      <c r="C77" s="64" t="s">
        <v>42</v>
      </c>
      <c r="D77" s="36" t="s">
        <v>531</v>
      </c>
      <c r="E77" s="64" t="s">
        <v>532</v>
      </c>
      <c r="F77" s="64" t="s">
        <v>116</v>
      </c>
      <c r="G77" s="45" t="s">
        <v>533</v>
      </c>
      <c r="H77" s="78">
        <v>39252</v>
      </c>
      <c r="I77" s="64">
        <f t="shared" si="4"/>
        <v>165</v>
      </c>
      <c r="J77" s="78">
        <v>44294</v>
      </c>
      <c r="K77" s="64" t="str">
        <f t="shared" si="3"/>
        <v>ANTIGUO</v>
      </c>
      <c r="L77" s="64"/>
      <c r="M77" s="64"/>
      <c r="N77" s="64"/>
      <c r="O77" s="64">
        <v>0</v>
      </c>
      <c r="P77" s="64" t="s">
        <v>47</v>
      </c>
      <c r="Q77" s="64"/>
      <c r="R77" s="65"/>
      <c r="S77" s="64" t="s">
        <v>69</v>
      </c>
      <c r="T77" s="64" t="s">
        <v>69</v>
      </c>
      <c r="U77" s="64" t="s">
        <v>381</v>
      </c>
      <c r="V77" s="64" t="s">
        <v>534</v>
      </c>
      <c r="W77" s="64" t="s">
        <v>71</v>
      </c>
      <c r="X77" s="64" t="s">
        <v>52</v>
      </c>
      <c r="Y77" s="79">
        <v>0.40625</v>
      </c>
      <c r="Z77" s="64" t="s">
        <v>100</v>
      </c>
      <c r="AA77" s="64" t="s">
        <v>524</v>
      </c>
      <c r="AB77" s="65"/>
      <c r="AC77" s="82"/>
      <c r="AD77" s="64" t="s">
        <v>74</v>
      </c>
      <c r="AE77" s="64" t="s">
        <v>75</v>
      </c>
      <c r="AF77" s="64">
        <v>47</v>
      </c>
      <c r="AG77" s="64" t="s">
        <v>389</v>
      </c>
      <c r="AH77" s="64" t="s">
        <v>102</v>
      </c>
      <c r="AI77" s="64" t="s">
        <v>59</v>
      </c>
      <c r="AJ77" s="64" t="s">
        <v>60</v>
      </c>
      <c r="AK77" s="68" t="s">
        <v>535</v>
      </c>
      <c r="AL77" s="65" t="s">
        <v>62</v>
      </c>
      <c r="AM77" s="65" t="s">
        <v>63</v>
      </c>
      <c r="AN77" s="65" t="s">
        <v>64</v>
      </c>
    </row>
    <row r="78" spans="1:40" s="66" customFormat="1" hidden="1" x14ac:dyDescent="0.25">
      <c r="A78" s="64">
        <v>2021</v>
      </c>
      <c r="B78" s="64" t="s">
        <v>516</v>
      </c>
      <c r="C78" s="64" t="s">
        <v>42</v>
      </c>
      <c r="D78" s="45" t="s">
        <v>536</v>
      </c>
      <c r="E78" s="64" t="s">
        <v>537</v>
      </c>
      <c r="F78" s="64" t="s">
        <v>45</v>
      </c>
      <c r="G78" s="36" t="s">
        <v>538</v>
      </c>
      <c r="H78" s="78">
        <v>39295</v>
      </c>
      <c r="I78" s="64">
        <f t="shared" si="4"/>
        <v>164</v>
      </c>
      <c r="J78" s="78">
        <v>44295</v>
      </c>
      <c r="K78" s="64" t="str">
        <f t="shared" si="3"/>
        <v>ANTIGUO</v>
      </c>
      <c r="L78" s="64"/>
      <c r="M78" s="64"/>
      <c r="N78" s="64"/>
      <c r="O78" s="64">
        <v>0</v>
      </c>
      <c r="P78" s="64" t="s">
        <v>47</v>
      </c>
      <c r="Q78" s="64"/>
      <c r="R78" s="65"/>
      <c r="S78" s="64" t="s">
        <v>156</v>
      </c>
      <c r="T78" s="64" t="s">
        <v>183</v>
      </c>
      <c r="U78" s="64" t="s">
        <v>539</v>
      </c>
      <c r="V78" s="64" t="s">
        <v>540</v>
      </c>
      <c r="W78" s="64" t="s">
        <v>71</v>
      </c>
      <c r="X78" s="64" t="s">
        <v>52</v>
      </c>
      <c r="Y78" s="79">
        <v>0.46527777777777773</v>
      </c>
      <c r="Z78" s="64" t="s">
        <v>110</v>
      </c>
      <c r="AA78" s="64" t="s">
        <v>524</v>
      </c>
      <c r="AB78" s="65"/>
      <c r="AC78" s="82"/>
      <c r="AD78" s="64" t="s">
        <v>159</v>
      </c>
      <c r="AE78" s="64" t="s">
        <v>541</v>
      </c>
      <c r="AF78" s="64">
        <v>68</v>
      </c>
      <c r="AG78" s="64" t="s">
        <v>92</v>
      </c>
      <c r="AH78" s="64" t="s">
        <v>149</v>
      </c>
      <c r="AI78" s="64" t="s">
        <v>94</v>
      </c>
      <c r="AJ78" s="64" t="s">
        <v>60</v>
      </c>
      <c r="AK78" t="s">
        <v>542</v>
      </c>
      <c r="AL78" s="65" t="s">
        <v>103</v>
      </c>
      <c r="AM78" s="65" t="s">
        <v>63</v>
      </c>
      <c r="AN78" s="65" t="s">
        <v>64</v>
      </c>
    </row>
    <row r="79" spans="1:40" s="66" customFormat="1" hidden="1" x14ac:dyDescent="0.25">
      <c r="A79" s="64">
        <v>2021</v>
      </c>
      <c r="B79" s="64" t="s">
        <v>516</v>
      </c>
      <c r="C79" s="64" t="s">
        <v>42</v>
      </c>
      <c r="D79" s="64" t="s">
        <v>543</v>
      </c>
      <c r="E79" s="64" t="s">
        <v>544</v>
      </c>
      <c r="F79" s="64" t="s">
        <v>45</v>
      </c>
      <c r="G79" s="64" t="s">
        <v>545</v>
      </c>
      <c r="H79" s="78">
        <v>44277</v>
      </c>
      <c r="I79" s="64">
        <f t="shared" si="4"/>
        <v>0</v>
      </c>
      <c r="J79" s="78">
        <v>44296</v>
      </c>
      <c r="K79" s="64" t="str">
        <f t="shared" si="3"/>
        <v>NUEVO</v>
      </c>
      <c r="L79" s="64"/>
      <c r="M79" s="64"/>
      <c r="N79" s="64"/>
      <c r="O79" s="64">
        <v>0</v>
      </c>
      <c r="P79" s="64" t="s">
        <v>47</v>
      </c>
      <c r="Q79" s="64"/>
      <c r="R79" s="65"/>
      <c r="S79" s="64" t="s">
        <v>255</v>
      </c>
      <c r="T79" s="64" t="s">
        <v>546</v>
      </c>
      <c r="U79" s="64" t="s">
        <v>50</v>
      </c>
      <c r="V79" s="64" t="s">
        <v>257</v>
      </c>
      <c r="W79" s="64" t="s">
        <v>71</v>
      </c>
      <c r="X79" s="64" t="s">
        <v>87</v>
      </c>
      <c r="Y79" s="79">
        <v>0.72916666666666663</v>
      </c>
      <c r="Z79" s="64" t="s">
        <v>147</v>
      </c>
      <c r="AA79" s="64" t="s">
        <v>524</v>
      </c>
      <c r="AB79" s="65"/>
      <c r="AC79" s="82"/>
      <c r="AD79" s="64" t="s">
        <v>259</v>
      </c>
      <c r="AE79" s="64" t="s">
        <v>547</v>
      </c>
      <c r="AF79" s="64">
        <v>33</v>
      </c>
      <c r="AG79" s="64" t="s">
        <v>529</v>
      </c>
      <c r="AH79" s="64" t="s">
        <v>58</v>
      </c>
      <c r="AI79" s="64" t="s">
        <v>59</v>
      </c>
      <c r="AJ79" s="64" t="s">
        <v>60</v>
      </c>
      <c r="AK79" s="68" t="s">
        <v>548</v>
      </c>
      <c r="AL79" s="65" t="s">
        <v>62</v>
      </c>
      <c r="AM79" s="65" t="s">
        <v>63</v>
      </c>
      <c r="AN79" s="65" t="s">
        <v>64</v>
      </c>
    </row>
    <row r="80" spans="1:40" s="66" customFormat="1" hidden="1" x14ac:dyDescent="0.25">
      <c r="A80" s="64">
        <v>2021</v>
      </c>
      <c r="B80" s="64" t="s">
        <v>516</v>
      </c>
      <c r="C80" s="64" t="s">
        <v>42</v>
      </c>
      <c r="D80" s="64" t="s">
        <v>549</v>
      </c>
      <c r="E80" s="253" t="s">
        <v>550</v>
      </c>
      <c r="F80" s="64" t="s">
        <v>45</v>
      </c>
      <c r="G80" s="64" t="s">
        <v>551</v>
      </c>
      <c r="H80" s="78">
        <v>44203</v>
      </c>
      <c r="I80" s="64">
        <f t="shared" si="4"/>
        <v>3</v>
      </c>
      <c r="J80" s="78">
        <v>44299</v>
      </c>
      <c r="K80" s="64" t="str">
        <f t="shared" si="3"/>
        <v>NUEVO</v>
      </c>
      <c r="L80" s="78">
        <v>44302</v>
      </c>
      <c r="M80" s="78">
        <v>44302</v>
      </c>
      <c r="N80" s="64"/>
      <c r="O80" s="64">
        <v>0</v>
      </c>
      <c r="P80" s="64" t="s">
        <v>47</v>
      </c>
      <c r="Q80" s="64"/>
      <c r="R80" s="65"/>
      <c r="S80" s="64" t="s">
        <v>107</v>
      </c>
      <c r="T80" s="64" t="s">
        <v>297</v>
      </c>
      <c r="U80" s="64" t="s">
        <v>552</v>
      </c>
      <c r="V80" s="64" t="s">
        <v>376</v>
      </c>
      <c r="W80" s="64" t="s">
        <v>376</v>
      </c>
      <c r="X80" s="64" t="s">
        <v>87</v>
      </c>
      <c r="Y80" s="79">
        <v>0.625</v>
      </c>
      <c r="Z80" s="64" t="s">
        <v>72</v>
      </c>
      <c r="AA80" s="64" t="s">
        <v>553</v>
      </c>
      <c r="AB80" s="87">
        <v>14550</v>
      </c>
      <c r="AC80" s="82" t="s">
        <v>554</v>
      </c>
      <c r="AD80" s="64" t="s">
        <v>111</v>
      </c>
      <c r="AE80" s="64" t="s">
        <v>555</v>
      </c>
      <c r="AF80" s="64">
        <v>35</v>
      </c>
      <c r="AG80" s="64" t="s">
        <v>76</v>
      </c>
      <c r="AH80" s="64" t="s">
        <v>123</v>
      </c>
      <c r="AI80" s="64" t="s">
        <v>59</v>
      </c>
      <c r="AJ80" s="64" t="s">
        <v>60</v>
      </c>
      <c r="AK80" s="68" t="s">
        <v>556</v>
      </c>
      <c r="AL80" s="65" t="s">
        <v>103</v>
      </c>
      <c r="AM80" s="65" t="s">
        <v>64</v>
      </c>
      <c r="AN80" s="65" t="s">
        <v>63</v>
      </c>
    </row>
    <row r="81" spans="1:40" s="66" customFormat="1" hidden="1" x14ac:dyDescent="0.25">
      <c r="A81" s="64">
        <v>2021</v>
      </c>
      <c r="B81" s="64" t="s">
        <v>516</v>
      </c>
      <c r="C81" s="64" t="s">
        <v>42</v>
      </c>
      <c r="D81" s="64" t="s">
        <v>557</v>
      </c>
      <c r="E81" s="64" t="s">
        <v>527</v>
      </c>
      <c r="F81" s="64" t="s">
        <v>45</v>
      </c>
      <c r="G81" s="64" t="s">
        <v>558</v>
      </c>
      <c r="H81" s="78">
        <v>34442</v>
      </c>
      <c r="I81" s="64">
        <f t="shared" si="4"/>
        <v>323</v>
      </c>
      <c r="J81" s="78">
        <v>44299</v>
      </c>
      <c r="K81" s="64" t="str">
        <f t="shared" si="3"/>
        <v>ANTIGUO</v>
      </c>
      <c r="L81" s="64"/>
      <c r="M81" s="64"/>
      <c r="N81" s="64"/>
      <c r="O81" s="64">
        <v>0</v>
      </c>
      <c r="P81" s="64" t="s">
        <v>47</v>
      </c>
      <c r="Q81" s="64"/>
      <c r="R81" s="65"/>
      <c r="S81" s="64" t="s">
        <v>107</v>
      </c>
      <c r="T81" s="64" t="s">
        <v>297</v>
      </c>
      <c r="U81" s="64" t="s">
        <v>31</v>
      </c>
      <c r="V81" s="64" t="s">
        <v>297</v>
      </c>
      <c r="W81" s="64" t="s">
        <v>71</v>
      </c>
      <c r="X81" s="64" t="s">
        <v>87</v>
      </c>
      <c r="Y81" s="79">
        <v>0.63541666666666663</v>
      </c>
      <c r="Z81" s="64" t="s">
        <v>72</v>
      </c>
      <c r="AA81" s="64" t="s">
        <v>553</v>
      </c>
      <c r="AB81" s="65"/>
      <c r="AC81" s="82"/>
      <c r="AD81" s="64" t="s">
        <v>111</v>
      </c>
      <c r="AE81" s="64" t="s">
        <v>555</v>
      </c>
      <c r="AF81" s="64">
        <v>46</v>
      </c>
      <c r="AG81" s="64" t="s">
        <v>559</v>
      </c>
      <c r="AH81" s="64" t="s">
        <v>123</v>
      </c>
      <c r="AI81" s="64" t="s">
        <v>124</v>
      </c>
      <c r="AJ81" s="64" t="s">
        <v>125</v>
      </c>
      <c r="AK81" s="68" t="s">
        <v>560</v>
      </c>
      <c r="AL81" s="65" t="s">
        <v>62</v>
      </c>
      <c r="AM81" s="65" t="s">
        <v>63</v>
      </c>
      <c r="AN81" s="65" t="s">
        <v>64</v>
      </c>
    </row>
    <row r="82" spans="1:40" s="66" customFormat="1" ht="30" hidden="1" x14ac:dyDescent="0.25">
      <c r="A82" s="64">
        <v>2021</v>
      </c>
      <c r="B82" s="64" t="s">
        <v>516</v>
      </c>
      <c r="C82" s="64" t="s">
        <v>42</v>
      </c>
      <c r="D82" s="64" t="s">
        <v>561</v>
      </c>
      <c r="E82" s="64" t="s">
        <v>562</v>
      </c>
      <c r="F82" s="64" t="s">
        <v>45</v>
      </c>
      <c r="G82" s="64" t="s">
        <v>563</v>
      </c>
      <c r="H82" s="78">
        <v>44277</v>
      </c>
      <c r="I82" s="64">
        <f t="shared" si="4"/>
        <v>0</v>
      </c>
      <c r="J82" s="78">
        <v>44301</v>
      </c>
      <c r="K82" s="64" t="str">
        <f>IF(I82&lt;=18,"NUEVO",IF(I82&lt;=36,"INTERMEDIO","ANTIGUO"))</f>
        <v>NUEVO</v>
      </c>
      <c r="L82" s="64"/>
      <c r="M82" s="64"/>
      <c r="N82" s="64"/>
      <c r="O82" s="64">
        <v>0</v>
      </c>
      <c r="P82" s="64" t="s">
        <v>47</v>
      </c>
      <c r="Q82" s="64" t="s">
        <v>195</v>
      </c>
      <c r="R82" s="65" t="s">
        <v>564</v>
      </c>
      <c r="S82" s="64" t="s">
        <v>69</v>
      </c>
      <c r="T82" s="64" t="s">
        <v>69</v>
      </c>
      <c r="U82" s="64" t="s">
        <v>69</v>
      </c>
      <c r="V82" s="64"/>
      <c r="W82" s="64" t="s">
        <v>565</v>
      </c>
      <c r="X82" s="64" t="s">
        <v>52</v>
      </c>
      <c r="Y82" s="79">
        <v>0.22222222222222221</v>
      </c>
      <c r="Z82" s="64" t="s">
        <v>100</v>
      </c>
      <c r="AA82" s="64" t="s">
        <v>553</v>
      </c>
      <c r="AB82" s="65"/>
      <c r="AC82" s="82"/>
      <c r="AD82" s="64" t="s">
        <v>74</v>
      </c>
      <c r="AE82" s="64" t="s">
        <v>75</v>
      </c>
      <c r="AF82" s="64">
        <v>18</v>
      </c>
      <c r="AG82" s="64" t="s">
        <v>57</v>
      </c>
      <c r="AH82" s="64" t="s">
        <v>58</v>
      </c>
      <c r="AI82" s="64" t="s">
        <v>461</v>
      </c>
      <c r="AJ82" s="64" t="s">
        <v>462</v>
      </c>
      <c r="AK82" s="68" t="s">
        <v>566</v>
      </c>
      <c r="AL82" s="65" t="s">
        <v>62</v>
      </c>
      <c r="AM82" s="65" t="s">
        <v>64</v>
      </c>
      <c r="AN82" s="65" t="s">
        <v>64</v>
      </c>
    </row>
    <row r="83" spans="1:40" s="66" customFormat="1" hidden="1" x14ac:dyDescent="0.25">
      <c r="A83" s="64">
        <v>2021</v>
      </c>
      <c r="B83" s="64" t="s">
        <v>516</v>
      </c>
      <c r="C83" s="64" t="s">
        <v>42</v>
      </c>
      <c r="D83" s="64" t="s">
        <v>567</v>
      </c>
      <c r="E83" s="64" t="s">
        <v>568</v>
      </c>
      <c r="F83" s="64" t="s">
        <v>45</v>
      </c>
      <c r="G83" s="64" t="s">
        <v>569</v>
      </c>
      <c r="H83" s="78">
        <v>42933</v>
      </c>
      <c r="I83" s="64">
        <f t="shared" si="4"/>
        <v>44</v>
      </c>
      <c r="J83" s="78">
        <v>44302</v>
      </c>
      <c r="K83" s="64" t="str">
        <f t="shared" si="3"/>
        <v>ANTIGUO</v>
      </c>
      <c r="L83" s="64"/>
      <c r="M83" s="64"/>
      <c r="N83" s="64"/>
      <c r="O83" s="64">
        <v>0</v>
      </c>
      <c r="P83" s="64" t="s">
        <v>47</v>
      </c>
      <c r="Q83" s="64"/>
      <c r="R83" s="65"/>
      <c r="S83" s="64" t="s">
        <v>107</v>
      </c>
      <c r="T83" s="64" t="s">
        <v>570</v>
      </c>
      <c r="U83" s="64" t="s">
        <v>447</v>
      </c>
      <c r="V83" s="64" t="s">
        <v>570</v>
      </c>
      <c r="W83" s="64" t="s">
        <v>571</v>
      </c>
      <c r="X83" s="64" t="s">
        <v>52</v>
      </c>
      <c r="Y83" s="79">
        <v>0.39583333333333331</v>
      </c>
      <c r="Z83" s="64" t="s">
        <v>110</v>
      </c>
      <c r="AA83" s="64" t="s">
        <v>553</v>
      </c>
      <c r="AB83" s="65"/>
      <c r="AC83" s="82"/>
      <c r="AD83" s="64" t="s">
        <v>111</v>
      </c>
      <c r="AE83" s="64" t="s">
        <v>112</v>
      </c>
      <c r="AF83" s="64">
        <v>26</v>
      </c>
      <c r="AG83" s="64" t="s">
        <v>122</v>
      </c>
      <c r="AH83" s="64" t="s">
        <v>123</v>
      </c>
      <c r="AI83" s="64" t="s">
        <v>124</v>
      </c>
      <c r="AJ83" s="64" t="s">
        <v>125</v>
      </c>
      <c r="AK83" s="68" t="s">
        <v>572</v>
      </c>
      <c r="AL83" s="65" t="s">
        <v>103</v>
      </c>
      <c r="AM83" s="65" t="s">
        <v>63</v>
      </c>
      <c r="AN83" s="65" t="s">
        <v>64</v>
      </c>
    </row>
    <row r="84" spans="1:40" s="66" customFormat="1" hidden="1" x14ac:dyDescent="0.25">
      <c r="A84" s="64">
        <v>2021</v>
      </c>
      <c r="B84" s="64" t="s">
        <v>516</v>
      </c>
      <c r="C84" s="64" t="s">
        <v>42</v>
      </c>
      <c r="D84" s="36" t="s">
        <v>573</v>
      </c>
      <c r="E84" s="64" t="s">
        <v>574</v>
      </c>
      <c r="F84" s="64" t="s">
        <v>45</v>
      </c>
      <c r="G84" s="36" t="s">
        <v>575</v>
      </c>
      <c r="H84" s="11">
        <v>43885</v>
      </c>
      <c r="I84" s="64">
        <f t="shared" si="4"/>
        <v>13</v>
      </c>
      <c r="J84" s="78">
        <v>44303</v>
      </c>
      <c r="K84" s="64" t="str">
        <f t="shared" si="3"/>
        <v>NUEVO</v>
      </c>
      <c r="L84" s="64"/>
      <c r="M84" s="64"/>
      <c r="N84" s="64"/>
      <c r="O84" s="64">
        <v>0</v>
      </c>
      <c r="P84" s="64" t="s">
        <v>47</v>
      </c>
      <c r="Q84" s="64" t="s">
        <v>195</v>
      </c>
      <c r="R84" s="65" t="s">
        <v>467</v>
      </c>
      <c r="S84" s="64" t="s">
        <v>156</v>
      </c>
      <c r="T84" s="64" t="s">
        <v>183</v>
      </c>
      <c r="U84" s="64" t="s">
        <v>539</v>
      </c>
      <c r="V84" s="64" t="s">
        <v>388</v>
      </c>
      <c r="W84" s="64" t="s">
        <v>1543</v>
      </c>
      <c r="X84" s="64" t="s">
        <v>87</v>
      </c>
      <c r="Y84" s="79">
        <v>0.65625</v>
      </c>
      <c r="Z84" s="64" t="s">
        <v>147</v>
      </c>
      <c r="AA84" s="64" t="s">
        <v>553</v>
      </c>
      <c r="AB84" s="65"/>
      <c r="AC84" s="82"/>
      <c r="AD84" s="64" t="s">
        <v>159</v>
      </c>
      <c r="AE84" s="64" t="s">
        <v>541</v>
      </c>
      <c r="AF84" s="64">
        <v>55</v>
      </c>
      <c r="AG84" s="64" t="s">
        <v>413</v>
      </c>
      <c r="AH84" s="64" t="s">
        <v>58</v>
      </c>
      <c r="AI84" s="64" t="s">
        <v>59</v>
      </c>
      <c r="AJ84" s="64" t="s">
        <v>60</v>
      </c>
      <c r="AK84" s="101" t="s">
        <v>576</v>
      </c>
      <c r="AL84" s="65" t="s">
        <v>103</v>
      </c>
      <c r="AM84" s="65" t="s">
        <v>63</v>
      </c>
      <c r="AN84" s="65" t="s">
        <v>64</v>
      </c>
    </row>
    <row r="85" spans="1:40" s="66" customFormat="1" hidden="1" x14ac:dyDescent="0.25">
      <c r="A85" s="64">
        <v>2021</v>
      </c>
      <c r="B85" s="64" t="s">
        <v>516</v>
      </c>
      <c r="C85" s="64" t="s">
        <v>42</v>
      </c>
      <c r="D85" s="64" t="s">
        <v>577</v>
      </c>
      <c r="E85" s="253" t="s">
        <v>232</v>
      </c>
      <c r="F85" s="64" t="s">
        <v>45</v>
      </c>
      <c r="G85" s="45" t="s">
        <v>578</v>
      </c>
      <c r="H85" s="11">
        <v>43633</v>
      </c>
      <c r="I85" s="64">
        <f t="shared" si="4"/>
        <v>22</v>
      </c>
      <c r="J85" s="78">
        <v>44304</v>
      </c>
      <c r="K85" s="64" t="str">
        <f t="shared" si="3"/>
        <v>INTERMEDIO</v>
      </c>
      <c r="L85" s="78">
        <v>44305</v>
      </c>
      <c r="M85" s="78">
        <v>44305</v>
      </c>
      <c r="N85" s="64"/>
      <c r="O85" s="64">
        <v>0</v>
      </c>
      <c r="P85" s="64" t="s">
        <v>47</v>
      </c>
      <c r="Q85" s="64"/>
      <c r="R85" s="65"/>
      <c r="S85" s="64" t="s">
        <v>165</v>
      </c>
      <c r="T85" s="100" t="s">
        <v>579</v>
      </c>
      <c r="U85" s="64" t="s">
        <v>580</v>
      </c>
      <c r="V85" s="64" t="s">
        <v>581</v>
      </c>
      <c r="W85" s="64" t="s">
        <v>582</v>
      </c>
      <c r="X85" s="64" t="s">
        <v>87</v>
      </c>
      <c r="Y85" s="79">
        <v>0.60416666666666663</v>
      </c>
      <c r="Z85" s="64" t="s">
        <v>158</v>
      </c>
      <c r="AA85" s="64" t="s">
        <v>553</v>
      </c>
      <c r="AB85" s="87">
        <v>14544</v>
      </c>
      <c r="AC85" s="82" t="s">
        <v>583</v>
      </c>
      <c r="AD85" s="64" t="s">
        <v>168</v>
      </c>
      <c r="AE85" s="64" t="s">
        <v>314</v>
      </c>
      <c r="AF85" s="64">
        <v>26</v>
      </c>
      <c r="AG85" s="64" t="s">
        <v>57</v>
      </c>
      <c r="AH85" s="64" t="s">
        <v>93</v>
      </c>
      <c r="AI85" s="64" t="s">
        <v>59</v>
      </c>
      <c r="AJ85" s="64" t="s">
        <v>60</v>
      </c>
      <c r="AK85" s="102" t="s">
        <v>584</v>
      </c>
      <c r="AL85" s="65" t="s">
        <v>62</v>
      </c>
      <c r="AM85" s="65" t="s">
        <v>63</v>
      </c>
      <c r="AN85" s="65" t="s">
        <v>63</v>
      </c>
    </row>
    <row r="86" spans="1:40" s="66" customFormat="1" hidden="1" x14ac:dyDescent="0.25">
      <c r="A86" s="64">
        <v>2021</v>
      </c>
      <c r="B86" s="64" t="s">
        <v>516</v>
      </c>
      <c r="C86" s="64" t="s">
        <v>42</v>
      </c>
      <c r="D86" s="64" t="s">
        <v>585</v>
      </c>
      <c r="E86" s="64" t="s">
        <v>586</v>
      </c>
      <c r="F86" s="64" t="s">
        <v>45</v>
      </c>
      <c r="G86" s="64" t="s">
        <v>587</v>
      </c>
      <c r="H86" s="78">
        <v>43857</v>
      </c>
      <c r="I86" s="64">
        <f t="shared" si="4"/>
        <v>14</v>
      </c>
      <c r="J86" s="78">
        <v>44306</v>
      </c>
      <c r="K86" s="64" t="str">
        <f t="shared" si="3"/>
        <v>NUEVO</v>
      </c>
      <c r="L86" s="64"/>
      <c r="M86" s="64"/>
      <c r="N86" s="64"/>
      <c r="O86" s="64">
        <v>0</v>
      </c>
      <c r="P86" s="64" t="s">
        <v>47</v>
      </c>
      <c r="Q86" s="64"/>
      <c r="R86" s="65"/>
      <c r="S86" s="64" t="s">
        <v>118</v>
      </c>
      <c r="T86" s="64" t="s">
        <v>119</v>
      </c>
      <c r="U86" s="64" t="s">
        <v>453</v>
      </c>
      <c r="V86" s="64" t="s">
        <v>119</v>
      </c>
      <c r="W86" s="64" t="s">
        <v>71</v>
      </c>
      <c r="X86" s="64" t="s">
        <v>52</v>
      </c>
      <c r="Y86" s="79">
        <v>0.3576388888888889</v>
      </c>
      <c r="Z86" s="64" t="s">
        <v>72</v>
      </c>
      <c r="AA86" s="64" t="s">
        <v>588</v>
      </c>
      <c r="AB86" s="65"/>
      <c r="AC86" s="82"/>
      <c r="AD86" s="64" t="s">
        <v>74</v>
      </c>
      <c r="AE86" s="64" t="s">
        <v>191</v>
      </c>
      <c r="AF86" s="64">
        <v>39</v>
      </c>
      <c r="AG86" s="64" t="s">
        <v>76</v>
      </c>
      <c r="AH86" s="64" t="s">
        <v>149</v>
      </c>
      <c r="AI86" s="64" t="s">
        <v>59</v>
      </c>
      <c r="AJ86" s="64" t="s">
        <v>78</v>
      </c>
      <c r="AK86" s="68" t="s">
        <v>589</v>
      </c>
      <c r="AL86" s="65" t="s">
        <v>62</v>
      </c>
      <c r="AM86" s="65" t="s">
        <v>64</v>
      </c>
      <c r="AN86" s="65" t="s">
        <v>64</v>
      </c>
    </row>
    <row r="87" spans="1:40" s="66" customFormat="1" hidden="1" x14ac:dyDescent="0.25">
      <c r="A87" s="64">
        <v>2021</v>
      </c>
      <c r="B87" s="64" t="s">
        <v>516</v>
      </c>
      <c r="C87" s="64" t="s">
        <v>42</v>
      </c>
      <c r="D87" s="64" t="s">
        <v>590</v>
      </c>
      <c r="E87" s="64" t="s">
        <v>591</v>
      </c>
      <c r="F87" s="64" t="s">
        <v>45</v>
      </c>
      <c r="G87" s="64" t="s">
        <v>592</v>
      </c>
      <c r="H87" s="78">
        <v>43689</v>
      </c>
      <c r="I87" s="64">
        <f t="shared" si="4"/>
        <v>20</v>
      </c>
      <c r="J87" s="78">
        <v>44307</v>
      </c>
      <c r="K87" s="64" t="str">
        <f t="shared" si="3"/>
        <v>INTERMEDIO</v>
      </c>
      <c r="L87" s="64"/>
      <c r="M87" s="64"/>
      <c r="N87" s="64"/>
      <c r="O87" s="64">
        <v>0</v>
      </c>
      <c r="P87" s="64" t="s">
        <v>47</v>
      </c>
      <c r="Q87" s="64"/>
      <c r="R87" s="65"/>
      <c r="S87" s="64" t="s">
        <v>118</v>
      </c>
      <c r="T87" s="64" t="s">
        <v>130</v>
      </c>
      <c r="U87" s="64" t="s">
        <v>453</v>
      </c>
      <c r="V87" s="64" t="s">
        <v>130</v>
      </c>
      <c r="W87" s="64" t="s">
        <v>71</v>
      </c>
      <c r="X87" s="64" t="s">
        <v>52</v>
      </c>
      <c r="Y87" s="79">
        <v>0.47916666666666669</v>
      </c>
      <c r="Z87" s="64" t="s">
        <v>88</v>
      </c>
      <c r="AA87" s="64" t="s">
        <v>588</v>
      </c>
      <c r="AB87" s="65"/>
      <c r="AC87" s="82"/>
      <c r="AD87" s="64" t="s">
        <v>74</v>
      </c>
      <c r="AE87" s="64" t="s">
        <v>280</v>
      </c>
      <c r="AF87" s="64">
        <v>29</v>
      </c>
      <c r="AG87" s="64" t="s">
        <v>413</v>
      </c>
      <c r="AH87" s="64" t="s">
        <v>58</v>
      </c>
      <c r="AI87" s="64" t="s">
        <v>59</v>
      </c>
      <c r="AJ87" s="64" t="s">
        <v>60</v>
      </c>
      <c r="AK87" s="68" t="s">
        <v>1537</v>
      </c>
      <c r="AL87" s="65" t="s">
        <v>103</v>
      </c>
      <c r="AM87" s="65" t="s">
        <v>63</v>
      </c>
      <c r="AN87" s="65" t="s">
        <v>64</v>
      </c>
    </row>
    <row r="88" spans="1:40" s="66" customFormat="1" hidden="1" x14ac:dyDescent="0.25">
      <c r="A88" s="64">
        <v>2021</v>
      </c>
      <c r="B88" s="64" t="s">
        <v>516</v>
      </c>
      <c r="C88" s="64" t="s">
        <v>42</v>
      </c>
      <c r="D88" s="10" t="s">
        <v>593</v>
      </c>
      <c r="E88" s="64" t="s">
        <v>594</v>
      </c>
      <c r="F88" s="64" t="s">
        <v>45</v>
      </c>
      <c r="G88" s="6" t="s">
        <v>595</v>
      </c>
      <c r="H88" s="11">
        <v>39295</v>
      </c>
      <c r="I88" s="64">
        <f t="shared" si="4"/>
        <v>164</v>
      </c>
      <c r="J88" s="78">
        <v>44310</v>
      </c>
      <c r="K88" s="64" t="str">
        <f t="shared" si="3"/>
        <v>ANTIGUO</v>
      </c>
      <c r="L88" s="64"/>
      <c r="M88" s="64"/>
      <c r="N88" s="64"/>
      <c r="O88" s="64">
        <v>0</v>
      </c>
      <c r="P88" s="64" t="s">
        <v>47</v>
      </c>
      <c r="Q88" s="64"/>
      <c r="R88" s="65"/>
      <c r="S88" s="64" t="s">
        <v>156</v>
      </c>
      <c r="T88" s="10" t="s">
        <v>596</v>
      </c>
      <c r="U88" s="10" t="s">
        <v>597</v>
      </c>
      <c r="V88" s="64" t="s">
        <v>266</v>
      </c>
      <c r="W88" s="64" t="s">
        <v>71</v>
      </c>
      <c r="X88" s="64" t="s">
        <v>109</v>
      </c>
      <c r="Y88" s="79">
        <v>0.10416666666666667</v>
      </c>
      <c r="Z88" s="64" t="s">
        <v>147</v>
      </c>
      <c r="AA88" s="64" t="s">
        <v>588</v>
      </c>
      <c r="AB88" s="65"/>
      <c r="AC88" s="82"/>
      <c r="AD88" s="64" t="s">
        <v>159</v>
      </c>
      <c r="AE88" s="64" t="s">
        <v>598</v>
      </c>
      <c r="AF88" s="64">
        <v>67</v>
      </c>
      <c r="AG88" s="64" t="s">
        <v>270</v>
      </c>
      <c r="AH88" s="64" t="s">
        <v>123</v>
      </c>
      <c r="AI88" s="64" t="s">
        <v>124</v>
      </c>
      <c r="AJ88" s="64" t="s">
        <v>125</v>
      </c>
      <c r="AK88" t="s">
        <v>599</v>
      </c>
      <c r="AL88" s="65" t="s">
        <v>103</v>
      </c>
      <c r="AM88" s="65" t="s">
        <v>63</v>
      </c>
      <c r="AN88" s="65" t="s">
        <v>64</v>
      </c>
    </row>
    <row r="89" spans="1:40" s="66" customFormat="1" hidden="1" x14ac:dyDescent="0.25">
      <c r="A89" s="64">
        <v>2021</v>
      </c>
      <c r="B89" s="64" t="s">
        <v>516</v>
      </c>
      <c r="C89" s="64" t="s">
        <v>42</v>
      </c>
      <c r="D89" s="64" t="s">
        <v>600</v>
      </c>
      <c r="E89" s="64" t="s">
        <v>44</v>
      </c>
      <c r="F89" s="64" t="s">
        <v>45</v>
      </c>
      <c r="G89" s="64" t="s">
        <v>601</v>
      </c>
      <c r="H89" s="78">
        <v>43892</v>
      </c>
      <c r="I89" s="64">
        <f t="shared" si="4"/>
        <v>13</v>
      </c>
      <c r="J89" s="78">
        <v>44310</v>
      </c>
      <c r="K89" s="64" t="str">
        <f t="shared" si="3"/>
        <v>NUEVO</v>
      </c>
      <c r="L89" s="64"/>
      <c r="M89" s="64"/>
      <c r="N89" s="64"/>
      <c r="O89" s="64">
        <v>0</v>
      </c>
      <c r="P89" s="64" t="s">
        <v>47</v>
      </c>
      <c r="Q89" s="64"/>
      <c r="R89" s="65"/>
      <c r="S89" s="64" t="s">
        <v>255</v>
      </c>
      <c r="T89" s="64" t="s">
        <v>602</v>
      </c>
      <c r="U89" s="64" t="s">
        <v>603</v>
      </c>
      <c r="V89" s="64" t="s">
        <v>602</v>
      </c>
      <c r="W89" s="64" t="s">
        <v>71</v>
      </c>
      <c r="X89" s="64" t="s">
        <v>109</v>
      </c>
      <c r="Y89" s="79">
        <v>0.10416666666666667</v>
      </c>
      <c r="Z89" s="64" t="s">
        <v>147</v>
      </c>
      <c r="AA89" s="64" t="s">
        <v>588</v>
      </c>
      <c r="AB89" s="65"/>
      <c r="AC89" s="82"/>
      <c r="AD89" s="64" t="s">
        <v>259</v>
      </c>
      <c r="AE89" s="64" t="s">
        <v>547</v>
      </c>
      <c r="AF89" s="64">
        <v>41</v>
      </c>
      <c r="AG89" s="64" t="s">
        <v>389</v>
      </c>
      <c r="AH89" s="64" t="s">
        <v>123</v>
      </c>
      <c r="AI89" s="64" t="s">
        <v>59</v>
      </c>
      <c r="AJ89" s="64" t="s">
        <v>60</v>
      </c>
      <c r="AK89" s="68" t="s">
        <v>604</v>
      </c>
      <c r="AL89" s="65" t="s">
        <v>62</v>
      </c>
      <c r="AM89" s="65" t="s">
        <v>63</v>
      </c>
      <c r="AN89" s="65" t="s">
        <v>64</v>
      </c>
    </row>
    <row r="90" spans="1:40" s="66" customFormat="1" hidden="1" x14ac:dyDescent="0.25">
      <c r="A90" s="64">
        <v>2021</v>
      </c>
      <c r="B90" s="64" t="s">
        <v>516</v>
      </c>
      <c r="C90" s="64" t="s">
        <v>42</v>
      </c>
      <c r="D90" s="45" t="s">
        <v>605</v>
      </c>
      <c r="E90" s="64" t="s">
        <v>606</v>
      </c>
      <c r="F90" s="64" t="s">
        <v>45</v>
      </c>
      <c r="G90" s="1" t="s">
        <v>607</v>
      </c>
      <c r="H90" s="11">
        <v>43640</v>
      </c>
      <c r="I90" s="64">
        <f t="shared" si="4"/>
        <v>22</v>
      </c>
      <c r="J90" s="78">
        <v>44313</v>
      </c>
      <c r="K90" s="64" t="str">
        <f t="shared" si="3"/>
        <v>INTERMEDIO</v>
      </c>
      <c r="L90" s="78">
        <v>44313</v>
      </c>
      <c r="M90" s="78">
        <v>44435</v>
      </c>
      <c r="N90" s="64"/>
      <c r="O90" s="64">
        <v>0</v>
      </c>
      <c r="P90" s="64" t="s">
        <v>47</v>
      </c>
      <c r="Q90" s="64" t="s">
        <v>195</v>
      </c>
      <c r="R90" s="65" t="s">
        <v>467</v>
      </c>
      <c r="S90" s="64" t="s">
        <v>255</v>
      </c>
      <c r="T90" s="64" t="s">
        <v>256</v>
      </c>
      <c r="U90" s="45" t="s">
        <v>603</v>
      </c>
      <c r="V90" s="64" t="s">
        <v>608</v>
      </c>
      <c r="W90" s="64" t="s">
        <v>1543</v>
      </c>
      <c r="X90" s="64" t="s">
        <v>87</v>
      </c>
      <c r="Y90" s="79">
        <v>0.76041666666666663</v>
      </c>
      <c r="Z90" s="64" t="s">
        <v>72</v>
      </c>
      <c r="AA90" s="64" t="s">
        <v>609</v>
      </c>
      <c r="AB90" s="65"/>
      <c r="AC90" s="82"/>
      <c r="AD90" s="64" t="s">
        <v>259</v>
      </c>
      <c r="AE90" s="64" t="s">
        <v>547</v>
      </c>
      <c r="AF90" s="64">
        <v>31</v>
      </c>
      <c r="AG90" s="64" t="s">
        <v>275</v>
      </c>
      <c r="AH90" s="64" t="s">
        <v>610</v>
      </c>
      <c r="AI90" s="64" t="s">
        <v>59</v>
      </c>
      <c r="AJ90" s="64" t="s">
        <v>60</v>
      </c>
      <c r="AK90" t="s">
        <v>1520</v>
      </c>
      <c r="AL90" s="65" t="s">
        <v>62</v>
      </c>
      <c r="AM90" s="65" t="s">
        <v>63</v>
      </c>
      <c r="AN90" s="65" t="s">
        <v>64</v>
      </c>
    </row>
    <row r="91" spans="1:40" s="66" customFormat="1" ht="15.75" hidden="1" x14ac:dyDescent="0.25">
      <c r="A91" s="64">
        <v>2021</v>
      </c>
      <c r="B91" s="64" t="s">
        <v>516</v>
      </c>
      <c r="C91" s="64" t="s">
        <v>42</v>
      </c>
      <c r="D91" s="10" t="s">
        <v>611</v>
      </c>
      <c r="E91" s="64" t="s">
        <v>612</v>
      </c>
      <c r="F91" s="64" t="s">
        <v>45</v>
      </c>
      <c r="G91" s="1" t="s">
        <v>613</v>
      </c>
      <c r="H91" s="11">
        <v>43871</v>
      </c>
      <c r="I91" s="64">
        <f t="shared" si="4"/>
        <v>14</v>
      </c>
      <c r="J91" s="78">
        <v>44313</v>
      </c>
      <c r="K91" s="64" t="str">
        <f t="shared" si="3"/>
        <v>NUEVO</v>
      </c>
      <c r="L91" s="78">
        <v>44313</v>
      </c>
      <c r="M91" s="78">
        <v>44316</v>
      </c>
      <c r="N91" s="64"/>
      <c r="O91" s="64">
        <v>4</v>
      </c>
      <c r="P91" s="64" t="s">
        <v>68</v>
      </c>
      <c r="Q91" s="64" t="s">
        <v>195</v>
      </c>
      <c r="R91" s="65" t="s">
        <v>564</v>
      </c>
      <c r="S91" s="64" t="s">
        <v>107</v>
      </c>
      <c r="T91" s="64" t="s">
        <v>570</v>
      </c>
      <c r="U91" s="45" t="s">
        <v>447</v>
      </c>
      <c r="V91" s="103" t="s">
        <v>614</v>
      </c>
      <c r="W91" s="64" t="s">
        <v>615</v>
      </c>
      <c r="X91" s="64" t="s">
        <v>87</v>
      </c>
      <c r="Y91" s="79">
        <v>0.54652777777777783</v>
      </c>
      <c r="Z91" s="64" t="s">
        <v>72</v>
      </c>
      <c r="AA91" s="64" t="s">
        <v>609</v>
      </c>
      <c r="AB91" s="87">
        <v>14546</v>
      </c>
      <c r="AC91" s="82" t="s">
        <v>616</v>
      </c>
      <c r="AD91" s="64" t="s">
        <v>111</v>
      </c>
      <c r="AE91" s="64" t="s">
        <v>178</v>
      </c>
      <c r="AF91" s="64">
        <v>24</v>
      </c>
      <c r="AG91" s="64" t="s">
        <v>57</v>
      </c>
      <c r="AH91" s="64" t="s">
        <v>58</v>
      </c>
      <c r="AI91" s="64" t="s">
        <v>94</v>
      </c>
      <c r="AJ91" s="64" t="s">
        <v>199</v>
      </c>
      <c r="AK91" s="68" t="s">
        <v>617</v>
      </c>
      <c r="AL91" s="65" t="s">
        <v>62</v>
      </c>
      <c r="AM91" s="65" t="s">
        <v>63</v>
      </c>
      <c r="AN91" s="65" t="s">
        <v>63</v>
      </c>
    </row>
    <row r="92" spans="1:40" s="66" customFormat="1" hidden="1" x14ac:dyDescent="0.25">
      <c r="A92" s="64">
        <v>2021</v>
      </c>
      <c r="B92" s="64" t="s">
        <v>516</v>
      </c>
      <c r="C92" s="64" t="s">
        <v>42</v>
      </c>
      <c r="D92" s="64" t="s">
        <v>618</v>
      </c>
      <c r="E92" s="64" t="s">
        <v>619</v>
      </c>
      <c r="F92" s="64" t="s">
        <v>45</v>
      </c>
      <c r="G92" s="64" t="s">
        <v>291</v>
      </c>
      <c r="H92" s="78">
        <v>43983</v>
      </c>
      <c r="I92" s="64">
        <f t="shared" si="4"/>
        <v>10</v>
      </c>
      <c r="J92" s="78">
        <v>44313</v>
      </c>
      <c r="K92" s="64" t="str">
        <f t="shared" si="3"/>
        <v>NUEVO</v>
      </c>
      <c r="L92" s="64"/>
      <c r="M92" s="64"/>
      <c r="N92" s="64"/>
      <c r="O92" s="64">
        <v>0</v>
      </c>
      <c r="P92" s="64" t="s">
        <v>47</v>
      </c>
      <c r="Q92" s="64"/>
      <c r="R92" s="65"/>
      <c r="S92" s="64" t="s">
        <v>69</v>
      </c>
      <c r="T92" s="64"/>
      <c r="U92" s="64"/>
      <c r="V92" s="64"/>
      <c r="W92" s="64"/>
      <c r="X92" s="64" t="s">
        <v>87</v>
      </c>
      <c r="Y92" s="79">
        <v>0.80555555555555547</v>
      </c>
      <c r="Z92" s="64" t="s">
        <v>72</v>
      </c>
      <c r="AA92" s="64" t="s">
        <v>609</v>
      </c>
      <c r="AB92" s="65"/>
      <c r="AC92" s="82"/>
      <c r="AD92" s="64" t="s">
        <v>74</v>
      </c>
      <c r="AE92" s="64" t="s">
        <v>75</v>
      </c>
      <c r="AF92" s="64"/>
      <c r="AG92" s="64" t="s">
        <v>122</v>
      </c>
      <c r="AH92" s="64" t="s">
        <v>58</v>
      </c>
      <c r="AI92" s="64" t="s">
        <v>59</v>
      </c>
      <c r="AJ92" s="64" t="s">
        <v>60</v>
      </c>
      <c r="AK92" s="68" t="s">
        <v>620</v>
      </c>
      <c r="AL92" s="65" t="s">
        <v>103</v>
      </c>
      <c r="AM92" s="65" t="s">
        <v>64</v>
      </c>
      <c r="AN92" s="65" t="s">
        <v>64</v>
      </c>
    </row>
    <row r="93" spans="1:40" s="66" customFormat="1" hidden="1" x14ac:dyDescent="0.25">
      <c r="A93" s="64">
        <v>2021</v>
      </c>
      <c r="B93" s="64" t="s">
        <v>621</v>
      </c>
      <c r="C93" s="64" t="s">
        <v>42</v>
      </c>
      <c r="D93" s="64" t="s">
        <v>622</v>
      </c>
      <c r="E93" s="64" t="s">
        <v>172</v>
      </c>
      <c r="F93" s="64" t="s">
        <v>45</v>
      </c>
      <c r="G93" s="64" t="s">
        <v>623</v>
      </c>
      <c r="H93" s="78">
        <v>39024</v>
      </c>
      <c r="I93" s="64">
        <f t="shared" si="4"/>
        <v>174</v>
      </c>
      <c r="J93" s="78">
        <v>44319</v>
      </c>
      <c r="K93" s="64" t="str">
        <f t="shared" si="3"/>
        <v>ANTIGUO</v>
      </c>
      <c r="L93" s="64"/>
      <c r="M93" s="64"/>
      <c r="N93" s="64"/>
      <c r="O93" s="64">
        <v>0</v>
      </c>
      <c r="P93" s="64" t="s">
        <v>47</v>
      </c>
      <c r="Q93" s="64"/>
      <c r="R93" s="65"/>
      <c r="S93" s="64" t="s">
        <v>83</v>
      </c>
      <c r="T93" s="64"/>
      <c r="U93" s="64"/>
      <c r="V93" s="64"/>
      <c r="W93" s="64"/>
      <c r="X93" s="64" t="s">
        <v>87</v>
      </c>
      <c r="Y93" s="79">
        <v>0.74652777777777779</v>
      </c>
      <c r="Z93" s="64" t="s">
        <v>53</v>
      </c>
      <c r="AA93" s="64" t="s">
        <v>624</v>
      </c>
      <c r="AB93" s="65"/>
      <c r="AC93" s="82"/>
      <c r="AD93" s="64" t="s">
        <v>74</v>
      </c>
      <c r="AE93" s="64" t="s">
        <v>485</v>
      </c>
      <c r="AF93" s="64">
        <v>56</v>
      </c>
      <c r="AG93" s="64" t="s">
        <v>122</v>
      </c>
      <c r="AH93" s="64" t="s">
        <v>58</v>
      </c>
      <c r="AI93" s="64" t="s">
        <v>94</v>
      </c>
      <c r="AJ93" s="64" t="s">
        <v>60</v>
      </c>
      <c r="AK93" s="68" t="s">
        <v>625</v>
      </c>
      <c r="AL93" s="65" t="s">
        <v>62</v>
      </c>
      <c r="AM93" s="65" t="s">
        <v>63</v>
      </c>
      <c r="AN93" s="65" t="s">
        <v>63</v>
      </c>
    </row>
    <row r="94" spans="1:40" s="66" customFormat="1" hidden="1" x14ac:dyDescent="0.25">
      <c r="A94" s="64">
        <v>2021</v>
      </c>
      <c r="B94" s="64" t="s">
        <v>621</v>
      </c>
      <c r="C94" s="64" t="s">
        <v>42</v>
      </c>
      <c r="D94" s="64" t="s">
        <v>626</v>
      </c>
      <c r="E94" s="64" t="s">
        <v>627</v>
      </c>
      <c r="F94" s="64" t="s">
        <v>45</v>
      </c>
      <c r="G94" s="64" t="s">
        <v>628</v>
      </c>
      <c r="H94" s="78">
        <v>44236</v>
      </c>
      <c r="I94" s="64">
        <f t="shared" si="4"/>
        <v>2</v>
      </c>
      <c r="J94" s="78">
        <v>44319</v>
      </c>
      <c r="K94" s="64" t="str">
        <f>IF(I94&lt;=18,"NUEVO",IF(I94&lt;=36,"INTERMEDIO","ANTIGUO"))</f>
        <v>NUEVO</v>
      </c>
      <c r="L94" s="64"/>
      <c r="M94" s="64"/>
      <c r="N94" s="64"/>
      <c r="O94" s="64">
        <v>0</v>
      </c>
      <c r="P94" s="64" t="s">
        <v>47</v>
      </c>
      <c r="Q94" s="64"/>
      <c r="R94" s="65"/>
      <c r="S94" s="64" t="s">
        <v>83</v>
      </c>
      <c r="T94" s="64"/>
      <c r="U94" s="64"/>
      <c r="V94" s="64"/>
      <c r="W94" s="64"/>
      <c r="X94" s="64" t="s">
        <v>87</v>
      </c>
      <c r="Y94" s="79">
        <v>0.72916666666666663</v>
      </c>
      <c r="Z94" s="64" t="s">
        <v>53</v>
      </c>
      <c r="AA94" s="64" t="s">
        <v>624</v>
      </c>
      <c r="AB94" s="65"/>
      <c r="AC94" s="82"/>
      <c r="AD94" s="64" t="s">
        <v>74</v>
      </c>
      <c r="AE94" s="64" t="s">
        <v>356</v>
      </c>
      <c r="AF94" s="64">
        <v>24</v>
      </c>
      <c r="AG94" s="64" t="s">
        <v>328</v>
      </c>
      <c r="AH94" s="64" t="s">
        <v>58</v>
      </c>
      <c r="AI94" s="64" t="s">
        <v>94</v>
      </c>
      <c r="AJ94" s="64" t="s">
        <v>199</v>
      </c>
      <c r="AK94" s="68" t="s">
        <v>629</v>
      </c>
      <c r="AL94" s="65" t="s">
        <v>62</v>
      </c>
      <c r="AM94" s="65" t="s">
        <v>64</v>
      </c>
      <c r="AN94" s="65" t="s">
        <v>64</v>
      </c>
    </row>
    <row r="95" spans="1:40" s="66" customFormat="1" hidden="1" x14ac:dyDescent="0.25">
      <c r="A95" s="64">
        <v>2021</v>
      </c>
      <c r="B95" s="64" t="s">
        <v>621</v>
      </c>
      <c r="C95" s="64" t="s">
        <v>42</v>
      </c>
      <c r="D95" s="36" t="s">
        <v>630</v>
      </c>
      <c r="E95" s="64" t="s">
        <v>631</v>
      </c>
      <c r="F95" s="64" t="s">
        <v>45</v>
      </c>
      <c r="G95" s="45" t="s">
        <v>632</v>
      </c>
      <c r="H95" s="11">
        <v>43507</v>
      </c>
      <c r="I95" s="64">
        <f t="shared" si="4"/>
        <v>26</v>
      </c>
      <c r="J95" s="78">
        <v>44321</v>
      </c>
      <c r="K95" s="64" t="str">
        <f>IF(I95&lt;=18,"NUEVO",IF(I95&lt;=36,"INTERMEDIO","ANTIGUO"))</f>
        <v>INTERMEDIO</v>
      </c>
      <c r="L95" s="64"/>
      <c r="M95" s="64"/>
      <c r="N95" s="64"/>
      <c r="O95" s="64">
        <v>0</v>
      </c>
      <c r="P95" s="64" t="s">
        <v>47</v>
      </c>
      <c r="Q95" s="64"/>
      <c r="R95" s="65"/>
      <c r="S95" s="64" t="s">
        <v>69</v>
      </c>
      <c r="T95" s="45" t="s">
        <v>633</v>
      </c>
      <c r="U95" s="10" t="s">
        <v>453</v>
      </c>
      <c r="V95" s="64" t="s">
        <v>388</v>
      </c>
      <c r="W95" s="64" t="s">
        <v>1543</v>
      </c>
      <c r="X95" s="64" t="s">
        <v>52</v>
      </c>
      <c r="Y95" s="79">
        <v>0.39583333333333331</v>
      </c>
      <c r="Z95" s="64" t="s">
        <v>88</v>
      </c>
      <c r="AA95" s="64" t="s">
        <v>634</v>
      </c>
      <c r="AB95" s="65"/>
      <c r="AC95" s="82"/>
      <c r="AD95" s="64" t="s">
        <v>74</v>
      </c>
      <c r="AE95" s="64" t="s">
        <v>75</v>
      </c>
      <c r="AF95" s="64">
        <v>26</v>
      </c>
      <c r="AG95" s="64" t="s">
        <v>275</v>
      </c>
      <c r="AH95" s="64" t="s">
        <v>102</v>
      </c>
      <c r="AI95" s="64" t="s">
        <v>59</v>
      </c>
      <c r="AJ95" s="64" t="s">
        <v>60</v>
      </c>
      <c r="AK95" s="210" t="s">
        <v>1521</v>
      </c>
      <c r="AL95" s="65" t="s">
        <v>62</v>
      </c>
      <c r="AM95" s="65" t="s">
        <v>63</v>
      </c>
      <c r="AN95" s="65" t="s">
        <v>64</v>
      </c>
    </row>
    <row r="96" spans="1:40" s="66" customFormat="1" hidden="1" x14ac:dyDescent="0.25">
      <c r="A96" s="64">
        <v>2021</v>
      </c>
      <c r="B96" s="64" t="s">
        <v>621</v>
      </c>
      <c r="C96" s="64" t="s">
        <v>42</v>
      </c>
      <c r="D96" s="64" t="s">
        <v>635</v>
      </c>
      <c r="E96" s="64" t="s">
        <v>636</v>
      </c>
      <c r="F96" s="64" t="s">
        <v>45</v>
      </c>
      <c r="G96" s="36" t="s">
        <v>637</v>
      </c>
      <c r="H96" s="11">
        <v>44216</v>
      </c>
      <c r="I96" s="64">
        <f t="shared" si="4"/>
        <v>3</v>
      </c>
      <c r="J96" s="78">
        <v>44322</v>
      </c>
      <c r="K96" s="64" t="str">
        <f>IF(I96&lt;=18,"NUEVO",IF(I96&lt;=36,"INTERMEDIO","ANTIGUO"))</f>
        <v>NUEVO</v>
      </c>
      <c r="L96" s="64"/>
      <c r="M96" s="64"/>
      <c r="N96" s="64"/>
      <c r="O96" s="64">
        <v>0</v>
      </c>
      <c r="P96" s="64" t="s">
        <v>47</v>
      </c>
      <c r="Q96" s="64"/>
      <c r="R96" s="65"/>
      <c r="S96" s="64" t="s">
        <v>255</v>
      </c>
      <c r="T96" s="64" t="s">
        <v>256</v>
      </c>
      <c r="U96" s="10" t="s">
        <v>603</v>
      </c>
      <c r="V96" s="64" t="s">
        <v>638</v>
      </c>
      <c r="W96" s="64" t="s">
        <v>71</v>
      </c>
      <c r="X96" s="64" t="s">
        <v>52</v>
      </c>
      <c r="Y96" s="79">
        <v>0.35416666666666669</v>
      </c>
      <c r="Z96" s="64" t="s">
        <v>100</v>
      </c>
      <c r="AA96" s="64" t="s">
        <v>634</v>
      </c>
      <c r="AB96" s="65"/>
      <c r="AC96" s="82"/>
      <c r="AD96" s="64" t="s">
        <v>259</v>
      </c>
      <c r="AE96" s="64" t="s">
        <v>547</v>
      </c>
      <c r="AF96" s="64">
        <v>21</v>
      </c>
      <c r="AG96" s="64" t="s">
        <v>529</v>
      </c>
      <c r="AH96" s="64" t="s">
        <v>58</v>
      </c>
      <c r="AI96" s="64" t="s">
        <v>59</v>
      </c>
      <c r="AJ96" s="64" t="s">
        <v>60</v>
      </c>
      <c r="AK96" s="1" t="s">
        <v>639</v>
      </c>
      <c r="AL96" s="65" t="s">
        <v>62</v>
      </c>
      <c r="AM96" s="65" t="s">
        <v>63</v>
      </c>
      <c r="AN96" s="65" t="s">
        <v>64</v>
      </c>
    </row>
    <row r="97" spans="1:40" s="66" customFormat="1" hidden="1" x14ac:dyDescent="0.25">
      <c r="A97" s="64">
        <v>2021</v>
      </c>
      <c r="B97" s="64" t="s">
        <v>621</v>
      </c>
      <c r="C97" s="64" t="s">
        <v>42</v>
      </c>
      <c r="D97" s="64" t="s">
        <v>640</v>
      </c>
      <c r="E97" s="64" t="s">
        <v>641</v>
      </c>
      <c r="F97" s="64" t="s">
        <v>45</v>
      </c>
      <c r="G97" s="64" t="s">
        <v>642</v>
      </c>
      <c r="H97" s="78">
        <v>43535</v>
      </c>
      <c r="I97" s="64">
        <f t="shared" si="4"/>
        <v>25</v>
      </c>
      <c r="J97" s="78">
        <v>44322</v>
      </c>
      <c r="K97" s="64" t="str">
        <f>IF(I97&lt;=18,"NUEVO",IF(I97&lt;=36,"INTERMEDIO","ANTIGUO"))</f>
        <v>INTERMEDIO</v>
      </c>
      <c r="L97" s="64"/>
      <c r="M97" s="64"/>
      <c r="N97" s="64"/>
      <c r="O97" s="64">
        <v>0</v>
      </c>
      <c r="P97" s="64" t="s">
        <v>47</v>
      </c>
      <c r="Q97" s="64"/>
      <c r="R97" s="65"/>
      <c r="S97" s="64" t="s">
        <v>69</v>
      </c>
      <c r="T97" s="64"/>
      <c r="U97" s="64" t="s">
        <v>50</v>
      </c>
      <c r="V97" s="64"/>
      <c r="W97" s="64" t="s">
        <v>1543</v>
      </c>
      <c r="X97" s="64" t="s">
        <v>52</v>
      </c>
      <c r="Y97" s="79">
        <v>0.47569444444444442</v>
      </c>
      <c r="Z97" s="64" t="s">
        <v>100</v>
      </c>
      <c r="AA97" s="64" t="s">
        <v>634</v>
      </c>
      <c r="AB97" s="65"/>
      <c r="AC97" s="82"/>
      <c r="AD97" s="64" t="s">
        <v>74</v>
      </c>
      <c r="AE97" s="64" t="s">
        <v>75</v>
      </c>
      <c r="AF97" s="64">
        <v>22</v>
      </c>
      <c r="AG97" s="64" t="s">
        <v>275</v>
      </c>
      <c r="AH97" s="64" t="s">
        <v>58</v>
      </c>
      <c r="AI97" s="64" t="s">
        <v>59</v>
      </c>
      <c r="AJ97" s="64" t="s">
        <v>224</v>
      </c>
      <c r="AK97" s="68" t="s">
        <v>643</v>
      </c>
      <c r="AL97" s="65" t="s">
        <v>62</v>
      </c>
      <c r="AM97" s="65" t="s">
        <v>63</v>
      </c>
      <c r="AN97" s="65" t="s">
        <v>64</v>
      </c>
    </row>
    <row r="98" spans="1:40" s="66" customFormat="1" hidden="1" x14ac:dyDescent="0.25">
      <c r="A98" s="64">
        <v>2021</v>
      </c>
      <c r="B98" s="64" t="s">
        <v>621</v>
      </c>
      <c r="C98" s="64" t="s">
        <v>42</v>
      </c>
      <c r="D98" s="64" t="s">
        <v>644</v>
      </c>
      <c r="E98" s="64" t="s">
        <v>645</v>
      </c>
      <c r="F98" s="64" t="s">
        <v>45</v>
      </c>
      <c r="G98" s="64" t="s">
        <v>646</v>
      </c>
      <c r="H98" s="78">
        <v>40667</v>
      </c>
      <c r="I98" s="64">
        <f t="shared" si="4"/>
        <v>120</v>
      </c>
      <c r="J98" s="78">
        <v>44322</v>
      </c>
      <c r="K98" s="64" t="str">
        <f t="shared" ref="K98:K126" si="5">IF(I98&lt;=18,"NUEVO",IF(I98&lt;=36,"INTERMEDIO","ANTIGUO"))</f>
        <v>ANTIGUO</v>
      </c>
      <c r="L98" s="64"/>
      <c r="M98" s="64"/>
      <c r="N98" s="64"/>
      <c r="O98" s="64">
        <v>0</v>
      </c>
      <c r="P98" s="64" t="s">
        <v>47</v>
      </c>
      <c r="Q98" s="64"/>
      <c r="R98" s="65"/>
      <c r="S98" s="64" t="s">
        <v>118</v>
      </c>
      <c r="T98" s="64" t="s">
        <v>130</v>
      </c>
      <c r="U98" s="64" t="s">
        <v>50</v>
      </c>
      <c r="V98" s="64"/>
      <c r="W98" s="64"/>
      <c r="X98" s="64" t="s">
        <v>52</v>
      </c>
      <c r="Y98" s="79">
        <v>0.75694444444444453</v>
      </c>
      <c r="Z98" s="64" t="s">
        <v>100</v>
      </c>
      <c r="AA98" s="64" t="s">
        <v>634</v>
      </c>
      <c r="AB98" s="65"/>
      <c r="AC98" s="82"/>
      <c r="AD98" s="64" t="s">
        <v>74</v>
      </c>
      <c r="AE98" s="64" t="s">
        <v>198</v>
      </c>
      <c r="AF98" s="64">
        <v>45</v>
      </c>
      <c r="AG98" s="64" t="s">
        <v>76</v>
      </c>
      <c r="AH98" s="64" t="s">
        <v>93</v>
      </c>
      <c r="AI98" s="64" t="s">
        <v>59</v>
      </c>
      <c r="AJ98" s="64" t="s">
        <v>60</v>
      </c>
      <c r="AK98" s="68" t="s">
        <v>647</v>
      </c>
      <c r="AL98" s="65" t="s">
        <v>62</v>
      </c>
      <c r="AM98" s="65" t="s">
        <v>63</v>
      </c>
      <c r="AN98" s="65" t="s">
        <v>64</v>
      </c>
    </row>
    <row r="99" spans="1:40" s="66" customFormat="1" hidden="1" x14ac:dyDescent="0.25">
      <c r="A99" s="64">
        <v>2021</v>
      </c>
      <c r="B99" s="64" t="s">
        <v>621</v>
      </c>
      <c r="C99" s="64" t="s">
        <v>42</v>
      </c>
      <c r="D99" s="64" t="s">
        <v>648</v>
      </c>
      <c r="E99" s="64" t="s">
        <v>649</v>
      </c>
      <c r="F99" s="64" t="s">
        <v>45</v>
      </c>
      <c r="G99" s="64" t="s">
        <v>650</v>
      </c>
      <c r="H99" s="78">
        <v>40392</v>
      </c>
      <c r="I99" s="64">
        <f t="shared" ref="I99:I107" si="6">DATEDIF(H99,J99,"m")</f>
        <v>129</v>
      </c>
      <c r="J99" s="78">
        <v>44322</v>
      </c>
      <c r="K99" s="64" t="str">
        <f t="shared" si="5"/>
        <v>ANTIGUO</v>
      </c>
      <c r="L99" s="64"/>
      <c r="M99" s="64"/>
      <c r="N99" s="64"/>
      <c r="O99" s="64">
        <v>0</v>
      </c>
      <c r="P99" s="64" t="s">
        <v>47</v>
      </c>
      <c r="Q99" s="64"/>
      <c r="R99" s="65"/>
      <c r="S99" s="64" t="s">
        <v>107</v>
      </c>
      <c r="T99" s="64" t="s">
        <v>374</v>
      </c>
      <c r="U99" s="64" t="s">
        <v>552</v>
      </c>
      <c r="V99" s="64" t="s">
        <v>651</v>
      </c>
      <c r="W99" s="64" t="s">
        <v>71</v>
      </c>
      <c r="X99" s="64" t="s">
        <v>87</v>
      </c>
      <c r="Y99" s="79">
        <v>0.82638888888888884</v>
      </c>
      <c r="Z99" s="64" t="s">
        <v>100</v>
      </c>
      <c r="AA99" s="64" t="s">
        <v>634</v>
      </c>
      <c r="AB99" s="65"/>
      <c r="AC99" s="82"/>
      <c r="AD99" s="64" t="s">
        <v>111</v>
      </c>
      <c r="AE99" s="64" t="s">
        <v>298</v>
      </c>
      <c r="AF99" s="64">
        <v>35</v>
      </c>
      <c r="AG99" s="64" t="s">
        <v>652</v>
      </c>
      <c r="AH99" s="64" t="s">
        <v>58</v>
      </c>
      <c r="AI99" s="64" t="s">
        <v>59</v>
      </c>
      <c r="AJ99" s="64" t="s">
        <v>60</v>
      </c>
      <c r="AK99" s="68" t="s">
        <v>653</v>
      </c>
      <c r="AL99" s="65" t="s">
        <v>103</v>
      </c>
      <c r="AM99" s="65" t="s">
        <v>63</v>
      </c>
      <c r="AN99" s="65" t="s">
        <v>64</v>
      </c>
    </row>
    <row r="100" spans="1:40" s="66" customFormat="1" hidden="1" x14ac:dyDescent="0.25">
      <c r="A100" s="64">
        <v>2021</v>
      </c>
      <c r="B100" s="64" t="s">
        <v>621</v>
      </c>
      <c r="C100" s="64" t="s">
        <v>42</v>
      </c>
      <c r="D100" s="64" t="s">
        <v>654</v>
      </c>
      <c r="E100" s="64" t="s">
        <v>208</v>
      </c>
      <c r="F100" s="64" t="s">
        <v>116</v>
      </c>
      <c r="G100" s="64" t="s">
        <v>655</v>
      </c>
      <c r="H100" s="78">
        <v>41493</v>
      </c>
      <c r="I100" s="64">
        <f t="shared" si="6"/>
        <v>93</v>
      </c>
      <c r="J100" s="78">
        <v>44326</v>
      </c>
      <c r="K100" s="64" t="str">
        <f t="shared" si="5"/>
        <v>ANTIGUO</v>
      </c>
      <c r="L100" s="64"/>
      <c r="M100" s="64"/>
      <c r="N100" s="64"/>
      <c r="O100" s="64">
        <v>0</v>
      </c>
      <c r="P100" s="64" t="s">
        <v>47</v>
      </c>
      <c r="Q100" s="64" t="s">
        <v>195</v>
      </c>
      <c r="R100" s="65" t="s">
        <v>467</v>
      </c>
      <c r="S100" s="64" t="s">
        <v>69</v>
      </c>
      <c r="T100" s="64" t="s">
        <v>119</v>
      </c>
      <c r="U100" s="64" t="s">
        <v>50</v>
      </c>
      <c r="V100" s="64" t="s">
        <v>418</v>
      </c>
      <c r="W100" s="64" t="s">
        <v>71</v>
      </c>
      <c r="X100" s="64" t="s">
        <v>52</v>
      </c>
      <c r="Y100" s="79">
        <v>0.37847222222222227</v>
      </c>
      <c r="Z100" s="64" t="s">
        <v>53</v>
      </c>
      <c r="AA100" s="64" t="s">
        <v>656</v>
      </c>
      <c r="AB100" s="65"/>
      <c r="AC100" s="82"/>
      <c r="AD100" s="64" t="s">
        <v>74</v>
      </c>
      <c r="AE100" s="64" t="s">
        <v>75</v>
      </c>
      <c r="AF100" s="64">
        <v>57</v>
      </c>
      <c r="AG100" s="64" t="s">
        <v>275</v>
      </c>
      <c r="AH100" s="64" t="s">
        <v>236</v>
      </c>
      <c r="AI100" s="64" t="s">
        <v>59</v>
      </c>
      <c r="AJ100" s="64" t="s">
        <v>60</v>
      </c>
      <c r="AK100" s="68" t="s">
        <v>1522</v>
      </c>
      <c r="AL100" s="65" t="s">
        <v>62</v>
      </c>
      <c r="AM100" s="65" t="s">
        <v>64</v>
      </c>
      <c r="AN100" s="65" t="s">
        <v>64</v>
      </c>
    </row>
    <row r="101" spans="1:40" s="66" customFormat="1" hidden="1" x14ac:dyDescent="0.25">
      <c r="A101" s="64">
        <v>2021</v>
      </c>
      <c r="B101" s="64" t="s">
        <v>621</v>
      </c>
      <c r="C101" s="64" t="s">
        <v>42</v>
      </c>
      <c r="D101" s="10" t="s">
        <v>657</v>
      </c>
      <c r="E101" s="64" t="s">
        <v>658</v>
      </c>
      <c r="F101" s="64" t="s">
        <v>45</v>
      </c>
      <c r="G101" s="36" t="s">
        <v>659</v>
      </c>
      <c r="H101" s="11">
        <v>44174</v>
      </c>
      <c r="I101" s="64">
        <f t="shared" si="6"/>
        <v>5</v>
      </c>
      <c r="J101" s="78">
        <v>44329</v>
      </c>
      <c r="K101" s="64" t="str">
        <f t="shared" si="5"/>
        <v>NUEVO</v>
      </c>
      <c r="L101" s="64"/>
      <c r="M101" s="64"/>
      <c r="N101" s="64"/>
      <c r="O101" s="64">
        <v>0</v>
      </c>
      <c r="P101" s="64" t="s">
        <v>47</v>
      </c>
      <c r="Q101" s="64"/>
      <c r="R101" s="65"/>
      <c r="S101" s="64" t="s">
        <v>107</v>
      </c>
      <c r="T101" s="45" t="s">
        <v>660</v>
      </c>
      <c r="U101" s="64" t="s">
        <v>447</v>
      </c>
      <c r="V101" s="64" t="s">
        <v>570</v>
      </c>
      <c r="W101" s="64" t="s">
        <v>1510</v>
      </c>
      <c r="X101" s="64" t="s">
        <v>87</v>
      </c>
      <c r="Y101" s="64">
        <v>1920</v>
      </c>
      <c r="Z101" s="64" t="s">
        <v>100</v>
      </c>
      <c r="AA101" s="64" t="s">
        <v>656</v>
      </c>
      <c r="AB101" s="65"/>
      <c r="AC101" s="82"/>
      <c r="AD101" s="64" t="s">
        <v>111</v>
      </c>
      <c r="AE101" s="64" t="s">
        <v>178</v>
      </c>
      <c r="AF101" s="64">
        <v>39</v>
      </c>
      <c r="AG101" s="64" t="s">
        <v>57</v>
      </c>
      <c r="AH101" s="64" t="s">
        <v>58</v>
      </c>
      <c r="AI101" s="64" t="s">
        <v>94</v>
      </c>
      <c r="AJ101" s="64" t="s">
        <v>199</v>
      </c>
      <c r="AK101" t="s">
        <v>661</v>
      </c>
      <c r="AL101" s="65" t="s">
        <v>103</v>
      </c>
      <c r="AM101" s="65" t="s">
        <v>63</v>
      </c>
      <c r="AN101" s="65" t="s">
        <v>64</v>
      </c>
    </row>
    <row r="102" spans="1:40" s="66" customFormat="1" hidden="1" x14ac:dyDescent="0.25">
      <c r="A102" s="64">
        <v>2021</v>
      </c>
      <c r="B102" s="64" t="s">
        <v>621</v>
      </c>
      <c r="C102" s="64" t="s">
        <v>42</v>
      </c>
      <c r="D102" s="64" t="s">
        <v>662</v>
      </c>
      <c r="E102" s="64" t="s">
        <v>663</v>
      </c>
      <c r="F102" s="64" t="s">
        <v>45</v>
      </c>
      <c r="G102" s="64" t="s">
        <v>664</v>
      </c>
      <c r="H102" s="78">
        <v>43570</v>
      </c>
      <c r="I102" s="64">
        <f t="shared" si="6"/>
        <v>25</v>
      </c>
      <c r="J102" s="78">
        <v>44331</v>
      </c>
      <c r="K102" s="64" t="str">
        <f t="shared" si="5"/>
        <v>INTERMEDIO</v>
      </c>
      <c r="L102" s="64"/>
      <c r="M102" s="64"/>
      <c r="N102" s="64"/>
      <c r="O102" s="64">
        <v>0</v>
      </c>
      <c r="P102" s="64" t="s">
        <v>47</v>
      </c>
      <c r="Q102" s="64" t="s">
        <v>195</v>
      </c>
      <c r="R102" s="65" t="s">
        <v>196</v>
      </c>
      <c r="S102" s="64" t="s">
        <v>156</v>
      </c>
      <c r="T102" s="64" t="s">
        <v>596</v>
      </c>
      <c r="U102" s="64"/>
      <c r="V102" s="64"/>
      <c r="W102" s="64" t="s">
        <v>665</v>
      </c>
      <c r="X102" s="64" t="s">
        <v>87</v>
      </c>
      <c r="Y102" s="79">
        <v>0.72569444444444453</v>
      </c>
      <c r="Z102" s="64" t="s">
        <v>147</v>
      </c>
      <c r="AA102" s="64" t="s">
        <v>656</v>
      </c>
      <c r="AB102" s="65"/>
      <c r="AC102" s="82"/>
      <c r="AD102" s="64" t="s">
        <v>159</v>
      </c>
      <c r="AE102" s="64" t="s">
        <v>218</v>
      </c>
      <c r="AF102" s="64">
        <v>19</v>
      </c>
      <c r="AG102" s="64" t="s">
        <v>57</v>
      </c>
      <c r="AH102" s="64" t="s">
        <v>58</v>
      </c>
      <c r="AI102" s="64" t="s">
        <v>94</v>
      </c>
      <c r="AJ102" s="64" t="s">
        <v>199</v>
      </c>
      <c r="AK102" s="68" t="s">
        <v>666</v>
      </c>
      <c r="AL102" s="65" t="s">
        <v>62</v>
      </c>
      <c r="AM102" s="65" t="s">
        <v>64</v>
      </c>
      <c r="AN102" s="65" t="s">
        <v>64</v>
      </c>
    </row>
    <row r="103" spans="1:40" s="66" customFormat="1" hidden="1" x14ac:dyDescent="0.25">
      <c r="A103" s="64">
        <v>2021</v>
      </c>
      <c r="B103" s="64" t="s">
        <v>621</v>
      </c>
      <c r="C103" s="64" t="s">
        <v>42</v>
      </c>
      <c r="D103" s="64" t="s">
        <v>667</v>
      </c>
      <c r="E103" s="64" t="s">
        <v>668</v>
      </c>
      <c r="F103" s="64" t="s">
        <v>45</v>
      </c>
      <c r="G103" s="64" t="s">
        <v>669</v>
      </c>
      <c r="H103" s="78">
        <v>44223</v>
      </c>
      <c r="I103" s="64">
        <f t="shared" si="6"/>
        <v>3</v>
      </c>
      <c r="J103" s="78">
        <v>44331</v>
      </c>
      <c r="K103" s="64" t="str">
        <f t="shared" si="5"/>
        <v>NUEVO</v>
      </c>
      <c r="L103" s="64"/>
      <c r="M103" s="64"/>
      <c r="N103" s="64"/>
      <c r="O103" s="64">
        <v>0</v>
      </c>
      <c r="P103" s="64" t="s">
        <v>47</v>
      </c>
      <c r="Q103" s="64"/>
      <c r="R103" s="65"/>
      <c r="S103" s="64" t="s">
        <v>83</v>
      </c>
      <c r="T103" s="64" t="s">
        <v>472</v>
      </c>
      <c r="U103" s="64"/>
      <c r="V103" s="64"/>
      <c r="W103" s="64"/>
      <c r="X103" s="64" t="s">
        <v>87</v>
      </c>
      <c r="Y103" s="79">
        <v>0.66666666666666663</v>
      </c>
      <c r="Z103" s="64" t="s">
        <v>147</v>
      </c>
      <c r="AA103" s="64" t="s">
        <v>656</v>
      </c>
      <c r="AB103" s="65"/>
      <c r="AC103" s="82"/>
      <c r="AD103" s="64" t="s">
        <v>74</v>
      </c>
      <c r="AE103" s="64" t="s">
        <v>356</v>
      </c>
      <c r="AF103" s="64">
        <v>27</v>
      </c>
      <c r="AG103" s="64" t="s">
        <v>132</v>
      </c>
      <c r="AH103" s="64" t="s">
        <v>236</v>
      </c>
      <c r="AI103" s="64" t="s">
        <v>59</v>
      </c>
      <c r="AJ103" s="64" t="s">
        <v>244</v>
      </c>
      <c r="AK103" s="68" t="s">
        <v>670</v>
      </c>
      <c r="AL103" s="65" t="s">
        <v>62</v>
      </c>
      <c r="AM103" s="65" t="s">
        <v>64</v>
      </c>
      <c r="AN103" s="65" t="s">
        <v>64</v>
      </c>
    </row>
    <row r="104" spans="1:40" s="66" customFormat="1" hidden="1" x14ac:dyDescent="0.25">
      <c r="A104" s="64">
        <v>2021</v>
      </c>
      <c r="B104" s="64" t="s">
        <v>621</v>
      </c>
      <c r="C104" s="64" t="s">
        <v>42</v>
      </c>
      <c r="D104" s="64" t="s">
        <v>671</v>
      </c>
      <c r="E104" s="64" t="s">
        <v>672</v>
      </c>
      <c r="F104" s="64" t="s">
        <v>116</v>
      </c>
      <c r="G104" s="64" t="s">
        <v>673</v>
      </c>
      <c r="H104" s="78">
        <v>44249</v>
      </c>
      <c r="I104" s="64">
        <f t="shared" si="6"/>
        <v>3</v>
      </c>
      <c r="J104" s="78">
        <v>44338</v>
      </c>
      <c r="K104" s="64" t="str">
        <f t="shared" si="5"/>
        <v>NUEVO</v>
      </c>
      <c r="L104" s="78">
        <v>44249</v>
      </c>
      <c r="M104" s="78">
        <v>44356</v>
      </c>
      <c r="N104" s="64"/>
      <c r="O104" s="64" t="s">
        <v>139</v>
      </c>
      <c r="P104" s="64" t="s">
        <v>68</v>
      </c>
      <c r="Q104" s="64" t="s">
        <v>195</v>
      </c>
      <c r="R104" s="65" t="s">
        <v>196</v>
      </c>
      <c r="S104" s="64" t="s">
        <v>118</v>
      </c>
      <c r="T104" s="64" t="s">
        <v>119</v>
      </c>
      <c r="U104" s="64"/>
      <c r="V104" s="64" t="s">
        <v>665</v>
      </c>
      <c r="W104" s="64" t="s">
        <v>665</v>
      </c>
      <c r="X104" s="64" t="s">
        <v>87</v>
      </c>
      <c r="Y104" s="79">
        <v>0.84722222222222221</v>
      </c>
      <c r="Z104" s="64" t="s">
        <v>147</v>
      </c>
      <c r="AA104" s="64" t="s">
        <v>656</v>
      </c>
      <c r="AB104" s="87">
        <v>14545</v>
      </c>
      <c r="AC104" s="82" t="s">
        <v>674</v>
      </c>
      <c r="AD104" s="64" t="s">
        <v>74</v>
      </c>
      <c r="AE104" s="64" t="s">
        <v>131</v>
      </c>
      <c r="AF104" s="64">
        <v>30</v>
      </c>
      <c r="AG104" s="64" t="s">
        <v>57</v>
      </c>
      <c r="AH104" s="64" t="s">
        <v>58</v>
      </c>
      <c r="AI104" s="64" t="s">
        <v>514</v>
      </c>
      <c r="AJ104" s="64" t="s">
        <v>134</v>
      </c>
      <c r="AK104" s="68" t="s">
        <v>675</v>
      </c>
      <c r="AL104" s="65" t="s">
        <v>103</v>
      </c>
      <c r="AM104" s="65" t="s">
        <v>64</v>
      </c>
      <c r="AN104" s="65" t="s">
        <v>63</v>
      </c>
    </row>
    <row r="105" spans="1:40" s="66" customFormat="1" hidden="1" x14ac:dyDescent="0.25">
      <c r="A105" s="64">
        <v>2021</v>
      </c>
      <c r="B105" s="64" t="s">
        <v>621</v>
      </c>
      <c r="C105" s="64" t="s">
        <v>42</v>
      </c>
      <c r="D105" s="64" t="s">
        <v>676</v>
      </c>
      <c r="E105" s="64" t="s">
        <v>44</v>
      </c>
      <c r="F105" s="64" t="s">
        <v>45</v>
      </c>
      <c r="G105" s="64" t="s">
        <v>677</v>
      </c>
      <c r="H105" s="78">
        <v>43346</v>
      </c>
      <c r="I105" s="64">
        <f t="shared" si="6"/>
        <v>32</v>
      </c>
      <c r="J105" s="78">
        <v>44340</v>
      </c>
      <c r="K105" s="64" t="str">
        <f t="shared" si="5"/>
        <v>INTERMEDIO</v>
      </c>
      <c r="L105" s="64"/>
      <c r="M105" s="64"/>
      <c r="N105" s="64"/>
      <c r="O105" s="64">
        <v>0</v>
      </c>
      <c r="P105" s="64" t="s">
        <v>47</v>
      </c>
      <c r="Q105" s="64"/>
      <c r="R105" s="65"/>
      <c r="S105" s="64" t="s">
        <v>107</v>
      </c>
      <c r="T105" s="64" t="s">
        <v>297</v>
      </c>
      <c r="U105" s="64" t="s">
        <v>678</v>
      </c>
      <c r="V105" s="64" t="s">
        <v>297</v>
      </c>
      <c r="W105" s="64" t="s">
        <v>679</v>
      </c>
      <c r="X105" s="64" t="s">
        <v>87</v>
      </c>
      <c r="Y105" s="79">
        <v>0.79166666666666663</v>
      </c>
      <c r="Z105" s="64" t="s">
        <v>53</v>
      </c>
      <c r="AA105" s="64" t="s">
        <v>680</v>
      </c>
      <c r="AB105" s="65"/>
      <c r="AC105" s="82"/>
      <c r="AD105" s="64" t="s">
        <v>111</v>
      </c>
      <c r="AE105" s="64" t="s">
        <v>555</v>
      </c>
      <c r="AF105" s="64">
        <v>54</v>
      </c>
      <c r="AG105" s="64" t="s">
        <v>328</v>
      </c>
      <c r="AH105" s="64" t="s">
        <v>149</v>
      </c>
      <c r="AI105" s="64" t="s">
        <v>94</v>
      </c>
      <c r="AJ105" s="64" t="s">
        <v>199</v>
      </c>
      <c r="AK105" s="68" t="s">
        <v>681</v>
      </c>
      <c r="AL105" s="65" t="s">
        <v>62</v>
      </c>
      <c r="AM105" s="65" t="s">
        <v>63</v>
      </c>
      <c r="AN105" s="65" t="s">
        <v>64</v>
      </c>
    </row>
    <row r="106" spans="1:40" s="66" customFormat="1" hidden="1" x14ac:dyDescent="0.25">
      <c r="A106" s="64">
        <v>2021</v>
      </c>
      <c r="B106" s="64" t="s">
        <v>621</v>
      </c>
      <c r="C106" s="64" t="s">
        <v>42</v>
      </c>
      <c r="D106" s="64" t="s">
        <v>682</v>
      </c>
      <c r="E106" s="64" t="s">
        <v>683</v>
      </c>
      <c r="F106" s="64" t="s">
        <v>116</v>
      </c>
      <c r="G106" s="10" t="s">
        <v>684</v>
      </c>
      <c r="H106" s="11">
        <v>41989</v>
      </c>
      <c r="I106" s="64">
        <f t="shared" si="6"/>
        <v>77</v>
      </c>
      <c r="J106" s="78">
        <v>44343</v>
      </c>
      <c r="K106" s="64" t="str">
        <f t="shared" si="5"/>
        <v>ANTIGUO</v>
      </c>
      <c r="L106" s="64"/>
      <c r="M106" s="64"/>
      <c r="N106" s="64"/>
      <c r="O106" s="64">
        <v>0</v>
      </c>
      <c r="P106" s="64" t="s">
        <v>47</v>
      </c>
      <c r="Q106" s="64"/>
      <c r="R106" s="65"/>
      <c r="S106" s="64" t="s">
        <v>69</v>
      </c>
      <c r="T106" s="67" t="s">
        <v>69</v>
      </c>
      <c r="U106" s="10" t="s">
        <v>685</v>
      </c>
      <c r="V106" s="64"/>
      <c r="W106" s="64"/>
      <c r="X106" s="64" t="s">
        <v>52</v>
      </c>
      <c r="Y106" s="79">
        <v>0.47916666666666669</v>
      </c>
      <c r="Z106" s="64" t="s">
        <v>100</v>
      </c>
      <c r="AA106" s="64" t="s">
        <v>680</v>
      </c>
      <c r="AB106" s="65"/>
      <c r="AC106" s="82"/>
      <c r="AD106" s="64" t="s">
        <v>74</v>
      </c>
      <c r="AE106" s="64" t="s">
        <v>686</v>
      </c>
      <c r="AF106" s="64">
        <v>29</v>
      </c>
      <c r="AG106" s="64" t="s">
        <v>389</v>
      </c>
      <c r="AH106" s="64" t="s">
        <v>102</v>
      </c>
      <c r="AI106" s="64" t="s">
        <v>59</v>
      </c>
      <c r="AJ106" s="64" t="s">
        <v>60</v>
      </c>
      <c r="AK106" t="s">
        <v>687</v>
      </c>
      <c r="AL106" s="65" t="s">
        <v>62</v>
      </c>
      <c r="AM106" s="65" t="s">
        <v>63</v>
      </c>
      <c r="AN106" s="65" t="s">
        <v>64</v>
      </c>
    </row>
    <row r="107" spans="1:40" s="66" customFormat="1" hidden="1" x14ac:dyDescent="0.25">
      <c r="A107" s="64">
        <v>2021</v>
      </c>
      <c r="B107" s="64" t="s">
        <v>621</v>
      </c>
      <c r="C107" s="64" t="s">
        <v>42</v>
      </c>
      <c r="D107" s="10" t="s">
        <v>202</v>
      </c>
      <c r="E107" s="64" t="s">
        <v>688</v>
      </c>
      <c r="F107" s="64" t="s">
        <v>116</v>
      </c>
      <c r="G107" s="10" t="s">
        <v>203</v>
      </c>
      <c r="H107" s="11">
        <v>43836</v>
      </c>
      <c r="I107" s="64">
        <f t="shared" si="6"/>
        <v>16</v>
      </c>
      <c r="J107" s="78">
        <v>44343</v>
      </c>
      <c r="K107" s="64" t="str">
        <f t="shared" si="5"/>
        <v>NUEVO</v>
      </c>
      <c r="L107" s="64"/>
      <c r="M107" s="64"/>
      <c r="N107" s="64"/>
      <c r="O107" s="64">
        <v>0</v>
      </c>
      <c r="P107" s="64" t="s">
        <v>47</v>
      </c>
      <c r="Q107" s="64"/>
      <c r="R107" s="65"/>
      <c r="S107" s="64" t="s">
        <v>156</v>
      </c>
      <c r="T107" s="64" t="s">
        <v>130</v>
      </c>
      <c r="U107" s="64" t="s">
        <v>539</v>
      </c>
      <c r="V107" s="64" t="s">
        <v>130</v>
      </c>
      <c r="W107" s="64"/>
      <c r="X107" s="64" t="s">
        <v>87</v>
      </c>
      <c r="Y107" s="79">
        <v>0.78472222222222221</v>
      </c>
      <c r="Z107" s="64" t="s">
        <v>100</v>
      </c>
      <c r="AA107" s="64" t="s">
        <v>680</v>
      </c>
      <c r="AB107" s="65"/>
      <c r="AC107" s="82"/>
      <c r="AD107" s="64" t="s">
        <v>159</v>
      </c>
      <c r="AE107" s="64" t="s">
        <v>689</v>
      </c>
      <c r="AF107" s="64">
        <v>52</v>
      </c>
      <c r="AG107" s="64" t="s">
        <v>132</v>
      </c>
      <c r="AH107" s="64" t="s">
        <v>236</v>
      </c>
      <c r="AI107" s="64" t="s">
        <v>59</v>
      </c>
      <c r="AJ107" s="64" t="s">
        <v>244</v>
      </c>
      <c r="AK107" s="68" t="s">
        <v>690</v>
      </c>
      <c r="AL107" s="65" t="s">
        <v>103</v>
      </c>
      <c r="AM107" s="65" t="s">
        <v>63</v>
      </c>
      <c r="AN107" s="65" t="s">
        <v>64</v>
      </c>
    </row>
    <row r="108" spans="1:40" s="66" customFormat="1" hidden="1" x14ac:dyDescent="0.25">
      <c r="A108" s="64">
        <v>2021</v>
      </c>
      <c r="B108" s="64" t="s">
        <v>621</v>
      </c>
      <c r="C108" s="64" t="s">
        <v>42</v>
      </c>
      <c r="D108" s="64" t="s">
        <v>691</v>
      </c>
      <c r="E108" s="64" t="s">
        <v>692</v>
      </c>
      <c r="F108" s="64" t="s">
        <v>116</v>
      </c>
      <c r="G108" s="64" t="s">
        <v>693</v>
      </c>
      <c r="H108" s="78">
        <v>42963</v>
      </c>
      <c r="I108" s="64">
        <f>DATEDIF(H108,J108,"m")</f>
        <v>45</v>
      </c>
      <c r="J108" s="78">
        <v>44344</v>
      </c>
      <c r="K108" s="64" t="str">
        <f t="shared" si="5"/>
        <v>ANTIGUO</v>
      </c>
      <c r="L108" s="64"/>
      <c r="M108" s="64"/>
      <c r="N108" s="64"/>
      <c r="O108" s="64">
        <v>0</v>
      </c>
      <c r="P108" s="64" t="s">
        <v>47</v>
      </c>
      <c r="Q108" s="64"/>
      <c r="R108" s="65"/>
      <c r="S108" s="64" t="s">
        <v>156</v>
      </c>
      <c r="T108" s="64"/>
      <c r="U108" s="64" t="s">
        <v>539</v>
      </c>
      <c r="V108" s="64"/>
      <c r="W108" s="64"/>
      <c r="X108" s="64" t="s">
        <v>109</v>
      </c>
      <c r="Y108" s="79">
        <v>0.10416666666666667</v>
      </c>
      <c r="Z108" s="64" t="s">
        <v>110</v>
      </c>
      <c r="AA108" s="64" t="s">
        <v>680</v>
      </c>
      <c r="AB108" s="65"/>
      <c r="AC108" s="82"/>
      <c r="AD108" s="64" t="s">
        <v>159</v>
      </c>
      <c r="AE108" s="64" t="s">
        <v>694</v>
      </c>
      <c r="AF108" s="64">
        <v>48</v>
      </c>
      <c r="AG108" s="64" t="s">
        <v>270</v>
      </c>
      <c r="AH108" s="64" t="s">
        <v>123</v>
      </c>
      <c r="AI108" s="64" t="s">
        <v>498</v>
      </c>
      <c r="AJ108" s="64" t="s">
        <v>125</v>
      </c>
      <c r="AK108" s="68" t="s">
        <v>695</v>
      </c>
      <c r="AL108" s="65" t="s">
        <v>103</v>
      </c>
      <c r="AM108" s="65" t="s">
        <v>63</v>
      </c>
      <c r="AN108" s="65" t="s">
        <v>64</v>
      </c>
    </row>
    <row r="109" spans="1:40" s="66" customFormat="1" hidden="1" x14ac:dyDescent="0.25">
      <c r="A109" s="64">
        <v>2021</v>
      </c>
      <c r="B109" s="64" t="s">
        <v>621</v>
      </c>
      <c r="C109" s="64" t="s">
        <v>42</v>
      </c>
      <c r="D109" s="64" t="s">
        <v>696</v>
      </c>
      <c r="E109" s="64" t="s">
        <v>591</v>
      </c>
      <c r="F109" s="64" t="s">
        <v>116</v>
      </c>
      <c r="G109" s="64" t="s">
        <v>592</v>
      </c>
      <c r="H109" s="78">
        <v>43689</v>
      </c>
      <c r="I109" s="64">
        <f>DATEDIF(H109,J109,"m")</f>
        <v>21</v>
      </c>
      <c r="J109" s="78">
        <v>44347</v>
      </c>
      <c r="K109" s="64" t="str">
        <f t="shared" si="5"/>
        <v>INTERMEDIO</v>
      </c>
      <c r="L109" s="64"/>
      <c r="M109" s="64"/>
      <c r="N109" s="64"/>
      <c r="O109" s="64">
        <v>0</v>
      </c>
      <c r="P109" s="64" t="s">
        <v>47</v>
      </c>
      <c r="Q109" s="64"/>
      <c r="R109" s="65"/>
      <c r="S109" s="64" t="s">
        <v>118</v>
      </c>
      <c r="T109" s="64" t="s">
        <v>130</v>
      </c>
      <c r="U109" s="64" t="s">
        <v>50</v>
      </c>
      <c r="V109" s="64" t="s">
        <v>130</v>
      </c>
      <c r="W109" s="64"/>
      <c r="X109" s="64" t="s">
        <v>52</v>
      </c>
      <c r="Y109" s="79">
        <v>0.39583333333333331</v>
      </c>
      <c r="Z109" s="64" t="s">
        <v>53</v>
      </c>
      <c r="AA109" s="64" t="s">
        <v>697</v>
      </c>
      <c r="AB109" s="65"/>
      <c r="AC109" s="82"/>
      <c r="AD109" s="64" t="s">
        <v>74</v>
      </c>
      <c r="AE109" s="64" t="s">
        <v>280</v>
      </c>
      <c r="AF109" s="64">
        <v>29</v>
      </c>
      <c r="AG109" s="64" t="s">
        <v>270</v>
      </c>
      <c r="AH109" s="64" t="s">
        <v>123</v>
      </c>
      <c r="AI109" s="64" t="s">
        <v>498</v>
      </c>
      <c r="AJ109" s="64" t="s">
        <v>125</v>
      </c>
      <c r="AK109" s="68" t="s">
        <v>698</v>
      </c>
      <c r="AL109" s="65" t="s">
        <v>103</v>
      </c>
      <c r="AM109" s="65" t="s">
        <v>63</v>
      </c>
      <c r="AN109" s="65" t="s">
        <v>64</v>
      </c>
    </row>
    <row r="110" spans="1:40" s="66" customFormat="1" hidden="1" x14ac:dyDescent="0.25">
      <c r="A110" s="64">
        <v>2021</v>
      </c>
      <c r="B110" s="64" t="s">
        <v>621</v>
      </c>
      <c r="C110" s="64" t="s">
        <v>42</v>
      </c>
      <c r="D110" s="64" t="s">
        <v>699</v>
      </c>
      <c r="E110" s="253" t="s">
        <v>445</v>
      </c>
      <c r="F110" s="64" t="s">
        <v>45</v>
      </c>
      <c r="G110" s="64" t="s">
        <v>700</v>
      </c>
      <c r="H110" s="78">
        <v>44338</v>
      </c>
      <c r="I110" s="64">
        <f>DATEDIF(H110,J110,"m")</f>
        <v>0</v>
      </c>
      <c r="J110" s="78">
        <v>44347</v>
      </c>
      <c r="K110" s="64" t="str">
        <f t="shared" si="5"/>
        <v>NUEVO</v>
      </c>
      <c r="L110" s="78">
        <v>44348</v>
      </c>
      <c r="M110" s="78">
        <v>44348</v>
      </c>
      <c r="N110" s="64"/>
      <c r="O110" s="64">
        <v>0</v>
      </c>
      <c r="P110" s="64" t="s">
        <v>47</v>
      </c>
      <c r="Q110" s="64" t="s">
        <v>195</v>
      </c>
      <c r="R110" s="65" t="s">
        <v>564</v>
      </c>
      <c r="S110" s="64" t="s">
        <v>83</v>
      </c>
      <c r="T110" s="64" t="s">
        <v>472</v>
      </c>
      <c r="U110" s="64" t="s">
        <v>50</v>
      </c>
      <c r="V110" s="64" t="s">
        <v>472</v>
      </c>
      <c r="W110" s="64"/>
      <c r="X110" s="64" t="s">
        <v>87</v>
      </c>
      <c r="Y110" s="79">
        <v>0.6875</v>
      </c>
      <c r="Z110" s="64" t="s">
        <v>53</v>
      </c>
      <c r="AA110" s="64" t="s">
        <v>697</v>
      </c>
      <c r="AB110" s="87">
        <v>14549</v>
      </c>
      <c r="AC110" s="82" t="s">
        <v>701</v>
      </c>
      <c r="AD110" s="64" t="s">
        <v>74</v>
      </c>
      <c r="AE110" s="64" t="s">
        <v>356</v>
      </c>
      <c r="AF110" s="64">
        <v>20</v>
      </c>
      <c r="AG110" s="64" t="s">
        <v>529</v>
      </c>
      <c r="AH110" s="64" t="s">
        <v>58</v>
      </c>
      <c r="AI110" s="64" t="s">
        <v>59</v>
      </c>
      <c r="AJ110" s="64" t="s">
        <v>462</v>
      </c>
      <c r="AK110" s="68" t="s">
        <v>702</v>
      </c>
      <c r="AL110" s="65" t="s">
        <v>62</v>
      </c>
      <c r="AM110" s="65" t="s">
        <v>63</v>
      </c>
      <c r="AN110" s="65" t="s">
        <v>63</v>
      </c>
    </row>
    <row r="111" spans="1:40" s="66" customFormat="1" hidden="1" x14ac:dyDescent="0.25">
      <c r="A111" s="64">
        <v>2021</v>
      </c>
      <c r="B111" s="64" t="s">
        <v>703</v>
      </c>
      <c r="C111" s="64" t="s">
        <v>42</v>
      </c>
      <c r="D111" s="64" t="s">
        <v>704</v>
      </c>
      <c r="E111" s="64" t="s">
        <v>137</v>
      </c>
      <c r="F111" s="64" t="s">
        <v>45</v>
      </c>
      <c r="G111" s="64" t="s">
        <v>705</v>
      </c>
      <c r="H111" s="78">
        <v>43941</v>
      </c>
      <c r="I111" s="64">
        <f>DATEDIF(H111,J111,"m")</f>
        <v>13</v>
      </c>
      <c r="J111" s="78">
        <v>44349</v>
      </c>
      <c r="K111" s="64" t="str">
        <f t="shared" si="5"/>
        <v>NUEVO</v>
      </c>
      <c r="L111" s="78">
        <v>44349</v>
      </c>
      <c r="M111" s="78">
        <v>44352</v>
      </c>
      <c r="N111" s="64"/>
      <c r="O111" s="64">
        <v>4</v>
      </c>
      <c r="P111" s="64" t="s">
        <v>68</v>
      </c>
      <c r="Q111" s="64"/>
      <c r="R111" s="65"/>
      <c r="S111" s="64" t="s">
        <v>165</v>
      </c>
      <c r="T111" s="64" t="s">
        <v>579</v>
      </c>
      <c r="U111" s="64" t="s">
        <v>580</v>
      </c>
      <c r="V111" s="64" t="s">
        <v>472</v>
      </c>
      <c r="W111" s="64" t="s">
        <v>706</v>
      </c>
      <c r="X111" s="64" t="s">
        <v>52</v>
      </c>
      <c r="Y111" s="79">
        <v>0.47916666666666669</v>
      </c>
      <c r="Z111" s="64" t="s">
        <v>88</v>
      </c>
      <c r="AA111" s="64" t="s">
        <v>697</v>
      </c>
      <c r="AB111" s="87">
        <v>14547</v>
      </c>
      <c r="AC111" s="82" t="s">
        <v>707</v>
      </c>
      <c r="AD111" s="64" t="s">
        <v>168</v>
      </c>
      <c r="AE111" s="64" t="s">
        <v>314</v>
      </c>
      <c r="AF111" s="64">
        <v>24</v>
      </c>
      <c r="AG111" s="64" t="s">
        <v>57</v>
      </c>
      <c r="AH111" s="64" t="s">
        <v>58</v>
      </c>
      <c r="AI111" s="64" t="s">
        <v>94</v>
      </c>
      <c r="AJ111" s="64" t="s">
        <v>60</v>
      </c>
      <c r="AK111" s="68" t="s">
        <v>708</v>
      </c>
      <c r="AL111" s="65" t="s">
        <v>103</v>
      </c>
      <c r="AM111" s="65" t="s">
        <v>63</v>
      </c>
      <c r="AN111" s="65" t="s">
        <v>63</v>
      </c>
    </row>
    <row r="112" spans="1:40" s="66" customFormat="1" hidden="1" x14ac:dyDescent="0.25">
      <c r="A112" s="64">
        <v>2021</v>
      </c>
      <c r="B112" s="64" t="s">
        <v>703</v>
      </c>
      <c r="C112" s="64" t="s">
        <v>42</v>
      </c>
      <c r="D112" s="64" t="s">
        <v>709</v>
      </c>
      <c r="E112" s="64" t="s">
        <v>645</v>
      </c>
      <c r="F112" s="64" t="s">
        <v>45</v>
      </c>
      <c r="G112" s="64" t="s">
        <v>710</v>
      </c>
      <c r="H112" s="78">
        <v>40179</v>
      </c>
      <c r="I112" s="64">
        <f>DATEDIF(H112,J112,"m")</f>
        <v>137</v>
      </c>
      <c r="J112" s="78">
        <v>44350</v>
      </c>
      <c r="K112" s="64" t="str">
        <f t="shared" si="5"/>
        <v>ANTIGUO</v>
      </c>
      <c r="L112" s="78">
        <v>44351</v>
      </c>
      <c r="M112" s="78">
        <v>44357</v>
      </c>
      <c r="N112" s="64"/>
      <c r="O112" s="64">
        <v>7</v>
      </c>
      <c r="P112" s="64" t="s">
        <v>68</v>
      </c>
      <c r="Q112" s="64"/>
      <c r="R112" s="65"/>
      <c r="S112" s="64" t="s">
        <v>165</v>
      </c>
      <c r="T112" s="64" t="s">
        <v>711</v>
      </c>
      <c r="U112" s="64" t="s">
        <v>712</v>
      </c>
      <c r="V112" s="64" t="s">
        <v>711</v>
      </c>
      <c r="W112" s="64" t="s">
        <v>71</v>
      </c>
      <c r="X112" s="64" t="s">
        <v>109</v>
      </c>
      <c r="Y112" s="79">
        <v>0.875</v>
      </c>
      <c r="Z112" s="64" t="s">
        <v>100</v>
      </c>
      <c r="AA112" s="64" t="s">
        <v>697</v>
      </c>
      <c r="AB112" s="87">
        <v>14548</v>
      </c>
      <c r="AC112" s="82" t="s">
        <v>713</v>
      </c>
      <c r="AD112" s="64" t="s">
        <v>168</v>
      </c>
      <c r="AE112" s="64" t="s">
        <v>714</v>
      </c>
      <c r="AF112" s="64">
        <v>59</v>
      </c>
      <c r="AG112" s="64" t="s">
        <v>140</v>
      </c>
      <c r="AH112" s="64" t="s">
        <v>93</v>
      </c>
      <c r="AI112" s="64" t="s">
        <v>59</v>
      </c>
      <c r="AJ112" s="64" t="s">
        <v>60</v>
      </c>
      <c r="AK112" s="68" t="s">
        <v>715</v>
      </c>
      <c r="AL112" s="65" t="s">
        <v>62</v>
      </c>
      <c r="AM112" s="65" t="s">
        <v>63</v>
      </c>
      <c r="AN112" s="65" t="s">
        <v>63</v>
      </c>
    </row>
    <row r="113" spans="1:40" s="66" customFormat="1" hidden="1" x14ac:dyDescent="0.25">
      <c r="A113" s="64">
        <v>2021</v>
      </c>
      <c r="B113" s="64" t="s">
        <v>703</v>
      </c>
      <c r="C113" s="64" t="s">
        <v>42</v>
      </c>
      <c r="D113" s="64" t="s">
        <v>716</v>
      </c>
      <c r="E113" s="64" t="s">
        <v>717</v>
      </c>
      <c r="F113" s="64" t="s">
        <v>116</v>
      </c>
      <c r="G113" s="64" t="s">
        <v>718</v>
      </c>
      <c r="H113" s="78">
        <v>44336</v>
      </c>
      <c r="I113" s="64">
        <f t="shared" ref="I113:I120" si="7">DATEDIF(H113,J113,"m")</f>
        <v>0</v>
      </c>
      <c r="J113" s="78">
        <v>44351</v>
      </c>
      <c r="K113" s="64" t="str">
        <f t="shared" si="5"/>
        <v>NUEVO</v>
      </c>
      <c r="L113" s="78">
        <v>44354</v>
      </c>
      <c r="M113" s="78">
        <v>44356</v>
      </c>
      <c r="N113" s="95" t="s">
        <v>719</v>
      </c>
      <c r="O113" s="64">
        <v>7</v>
      </c>
      <c r="P113" s="64" t="s">
        <v>68</v>
      </c>
      <c r="Q113" s="64"/>
      <c r="R113" s="65"/>
      <c r="S113" s="64" t="s">
        <v>156</v>
      </c>
      <c r="T113" s="64" t="s">
        <v>174</v>
      </c>
      <c r="U113" s="64"/>
      <c r="V113" s="64" t="s">
        <v>174</v>
      </c>
      <c r="W113" s="64" t="s">
        <v>71</v>
      </c>
      <c r="X113" s="64" t="s">
        <v>109</v>
      </c>
      <c r="Y113" s="79">
        <v>0.85069444444444453</v>
      </c>
      <c r="Z113" s="64" t="s">
        <v>110</v>
      </c>
      <c r="AA113" s="64" t="s">
        <v>697</v>
      </c>
      <c r="AB113" s="87">
        <v>14543</v>
      </c>
      <c r="AC113" s="82" t="s">
        <v>720</v>
      </c>
      <c r="AD113" s="64" t="s">
        <v>159</v>
      </c>
      <c r="AE113" s="64" t="s">
        <v>184</v>
      </c>
      <c r="AF113" s="64">
        <v>30</v>
      </c>
      <c r="AG113" s="64" t="s">
        <v>132</v>
      </c>
      <c r="AH113" s="64" t="s">
        <v>58</v>
      </c>
      <c r="AI113" s="64" t="s">
        <v>59</v>
      </c>
      <c r="AJ113" s="64" t="s">
        <v>134</v>
      </c>
      <c r="AK113" s="68" t="s">
        <v>721</v>
      </c>
      <c r="AL113" s="65" t="s">
        <v>103</v>
      </c>
      <c r="AM113" s="65" t="s">
        <v>63</v>
      </c>
      <c r="AN113" s="65" t="s">
        <v>63</v>
      </c>
    </row>
    <row r="114" spans="1:40" s="66" customFormat="1" hidden="1" x14ac:dyDescent="0.25">
      <c r="A114" s="64">
        <v>2021</v>
      </c>
      <c r="B114" s="64" t="s">
        <v>703</v>
      </c>
      <c r="C114" s="64" t="s">
        <v>42</v>
      </c>
      <c r="D114" s="64" t="s">
        <v>722</v>
      </c>
      <c r="E114" s="64" t="s">
        <v>723</v>
      </c>
      <c r="F114" s="64" t="s">
        <v>116</v>
      </c>
      <c r="G114" s="64" t="s">
        <v>724</v>
      </c>
      <c r="H114" s="78">
        <v>42786</v>
      </c>
      <c r="I114" s="64">
        <f t="shared" si="7"/>
        <v>50</v>
      </c>
      <c r="J114" s="78">
        <v>44322</v>
      </c>
      <c r="K114" s="64" t="str">
        <f t="shared" si="5"/>
        <v>ANTIGUO</v>
      </c>
      <c r="L114" s="64"/>
      <c r="M114" s="64"/>
      <c r="N114" s="64"/>
      <c r="O114" s="64">
        <v>0</v>
      </c>
      <c r="P114" s="64" t="s">
        <v>47</v>
      </c>
      <c r="Q114" s="64"/>
      <c r="R114" s="65"/>
      <c r="S114" s="64" t="s">
        <v>118</v>
      </c>
      <c r="T114" s="64" t="s">
        <v>119</v>
      </c>
      <c r="U114" s="64" t="s">
        <v>50</v>
      </c>
      <c r="V114" s="64" t="s">
        <v>119</v>
      </c>
      <c r="W114" s="64" t="s">
        <v>71</v>
      </c>
      <c r="X114" s="64" t="s">
        <v>52</v>
      </c>
      <c r="Y114" s="79">
        <v>0.27083333333333331</v>
      </c>
      <c r="Z114" s="64" t="s">
        <v>147</v>
      </c>
      <c r="AA114" s="64" t="s">
        <v>697</v>
      </c>
      <c r="AB114" s="65"/>
      <c r="AC114" s="82"/>
      <c r="AD114" s="64" t="s">
        <v>74</v>
      </c>
      <c r="AE114" s="64" t="s">
        <v>191</v>
      </c>
      <c r="AF114" s="64">
        <v>41</v>
      </c>
      <c r="AG114" s="64" t="s">
        <v>76</v>
      </c>
      <c r="AH114" s="64" t="s">
        <v>93</v>
      </c>
      <c r="AI114" s="64" t="s">
        <v>59</v>
      </c>
      <c r="AJ114" s="64" t="s">
        <v>60</v>
      </c>
      <c r="AK114" s="68" t="s">
        <v>725</v>
      </c>
      <c r="AL114" s="65" t="s">
        <v>103</v>
      </c>
      <c r="AM114" s="65" t="s">
        <v>63</v>
      </c>
      <c r="AN114" s="65" t="s">
        <v>64</v>
      </c>
    </row>
    <row r="115" spans="1:40" s="66" customFormat="1" hidden="1" x14ac:dyDescent="0.25">
      <c r="A115" s="64">
        <v>2021</v>
      </c>
      <c r="B115" s="64" t="s">
        <v>703</v>
      </c>
      <c r="C115" s="64" t="s">
        <v>42</v>
      </c>
      <c r="D115" s="64" t="s">
        <v>726</v>
      </c>
      <c r="E115" s="64" t="s">
        <v>727</v>
      </c>
      <c r="F115" s="64" t="s">
        <v>45</v>
      </c>
      <c r="G115" s="64" t="s">
        <v>728</v>
      </c>
      <c r="H115" s="78">
        <v>44350</v>
      </c>
      <c r="I115" s="64">
        <f t="shared" si="7"/>
        <v>0</v>
      </c>
      <c r="J115" s="78">
        <v>44355</v>
      </c>
      <c r="K115" s="64" t="str">
        <f t="shared" si="5"/>
        <v>NUEVO</v>
      </c>
      <c r="L115" s="64"/>
      <c r="M115" s="64"/>
      <c r="N115" s="64"/>
      <c r="O115" s="64">
        <v>0</v>
      </c>
      <c r="P115" s="64" t="s">
        <v>47</v>
      </c>
      <c r="Q115" s="64"/>
      <c r="R115" s="65"/>
      <c r="S115" s="64" t="s">
        <v>118</v>
      </c>
      <c r="T115" s="64" t="s">
        <v>119</v>
      </c>
      <c r="U115" s="64" t="s">
        <v>50</v>
      </c>
      <c r="V115" s="64" t="s">
        <v>729</v>
      </c>
      <c r="W115" s="64" t="s">
        <v>665</v>
      </c>
      <c r="X115" s="64" t="s">
        <v>52</v>
      </c>
      <c r="Y115" s="79">
        <v>0.46527777777777773</v>
      </c>
      <c r="Z115" s="64" t="s">
        <v>72</v>
      </c>
      <c r="AA115" s="64" t="s">
        <v>730</v>
      </c>
      <c r="AB115" s="65"/>
      <c r="AC115" s="82"/>
      <c r="AD115" s="64" t="s">
        <v>74</v>
      </c>
      <c r="AE115" s="64" t="s">
        <v>131</v>
      </c>
      <c r="AF115" s="64">
        <v>30</v>
      </c>
      <c r="AG115" s="64" t="s">
        <v>57</v>
      </c>
      <c r="AH115" s="64" t="s">
        <v>58</v>
      </c>
      <c r="AI115" s="64" t="s">
        <v>94</v>
      </c>
      <c r="AJ115" s="64" t="s">
        <v>199</v>
      </c>
      <c r="AK115" s="68" t="s">
        <v>731</v>
      </c>
      <c r="AL115" s="65" t="s">
        <v>62</v>
      </c>
      <c r="AM115" s="65" t="s">
        <v>63</v>
      </c>
      <c r="AN115" s="65" t="s">
        <v>64</v>
      </c>
    </row>
    <row r="116" spans="1:40" s="66" customFormat="1" hidden="1" x14ac:dyDescent="0.25">
      <c r="A116" s="64">
        <v>2021</v>
      </c>
      <c r="B116" s="64" t="s">
        <v>703</v>
      </c>
      <c r="C116" s="64" t="s">
        <v>42</v>
      </c>
      <c r="D116" s="64" t="s">
        <v>732</v>
      </c>
      <c r="E116" s="64" t="s">
        <v>733</v>
      </c>
      <c r="F116" s="64" t="s">
        <v>45</v>
      </c>
      <c r="G116" s="64" t="s">
        <v>734</v>
      </c>
      <c r="H116" s="78">
        <v>44305</v>
      </c>
      <c r="I116" s="64">
        <f t="shared" si="7"/>
        <v>1</v>
      </c>
      <c r="J116" s="78">
        <v>44356</v>
      </c>
      <c r="K116" s="64" t="str">
        <f t="shared" si="5"/>
        <v>NUEVO</v>
      </c>
      <c r="L116" s="64"/>
      <c r="M116" s="64"/>
      <c r="N116" s="64"/>
      <c r="O116" s="64">
        <v>0</v>
      </c>
      <c r="P116" s="64" t="s">
        <v>47</v>
      </c>
      <c r="Q116" s="64"/>
      <c r="R116" s="65"/>
      <c r="S116" s="64" t="s">
        <v>83</v>
      </c>
      <c r="T116" s="64"/>
      <c r="U116" s="64" t="s">
        <v>50</v>
      </c>
      <c r="V116" s="64" t="s">
        <v>99</v>
      </c>
      <c r="W116" s="64" t="s">
        <v>735</v>
      </c>
      <c r="X116" s="64" t="s">
        <v>109</v>
      </c>
      <c r="Y116" s="79">
        <v>0.95833333333333337</v>
      </c>
      <c r="Z116" s="64" t="s">
        <v>88</v>
      </c>
      <c r="AA116" s="64" t="s">
        <v>730</v>
      </c>
      <c r="AB116" s="65"/>
      <c r="AC116" s="82"/>
      <c r="AD116" s="64" t="s">
        <v>74</v>
      </c>
      <c r="AE116" s="64" t="s">
        <v>364</v>
      </c>
      <c r="AF116" s="64">
        <v>25</v>
      </c>
      <c r="AG116" s="64" t="s">
        <v>57</v>
      </c>
      <c r="AH116" s="64" t="s">
        <v>58</v>
      </c>
      <c r="AI116" s="64" t="s">
        <v>59</v>
      </c>
      <c r="AJ116" s="64" t="s">
        <v>60</v>
      </c>
      <c r="AK116" s="68" t="s">
        <v>736</v>
      </c>
      <c r="AL116" s="65" t="s">
        <v>62</v>
      </c>
      <c r="AM116" s="65" t="s">
        <v>64</v>
      </c>
      <c r="AN116" s="65" t="s">
        <v>64</v>
      </c>
    </row>
    <row r="117" spans="1:40" s="66" customFormat="1" hidden="1" x14ac:dyDescent="0.25">
      <c r="A117" s="64">
        <v>2021</v>
      </c>
      <c r="B117" s="64" t="s">
        <v>703</v>
      </c>
      <c r="C117" s="64" t="s">
        <v>42</v>
      </c>
      <c r="D117" s="64" t="s">
        <v>80</v>
      </c>
      <c r="E117" s="64" t="s">
        <v>737</v>
      </c>
      <c r="F117" s="64" t="s">
        <v>45</v>
      </c>
      <c r="G117" s="64" t="s">
        <v>82</v>
      </c>
      <c r="H117" s="78">
        <v>38930</v>
      </c>
      <c r="I117" s="64">
        <f t="shared" si="7"/>
        <v>178</v>
      </c>
      <c r="J117" s="78">
        <v>44356</v>
      </c>
      <c r="K117" s="64" t="str">
        <f t="shared" si="5"/>
        <v>ANTIGUO</v>
      </c>
      <c r="L117" s="64"/>
      <c r="M117" s="64"/>
      <c r="N117" s="64"/>
      <c r="O117" s="64">
        <v>0</v>
      </c>
      <c r="P117" s="64" t="s">
        <v>47</v>
      </c>
      <c r="Q117" s="64"/>
      <c r="R117" s="65"/>
      <c r="S117" s="64" t="s">
        <v>83</v>
      </c>
      <c r="T117" s="64" t="s">
        <v>472</v>
      </c>
      <c r="U117" s="64" t="s">
        <v>50</v>
      </c>
      <c r="V117" s="64"/>
      <c r="W117" s="64" t="s">
        <v>1543</v>
      </c>
      <c r="X117" s="64" t="s">
        <v>87</v>
      </c>
      <c r="Y117" s="79">
        <v>0.8125</v>
      </c>
      <c r="Z117" s="64" t="s">
        <v>88</v>
      </c>
      <c r="AA117" s="64" t="s">
        <v>730</v>
      </c>
      <c r="AB117" s="65"/>
      <c r="AC117" s="82"/>
      <c r="AD117" s="64" t="s">
        <v>74</v>
      </c>
      <c r="AE117" s="64" t="s">
        <v>364</v>
      </c>
      <c r="AF117" s="64">
        <v>41</v>
      </c>
      <c r="AG117" s="64" t="s">
        <v>57</v>
      </c>
      <c r="AH117" s="64" t="s">
        <v>133</v>
      </c>
      <c r="AI117" s="64" t="s">
        <v>59</v>
      </c>
      <c r="AJ117" s="64" t="s">
        <v>224</v>
      </c>
      <c r="AK117" s="68" t="s">
        <v>1523</v>
      </c>
      <c r="AL117" s="65" t="s">
        <v>62</v>
      </c>
      <c r="AM117" s="65" t="s">
        <v>63</v>
      </c>
      <c r="AN117" s="65" t="s">
        <v>64</v>
      </c>
    </row>
    <row r="118" spans="1:40" s="66" customFormat="1" hidden="1" x14ac:dyDescent="0.25">
      <c r="A118" s="64">
        <v>2021</v>
      </c>
      <c r="B118" s="64" t="s">
        <v>703</v>
      </c>
      <c r="C118" s="64" t="s">
        <v>42</v>
      </c>
      <c r="D118" s="6" t="s">
        <v>738</v>
      </c>
      <c r="E118" s="64" t="s">
        <v>739</v>
      </c>
      <c r="F118" s="64" t="s">
        <v>116</v>
      </c>
      <c r="G118" s="64" t="s">
        <v>740</v>
      </c>
      <c r="H118" s="11">
        <v>44215</v>
      </c>
      <c r="I118" s="64">
        <f t="shared" si="7"/>
        <v>4</v>
      </c>
      <c r="J118" s="78">
        <v>44357</v>
      </c>
      <c r="K118" s="64" t="str">
        <f t="shared" si="5"/>
        <v>NUEVO</v>
      </c>
      <c r="L118" s="64"/>
      <c r="M118" s="64"/>
      <c r="N118" s="64"/>
      <c r="O118" s="64">
        <v>0</v>
      </c>
      <c r="P118" s="64" t="s">
        <v>47</v>
      </c>
      <c r="Q118" s="64"/>
      <c r="R118" s="65"/>
      <c r="S118" s="64" t="s">
        <v>83</v>
      </c>
      <c r="T118" s="64" t="s">
        <v>472</v>
      </c>
      <c r="U118" s="10" t="s">
        <v>741</v>
      </c>
      <c r="V118" s="64" t="s">
        <v>472</v>
      </c>
      <c r="W118" s="64" t="s">
        <v>71</v>
      </c>
      <c r="X118" s="64" t="s">
        <v>109</v>
      </c>
      <c r="Y118" s="79">
        <v>0.91666666666666663</v>
      </c>
      <c r="Z118" s="64" t="s">
        <v>100</v>
      </c>
      <c r="AA118" s="64" t="s">
        <v>730</v>
      </c>
      <c r="AB118" s="65"/>
      <c r="AC118" s="82"/>
      <c r="AD118" s="64" t="s">
        <v>74</v>
      </c>
      <c r="AE118" s="64" t="s">
        <v>91</v>
      </c>
      <c r="AF118" s="64">
        <v>21</v>
      </c>
      <c r="AG118" s="64" t="s">
        <v>92</v>
      </c>
      <c r="AH118" s="64" t="s">
        <v>149</v>
      </c>
      <c r="AI118" s="64" t="s">
        <v>59</v>
      </c>
      <c r="AJ118" s="64" t="s">
        <v>244</v>
      </c>
      <c r="AK118" t="s">
        <v>742</v>
      </c>
      <c r="AL118" s="65" t="s">
        <v>103</v>
      </c>
      <c r="AM118" s="65" t="s">
        <v>63</v>
      </c>
      <c r="AN118" s="65" t="s">
        <v>64</v>
      </c>
    </row>
    <row r="119" spans="1:40" s="66" customFormat="1" ht="45" hidden="1" x14ac:dyDescent="0.25">
      <c r="A119" s="64">
        <v>2021</v>
      </c>
      <c r="B119" s="64" t="s">
        <v>703</v>
      </c>
      <c r="C119" s="64" t="s">
        <v>42</v>
      </c>
      <c r="D119" s="64" t="s">
        <v>743</v>
      </c>
      <c r="E119" s="64" t="s">
        <v>744</v>
      </c>
      <c r="F119" s="64" t="s">
        <v>116</v>
      </c>
      <c r="G119" s="64" t="s">
        <v>745</v>
      </c>
      <c r="H119" s="78">
        <v>44348</v>
      </c>
      <c r="I119" s="64">
        <f t="shared" si="7"/>
        <v>0</v>
      </c>
      <c r="J119" s="78">
        <v>44359</v>
      </c>
      <c r="K119" s="64" t="str">
        <f t="shared" si="5"/>
        <v>NUEVO</v>
      </c>
      <c r="L119" s="64"/>
      <c r="M119" s="64"/>
      <c r="N119" s="64"/>
      <c r="O119" s="64">
        <v>0</v>
      </c>
      <c r="P119" s="64" t="s">
        <v>47</v>
      </c>
      <c r="Q119" s="64"/>
      <c r="R119" s="65"/>
      <c r="S119" s="64" t="s">
        <v>118</v>
      </c>
      <c r="T119" s="64"/>
      <c r="U119" s="64" t="s">
        <v>50</v>
      </c>
      <c r="V119" s="64" t="s">
        <v>746</v>
      </c>
      <c r="W119" s="64" t="s">
        <v>71</v>
      </c>
      <c r="X119" s="64" t="s">
        <v>52</v>
      </c>
      <c r="Y119" s="79">
        <v>0.44444444444444442</v>
      </c>
      <c r="Z119" s="64" t="s">
        <v>147</v>
      </c>
      <c r="AA119" s="64" t="s">
        <v>730</v>
      </c>
      <c r="AB119" s="65"/>
      <c r="AC119" s="82"/>
      <c r="AD119" s="64" t="s">
        <v>74</v>
      </c>
      <c r="AE119" s="64" t="s">
        <v>131</v>
      </c>
      <c r="AF119" s="64" t="s">
        <v>139</v>
      </c>
      <c r="AG119" s="64" t="s">
        <v>92</v>
      </c>
      <c r="AH119" s="64" t="s">
        <v>58</v>
      </c>
      <c r="AI119" s="64" t="s">
        <v>59</v>
      </c>
      <c r="AJ119" s="64" t="s">
        <v>134</v>
      </c>
      <c r="AK119" s="68" t="s">
        <v>747</v>
      </c>
      <c r="AL119" s="65" t="s">
        <v>62</v>
      </c>
      <c r="AM119" s="65" t="s">
        <v>64</v>
      </c>
      <c r="AN119" s="65" t="s">
        <v>64</v>
      </c>
    </row>
    <row r="120" spans="1:40" s="66" customFormat="1" hidden="1" x14ac:dyDescent="0.25">
      <c r="A120" s="64">
        <v>2021</v>
      </c>
      <c r="B120" s="64" t="s">
        <v>703</v>
      </c>
      <c r="C120" s="64" t="s">
        <v>42</v>
      </c>
      <c r="D120" s="64" t="s">
        <v>748</v>
      </c>
      <c r="E120" s="64" t="s">
        <v>627</v>
      </c>
      <c r="F120" s="64" t="s">
        <v>45</v>
      </c>
      <c r="G120" s="64" t="s">
        <v>367</v>
      </c>
      <c r="H120" s="78">
        <v>43199</v>
      </c>
      <c r="I120" s="64">
        <f t="shared" si="7"/>
        <v>38</v>
      </c>
      <c r="J120" s="78">
        <v>44361</v>
      </c>
      <c r="K120" s="64" t="str">
        <f t="shared" si="5"/>
        <v>ANTIGUO</v>
      </c>
      <c r="L120" s="64"/>
      <c r="M120" s="64"/>
      <c r="N120" s="64"/>
      <c r="O120" s="64">
        <v>0</v>
      </c>
      <c r="P120" s="64" t="s">
        <v>47</v>
      </c>
      <c r="Q120" s="64"/>
      <c r="R120" s="65"/>
      <c r="S120" s="64" t="s">
        <v>107</v>
      </c>
      <c r="T120" s="64"/>
      <c r="U120" s="64" t="s">
        <v>50</v>
      </c>
      <c r="V120" s="64"/>
      <c r="W120" s="64" t="s">
        <v>71</v>
      </c>
      <c r="X120" s="64" t="s">
        <v>87</v>
      </c>
      <c r="Y120" s="79">
        <v>0.76041666666666663</v>
      </c>
      <c r="Z120" s="64" t="s">
        <v>53</v>
      </c>
      <c r="AA120" s="64" t="s">
        <v>749</v>
      </c>
      <c r="AB120" s="65"/>
      <c r="AC120" s="82"/>
      <c r="AD120" s="64" t="s">
        <v>111</v>
      </c>
      <c r="AE120" s="64" t="s">
        <v>112</v>
      </c>
      <c r="AF120" s="64">
        <v>51</v>
      </c>
      <c r="AG120" s="64" t="s">
        <v>328</v>
      </c>
      <c r="AH120" s="64" t="s">
        <v>58</v>
      </c>
      <c r="AI120" s="64" t="s">
        <v>94</v>
      </c>
      <c r="AJ120" s="64" t="s">
        <v>199</v>
      </c>
      <c r="AK120" s="68" t="s">
        <v>750</v>
      </c>
      <c r="AL120" s="65" t="s">
        <v>62</v>
      </c>
      <c r="AM120" s="65" t="s">
        <v>63</v>
      </c>
      <c r="AN120" s="65" t="s">
        <v>64</v>
      </c>
    </row>
    <row r="121" spans="1:40" s="66" customFormat="1" hidden="1" x14ac:dyDescent="0.25">
      <c r="A121" s="64">
        <v>2021</v>
      </c>
      <c r="B121" s="64" t="s">
        <v>703</v>
      </c>
      <c r="C121" s="64" t="s">
        <v>42</v>
      </c>
      <c r="D121" s="64" t="s">
        <v>751</v>
      </c>
      <c r="E121" s="64" t="s">
        <v>752</v>
      </c>
      <c r="F121" s="64" t="s">
        <v>116</v>
      </c>
      <c r="G121" s="64" t="s">
        <v>753</v>
      </c>
      <c r="H121" s="78">
        <v>41386</v>
      </c>
      <c r="I121" s="64">
        <f t="shared" ref="I121:I134" si="8">DATEDIF(H121,J121,"m")</f>
        <v>97</v>
      </c>
      <c r="J121" s="78">
        <v>44362</v>
      </c>
      <c r="K121" s="64" t="str">
        <f t="shared" si="5"/>
        <v>ANTIGUO</v>
      </c>
      <c r="L121" s="64"/>
      <c r="M121" s="64"/>
      <c r="N121" s="64"/>
      <c r="O121" s="64">
        <v>0</v>
      </c>
      <c r="P121" s="64" t="s">
        <v>47</v>
      </c>
      <c r="Q121" s="64"/>
      <c r="R121" s="65"/>
      <c r="S121" s="64" t="s">
        <v>48</v>
      </c>
      <c r="T121" s="64" t="s">
        <v>99</v>
      </c>
      <c r="U121" s="64" t="s">
        <v>50</v>
      </c>
      <c r="V121" s="64" t="s">
        <v>99</v>
      </c>
      <c r="W121" s="64" t="s">
        <v>71</v>
      </c>
      <c r="X121" s="64" t="s">
        <v>109</v>
      </c>
      <c r="Y121" s="79">
        <v>0.9375</v>
      </c>
      <c r="Z121" s="64" t="s">
        <v>72</v>
      </c>
      <c r="AA121" s="64" t="s">
        <v>749</v>
      </c>
      <c r="AB121" s="65"/>
      <c r="AC121" s="82"/>
      <c r="AD121" s="64" t="s">
        <v>55</v>
      </c>
      <c r="AE121" s="64" t="s">
        <v>101</v>
      </c>
      <c r="AF121" s="64">
        <v>56</v>
      </c>
      <c r="AG121" s="64" t="s">
        <v>140</v>
      </c>
      <c r="AH121" s="64" t="s">
        <v>58</v>
      </c>
      <c r="AI121" s="64" t="s">
        <v>59</v>
      </c>
      <c r="AJ121" s="64" t="s">
        <v>134</v>
      </c>
      <c r="AK121" s="68" t="s">
        <v>754</v>
      </c>
      <c r="AL121" s="65" t="s">
        <v>62</v>
      </c>
      <c r="AM121" s="65" t="s">
        <v>63</v>
      </c>
      <c r="AN121" s="65" t="s">
        <v>64</v>
      </c>
    </row>
    <row r="122" spans="1:40" s="66" customFormat="1" hidden="1" x14ac:dyDescent="0.25">
      <c r="A122" s="64">
        <v>2021</v>
      </c>
      <c r="B122" s="64" t="s">
        <v>703</v>
      </c>
      <c r="C122" s="64" t="s">
        <v>42</v>
      </c>
      <c r="D122" s="64" t="s">
        <v>755</v>
      </c>
      <c r="E122" s="64" t="s">
        <v>154</v>
      </c>
      <c r="F122" s="64" t="s">
        <v>45</v>
      </c>
      <c r="G122" s="64" t="s">
        <v>756</v>
      </c>
      <c r="H122" s="78">
        <v>39272</v>
      </c>
      <c r="I122" s="64">
        <f t="shared" si="8"/>
        <v>167</v>
      </c>
      <c r="J122" s="78">
        <v>44363</v>
      </c>
      <c r="K122" s="64" t="str">
        <f t="shared" si="5"/>
        <v>ANTIGUO</v>
      </c>
      <c r="L122" s="64"/>
      <c r="M122" s="64"/>
      <c r="N122" s="64"/>
      <c r="O122" s="64">
        <v>0</v>
      </c>
      <c r="P122" s="64" t="s">
        <v>47</v>
      </c>
      <c r="Q122" s="64"/>
      <c r="R122" s="65"/>
      <c r="S122" s="64" t="s">
        <v>118</v>
      </c>
      <c r="T122" s="64" t="s">
        <v>130</v>
      </c>
      <c r="U122" s="64" t="s">
        <v>50</v>
      </c>
      <c r="V122" s="64" t="s">
        <v>130</v>
      </c>
      <c r="W122" s="64" t="s">
        <v>71</v>
      </c>
      <c r="X122" s="64" t="s">
        <v>52</v>
      </c>
      <c r="Y122" s="79">
        <v>0.4861111111111111</v>
      </c>
      <c r="Z122" s="64" t="s">
        <v>88</v>
      </c>
      <c r="AA122" s="64" t="s">
        <v>749</v>
      </c>
      <c r="AB122" s="65"/>
      <c r="AC122" s="82"/>
      <c r="AD122" s="64" t="s">
        <v>74</v>
      </c>
      <c r="AE122" s="64" t="s">
        <v>280</v>
      </c>
      <c r="AF122" s="64">
        <v>57</v>
      </c>
      <c r="AG122" s="64" t="s">
        <v>92</v>
      </c>
      <c r="AH122" s="64" t="s">
        <v>419</v>
      </c>
      <c r="AI122" s="64" t="s">
        <v>59</v>
      </c>
      <c r="AJ122" s="64" t="s">
        <v>78</v>
      </c>
      <c r="AK122" s="68" t="s">
        <v>757</v>
      </c>
      <c r="AL122" s="65" t="s">
        <v>62</v>
      </c>
      <c r="AM122" s="65" t="s">
        <v>63</v>
      </c>
      <c r="AN122" s="65" t="s">
        <v>64</v>
      </c>
    </row>
    <row r="123" spans="1:40" s="66" customFormat="1" hidden="1" x14ac:dyDescent="0.25">
      <c r="A123" s="64">
        <v>2021</v>
      </c>
      <c r="B123" s="64" t="s">
        <v>703</v>
      </c>
      <c r="C123" s="64" t="s">
        <v>42</v>
      </c>
      <c r="D123" s="64" t="s">
        <v>758</v>
      </c>
      <c r="E123" s="253" t="s">
        <v>759</v>
      </c>
      <c r="F123" s="64" t="s">
        <v>45</v>
      </c>
      <c r="G123" s="64" t="s">
        <v>760</v>
      </c>
      <c r="H123" s="78">
        <v>44333</v>
      </c>
      <c r="I123" s="64">
        <f t="shared" si="8"/>
        <v>0</v>
      </c>
      <c r="J123" s="78">
        <v>44349</v>
      </c>
      <c r="K123" s="64" t="str">
        <f t="shared" si="5"/>
        <v>NUEVO</v>
      </c>
      <c r="L123" s="64"/>
      <c r="M123" s="64"/>
      <c r="N123" s="64"/>
      <c r="O123" s="64">
        <v>0</v>
      </c>
      <c r="P123" s="64" t="s">
        <v>47</v>
      </c>
      <c r="Q123" s="64"/>
      <c r="R123" s="65"/>
      <c r="S123" s="64" t="s">
        <v>118</v>
      </c>
      <c r="T123" s="64" t="s">
        <v>119</v>
      </c>
      <c r="U123" s="64" t="s">
        <v>50</v>
      </c>
      <c r="V123" s="64" t="s">
        <v>130</v>
      </c>
      <c r="W123" s="64" t="s">
        <v>71</v>
      </c>
      <c r="X123" s="64" t="s">
        <v>52</v>
      </c>
      <c r="Y123" s="79">
        <v>0.41666666666666669</v>
      </c>
      <c r="Z123" s="64" t="s">
        <v>72</v>
      </c>
      <c r="AA123" s="64" t="s">
        <v>697</v>
      </c>
      <c r="AB123" s="87"/>
      <c r="AC123" s="82" t="s">
        <v>761</v>
      </c>
      <c r="AD123" s="64" t="s">
        <v>74</v>
      </c>
      <c r="AE123" s="64" t="s">
        <v>191</v>
      </c>
      <c r="AF123" s="64">
        <v>22</v>
      </c>
      <c r="AG123" s="64" t="s">
        <v>270</v>
      </c>
      <c r="AH123" s="64" t="s">
        <v>419</v>
      </c>
      <c r="AI123" s="64" t="s">
        <v>150</v>
      </c>
      <c r="AJ123" s="64" t="s">
        <v>125</v>
      </c>
      <c r="AK123" s="68" t="s">
        <v>762</v>
      </c>
      <c r="AL123" s="65" t="s">
        <v>103</v>
      </c>
      <c r="AM123" s="65" t="s">
        <v>63</v>
      </c>
      <c r="AN123" s="65" t="s">
        <v>63</v>
      </c>
    </row>
    <row r="124" spans="1:40" s="66" customFormat="1" hidden="1" x14ac:dyDescent="0.25">
      <c r="A124" s="64">
        <v>2021</v>
      </c>
      <c r="B124" s="64" t="s">
        <v>703</v>
      </c>
      <c r="C124" s="64" t="s">
        <v>42</v>
      </c>
      <c r="D124" s="64" t="s">
        <v>763</v>
      </c>
      <c r="E124" s="64" t="s">
        <v>764</v>
      </c>
      <c r="F124" s="64" t="s">
        <v>116</v>
      </c>
      <c r="G124" s="64" t="s">
        <v>765</v>
      </c>
      <c r="H124" s="78">
        <v>44348</v>
      </c>
      <c r="I124" s="64">
        <f t="shared" si="8"/>
        <v>0</v>
      </c>
      <c r="J124" s="78">
        <v>44364</v>
      </c>
      <c r="K124" s="64" t="str">
        <f t="shared" si="5"/>
        <v>NUEVO</v>
      </c>
      <c r="L124" s="78">
        <v>44364</v>
      </c>
      <c r="M124" s="78">
        <v>44369</v>
      </c>
      <c r="N124" s="64"/>
      <c r="O124" s="64">
        <v>6</v>
      </c>
      <c r="P124" s="64" t="s">
        <v>68</v>
      </c>
      <c r="Q124" s="64"/>
      <c r="R124" s="65"/>
      <c r="S124" s="64" t="s">
        <v>165</v>
      </c>
      <c r="T124" s="64" t="s">
        <v>579</v>
      </c>
      <c r="U124" s="64" t="s">
        <v>50</v>
      </c>
      <c r="V124" s="64"/>
      <c r="W124" s="64" t="s">
        <v>71</v>
      </c>
      <c r="X124" s="64" t="s">
        <v>52</v>
      </c>
      <c r="Y124" s="79">
        <v>0.41666666666666669</v>
      </c>
      <c r="Z124" s="64" t="s">
        <v>100</v>
      </c>
      <c r="AA124" s="64" t="s">
        <v>749</v>
      </c>
      <c r="AB124" s="87">
        <v>14630</v>
      </c>
      <c r="AC124" s="82" t="s">
        <v>766</v>
      </c>
      <c r="AD124" s="64" t="s">
        <v>168</v>
      </c>
      <c r="AE124" s="64" t="s">
        <v>513</v>
      </c>
      <c r="AF124" s="64">
        <v>25</v>
      </c>
      <c r="AG124" s="64" t="s">
        <v>559</v>
      </c>
      <c r="AH124" s="64" t="s">
        <v>102</v>
      </c>
      <c r="AI124" s="64" t="s">
        <v>559</v>
      </c>
      <c r="AJ124" s="64" t="s">
        <v>199</v>
      </c>
      <c r="AK124" s="68" t="s">
        <v>767</v>
      </c>
      <c r="AL124" s="65" t="s">
        <v>103</v>
      </c>
      <c r="AM124" s="65" t="s">
        <v>63</v>
      </c>
      <c r="AN124" s="65" t="s">
        <v>63</v>
      </c>
    </row>
    <row r="125" spans="1:40" s="66" customFormat="1" ht="45" hidden="1" x14ac:dyDescent="0.25">
      <c r="A125" s="64">
        <v>2021</v>
      </c>
      <c r="B125" s="64" t="s">
        <v>703</v>
      </c>
      <c r="C125" s="64" t="s">
        <v>42</v>
      </c>
      <c r="D125" s="64" t="s">
        <v>768</v>
      </c>
      <c r="E125" s="64" t="s">
        <v>44</v>
      </c>
      <c r="F125" s="64" t="s">
        <v>45</v>
      </c>
      <c r="G125" s="64" t="s">
        <v>769</v>
      </c>
      <c r="H125" s="78">
        <v>43607</v>
      </c>
      <c r="I125" s="64">
        <f t="shared" si="8"/>
        <v>24</v>
      </c>
      <c r="J125" s="78">
        <v>44368</v>
      </c>
      <c r="K125" s="64" t="str">
        <f t="shared" si="5"/>
        <v>INTERMEDIO</v>
      </c>
      <c r="L125" s="78">
        <v>44368</v>
      </c>
      <c r="M125" s="239">
        <v>44465</v>
      </c>
      <c r="N125" s="78" t="s">
        <v>211</v>
      </c>
      <c r="O125" s="95">
        <f>M125-L125</f>
        <v>97</v>
      </c>
      <c r="P125" s="95" t="s">
        <v>68</v>
      </c>
      <c r="Q125" s="64" t="s">
        <v>195</v>
      </c>
      <c r="R125" s="65" t="s">
        <v>564</v>
      </c>
      <c r="S125" s="64" t="s">
        <v>156</v>
      </c>
      <c r="T125" s="64" t="s">
        <v>539</v>
      </c>
      <c r="U125" s="64" t="s">
        <v>50</v>
      </c>
      <c r="V125" s="64" t="s">
        <v>69</v>
      </c>
      <c r="W125" s="64" t="s">
        <v>370</v>
      </c>
      <c r="X125" s="64" t="s">
        <v>109</v>
      </c>
      <c r="Y125" s="79">
        <v>8.3333333333333329E-2</v>
      </c>
      <c r="Z125" s="64" t="s">
        <v>53</v>
      </c>
      <c r="AA125" s="64" t="s">
        <v>770</v>
      </c>
      <c r="AB125" s="87">
        <v>14631</v>
      </c>
      <c r="AC125" s="82" t="s">
        <v>771</v>
      </c>
      <c r="AD125" s="64" t="s">
        <v>159</v>
      </c>
      <c r="AE125" s="64" t="s">
        <v>694</v>
      </c>
      <c r="AF125" s="64">
        <v>55</v>
      </c>
      <c r="AG125" s="64" t="s">
        <v>57</v>
      </c>
      <c r="AH125" s="64" t="s">
        <v>58</v>
      </c>
      <c r="AI125" s="64" t="s">
        <v>59</v>
      </c>
      <c r="AJ125" s="64" t="s">
        <v>462</v>
      </c>
      <c r="AK125" s="68" t="s">
        <v>772</v>
      </c>
      <c r="AL125" s="65" t="s">
        <v>62</v>
      </c>
      <c r="AM125" s="65" t="s">
        <v>63</v>
      </c>
      <c r="AN125" s="65" t="s">
        <v>63</v>
      </c>
    </row>
    <row r="126" spans="1:40" s="66" customFormat="1" hidden="1" x14ac:dyDescent="0.25">
      <c r="A126" s="64">
        <v>2021</v>
      </c>
      <c r="B126" s="64" t="s">
        <v>703</v>
      </c>
      <c r="C126" s="64" t="s">
        <v>42</v>
      </c>
      <c r="D126" s="65" t="s">
        <v>773</v>
      </c>
      <c r="E126" s="64" t="s">
        <v>774</v>
      </c>
      <c r="F126" s="64" t="s">
        <v>45</v>
      </c>
      <c r="G126" s="65" t="s">
        <v>775</v>
      </c>
      <c r="H126" s="78">
        <v>44326</v>
      </c>
      <c r="I126" s="64">
        <f t="shared" si="8"/>
        <v>1</v>
      </c>
      <c r="J126" s="78">
        <v>44369</v>
      </c>
      <c r="K126" s="64" t="str">
        <f t="shared" si="5"/>
        <v>NUEVO</v>
      </c>
      <c r="L126" s="64"/>
      <c r="M126" s="64"/>
      <c r="N126" s="64"/>
      <c r="O126" s="64">
        <v>0</v>
      </c>
      <c r="P126" s="64" t="s">
        <v>47</v>
      </c>
      <c r="Q126" s="64"/>
      <c r="R126" s="65"/>
      <c r="S126" s="64" t="s">
        <v>118</v>
      </c>
      <c r="T126" s="64" t="s">
        <v>130</v>
      </c>
      <c r="U126" s="64" t="s">
        <v>453</v>
      </c>
      <c r="V126" s="64" t="s">
        <v>130</v>
      </c>
      <c r="W126" s="64" t="s">
        <v>71</v>
      </c>
      <c r="X126" s="64" t="s">
        <v>87</v>
      </c>
      <c r="Y126" s="79">
        <v>0.73611111111111116</v>
      </c>
      <c r="Z126" s="64" t="s">
        <v>72</v>
      </c>
      <c r="AA126" s="64" t="s">
        <v>770</v>
      </c>
      <c r="AB126" s="65"/>
      <c r="AC126" s="82"/>
      <c r="AD126" s="64" t="s">
        <v>74</v>
      </c>
      <c r="AE126" s="64" t="s">
        <v>191</v>
      </c>
      <c r="AF126" s="64">
        <v>20</v>
      </c>
      <c r="AG126" s="64" t="s">
        <v>132</v>
      </c>
      <c r="AH126" s="64" t="s">
        <v>419</v>
      </c>
      <c r="AI126" s="64" t="s">
        <v>59</v>
      </c>
      <c r="AJ126" s="64" t="s">
        <v>134</v>
      </c>
      <c r="AK126" s="1" t="s">
        <v>1524</v>
      </c>
      <c r="AL126" s="65" t="s">
        <v>103</v>
      </c>
      <c r="AM126" s="65" t="s">
        <v>63</v>
      </c>
      <c r="AN126" s="65" t="s">
        <v>64</v>
      </c>
    </row>
    <row r="127" spans="1:40" s="66" customFormat="1" ht="15.75" hidden="1" x14ac:dyDescent="0.25">
      <c r="A127" s="64">
        <v>2021</v>
      </c>
      <c r="B127" s="64" t="s">
        <v>703</v>
      </c>
      <c r="C127" s="64" t="s">
        <v>42</v>
      </c>
      <c r="D127" s="103" t="s">
        <v>776</v>
      </c>
      <c r="E127" s="64" t="s">
        <v>331</v>
      </c>
      <c r="F127" s="64" t="s">
        <v>45</v>
      </c>
      <c r="G127" s="229" t="s">
        <v>777</v>
      </c>
      <c r="H127" s="227">
        <v>38433</v>
      </c>
      <c r="I127" s="64">
        <f t="shared" si="8"/>
        <v>195</v>
      </c>
      <c r="J127" s="78">
        <v>44369</v>
      </c>
      <c r="K127" s="64" t="str">
        <f t="shared" ref="K127:K134" si="9">IF(I127&lt;=18,"NUEVO",IF(I127&lt;=36,"INTERMEDIO","ANTIGUO"))</f>
        <v>ANTIGUO</v>
      </c>
      <c r="L127" s="64"/>
      <c r="M127" s="64"/>
      <c r="N127" s="64"/>
      <c r="O127" s="64">
        <v>3</v>
      </c>
      <c r="P127" s="64" t="s">
        <v>68</v>
      </c>
      <c r="Q127" s="64"/>
      <c r="R127" s="65"/>
      <c r="S127" s="64" t="s">
        <v>156</v>
      </c>
      <c r="T127" s="64" t="s">
        <v>108</v>
      </c>
      <c r="U127" s="103" t="s">
        <v>778</v>
      </c>
      <c r="V127" s="64" t="s">
        <v>779</v>
      </c>
      <c r="W127" s="64" t="s">
        <v>71</v>
      </c>
      <c r="X127" s="64" t="s">
        <v>87</v>
      </c>
      <c r="Y127" s="79">
        <v>0.78472222222222221</v>
      </c>
      <c r="Z127" s="64" t="s">
        <v>72</v>
      </c>
      <c r="AA127" s="64" t="s">
        <v>770</v>
      </c>
      <c r="AB127" s="87">
        <v>14632</v>
      </c>
      <c r="AC127" s="82" t="s">
        <v>780</v>
      </c>
      <c r="AD127" s="64" t="s">
        <v>159</v>
      </c>
      <c r="AE127" s="64" t="s">
        <v>781</v>
      </c>
      <c r="AF127" s="64">
        <v>63</v>
      </c>
      <c r="AG127" s="64" t="s">
        <v>132</v>
      </c>
      <c r="AH127" s="64" t="s">
        <v>236</v>
      </c>
      <c r="AI127" s="64" t="s">
        <v>59</v>
      </c>
      <c r="AJ127" s="64" t="s">
        <v>134</v>
      </c>
      <c r="AK127" t="s">
        <v>782</v>
      </c>
      <c r="AL127" s="65" t="s">
        <v>103</v>
      </c>
      <c r="AM127" s="65" t="s">
        <v>63</v>
      </c>
      <c r="AN127" s="65" t="s">
        <v>63</v>
      </c>
    </row>
    <row r="128" spans="1:40" s="66" customFormat="1" hidden="1" x14ac:dyDescent="0.25">
      <c r="A128" s="64">
        <v>2021</v>
      </c>
      <c r="B128" s="64" t="s">
        <v>703</v>
      </c>
      <c r="C128" s="64" t="s">
        <v>42</v>
      </c>
      <c r="D128" s="64" t="s">
        <v>590</v>
      </c>
      <c r="E128" s="64" t="s">
        <v>591</v>
      </c>
      <c r="F128" s="64" t="s">
        <v>116</v>
      </c>
      <c r="G128" s="228" t="s">
        <v>592</v>
      </c>
      <c r="H128" s="78">
        <v>43689</v>
      </c>
      <c r="I128" s="64">
        <f t="shared" si="8"/>
        <v>22</v>
      </c>
      <c r="J128" s="78">
        <v>44369</v>
      </c>
      <c r="K128" s="64" t="str">
        <f t="shared" si="9"/>
        <v>INTERMEDIO</v>
      </c>
      <c r="L128" s="64"/>
      <c r="M128" s="64"/>
      <c r="N128" s="64"/>
      <c r="O128" s="64">
        <v>0</v>
      </c>
      <c r="P128" s="64" t="s">
        <v>47</v>
      </c>
      <c r="Q128" s="64"/>
      <c r="R128" s="65"/>
      <c r="S128" s="64" t="s">
        <v>118</v>
      </c>
      <c r="T128" s="64" t="s">
        <v>119</v>
      </c>
      <c r="U128" s="64" t="s">
        <v>50</v>
      </c>
      <c r="V128" s="64" t="s">
        <v>119</v>
      </c>
      <c r="W128" s="64" t="s">
        <v>71</v>
      </c>
      <c r="X128" s="64" t="s">
        <v>87</v>
      </c>
      <c r="Y128" s="79">
        <v>0.75</v>
      </c>
      <c r="Z128" s="64" t="s">
        <v>88</v>
      </c>
      <c r="AA128" s="64" t="s">
        <v>770</v>
      </c>
      <c r="AB128" s="65"/>
      <c r="AC128" s="82"/>
      <c r="AD128" s="64" t="s">
        <v>783</v>
      </c>
      <c r="AE128" s="64" t="s">
        <v>280</v>
      </c>
      <c r="AF128" s="64">
        <v>29</v>
      </c>
      <c r="AG128" s="64" t="s">
        <v>76</v>
      </c>
      <c r="AH128" s="64" t="s">
        <v>58</v>
      </c>
      <c r="AI128" s="64" t="s">
        <v>59</v>
      </c>
      <c r="AJ128" s="64" t="s">
        <v>462</v>
      </c>
      <c r="AK128" s="68" t="s">
        <v>784</v>
      </c>
      <c r="AL128" s="65" t="s">
        <v>62</v>
      </c>
      <c r="AM128" s="65" t="s">
        <v>63</v>
      </c>
      <c r="AN128" s="65" t="s">
        <v>64</v>
      </c>
    </row>
    <row r="129" spans="1:40" s="66" customFormat="1" hidden="1" x14ac:dyDescent="0.25">
      <c r="A129" s="64">
        <v>2021</v>
      </c>
      <c r="B129" s="64" t="s">
        <v>703</v>
      </c>
      <c r="C129" s="64" t="s">
        <v>42</v>
      </c>
      <c r="D129" s="64" t="s">
        <v>577</v>
      </c>
      <c r="E129" s="64" t="s">
        <v>785</v>
      </c>
      <c r="F129" s="64" t="s">
        <v>45</v>
      </c>
      <c r="G129" s="64" t="s">
        <v>578</v>
      </c>
      <c r="H129" s="78">
        <v>43633</v>
      </c>
      <c r="I129" s="64">
        <f t="shared" si="8"/>
        <v>24</v>
      </c>
      <c r="J129" s="78">
        <v>44371</v>
      </c>
      <c r="K129" s="64" t="str">
        <f t="shared" si="9"/>
        <v>INTERMEDIO</v>
      </c>
      <c r="L129" s="64"/>
      <c r="M129" s="64"/>
      <c r="N129" s="64"/>
      <c r="O129" s="64">
        <v>0</v>
      </c>
      <c r="P129" s="64" t="s">
        <v>47</v>
      </c>
      <c r="Q129" s="64"/>
      <c r="R129" s="65"/>
      <c r="S129" s="64" t="s">
        <v>165</v>
      </c>
      <c r="T129" s="64" t="s">
        <v>165</v>
      </c>
      <c r="U129" s="64" t="s">
        <v>580</v>
      </c>
      <c r="V129" s="64" t="s">
        <v>376</v>
      </c>
      <c r="W129" s="64" t="s">
        <v>376</v>
      </c>
      <c r="X129" s="64" t="s">
        <v>109</v>
      </c>
      <c r="Y129" s="79">
        <v>0.1875</v>
      </c>
      <c r="Z129" s="64" t="s">
        <v>100</v>
      </c>
      <c r="AA129" s="64" t="s">
        <v>770</v>
      </c>
      <c r="AB129" s="65"/>
      <c r="AC129" s="82"/>
      <c r="AD129" s="64" t="s">
        <v>168</v>
      </c>
      <c r="AE129" s="64" t="s">
        <v>314</v>
      </c>
      <c r="AF129" s="64">
        <v>26</v>
      </c>
      <c r="AG129" s="64" t="s">
        <v>57</v>
      </c>
      <c r="AH129" s="64" t="s">
        <v>149</v>
      </c>
      <c r="AI129" s="64" t="s">
        <v>59</v>
      </c>
      <c r="AJ129" s="64" t="s">
        <v>60</v>
      </c>
      <c r="AK129" s="68" t="s">
        <v>786</v>
      </c>
      <c r="AL129" s="65" t="s">
        <v>103</v>
      </c>
      <c r="AM129" s="65" t="s">
        <v>63</v>
      </c>
      <c r="AN129" s="65" t="s">
        <v>64</v>
      </c>
    </row>
    <row r="130" spans="1:40" s="66" customFormat="1" hidden="1" x14ac:dyDescent="0.25">
      <c r="A130" s="64">
        <v>2021</v>
      </c>
      <c r="B130" s="64" t="s">
        <v>703</v>
      </c>
      <c r="C130" s="64" t="s">
        <v>42</v>
      </c>
      <c r="D130" s="64" t="s">
        <v>787</v>
      </c>
      <c r="E130" s="64" t="s">
        <v>788</v>
      </c>
      <c r="F130" s="64" t="s">
        <v>45</v>
      </c>
      <c r="G130" s="64" t="s">
        <v>789</v>
      </c>
      <c r="H130" s="78">
        <v>43801</v>
      </c>
      <c r="I130" s="64">
        <f t="shared" si="8"/>
        <v>18</v>
      </c>
      <c r="J130" s="78">
        <v>44371</v>
      </c>
      <c r="K130" s="64" t="str">
        <f t="shared" si="9"/>
        <v>NUEVO</v>
      </c>
      <c r="L130" s="78">
        <v>44371</v>
      </c>
      <c r="M130" s="64"/>
      <c r="N130" s="64"/>
      <c r="O130" s="64">
        <v>1</v>
      </c>
      <c r="P130" s="64" t="s">
        <v>68</v>
      </c>
      <c r="Q130" s="64"/>
      <c r="R130" s="65"/>
      <c r="S130" s="64" t="s">
        <v>156</v>
      </c>
      <c r="T130" s="64" t="s">
        <v>156</v>
      </c>
      <c r="U130" s="64" t="s">
        <v>790</v>
      </c>
      <c r="V130" s="64" t="s">
        <v>791</v>
      </c>
      <c r="W130" s="64" t="s">
        <v>792</v>
      </c>
      <c r="X130" s="64" t="s">
        <v>109</v>
      </c>
      <c r="Y130" s="79">
        <v>8.3333333333333329E-2</v>
      </c>
      <c r="Z130" s="64" t="s">
        <v>100</v>
      </c>
      <c r="AA130" s="64" t="s">
        <v>770</v>
      </c>
      <c r="AB130" s="87">
        <v>14633</v>
      </c>
      <c r="AC130" s="82" t="s">
        <v>793</v>
      </c>
      <c r="AD130" s="64" t="s">
        <v>159</v>
      </c>
      <c r="AE130" s="64" t="s">
        <v>781</v>
      </c>
      <c r="AF130" s="64">
        <v>35</v>
      </c>
      <c r="AG130" s="64" t="s">
        <v>57</v>
      </c>
      <c r="AH130" s="64" t="s">
        <v>93</v>
      </c>
      <c r="AI130" s="64" t="s">
        <v>59</v>
      </c>
      <c r="AJ130" s="64" t="s">
        <v>78</v>
      </c>
      <c r="AK130" s="68" t="s">
        <v>794</v>
      </c>
      <c r="AL130" s="65" t="s">
        <v>103</v>
      </c>
      <c r="AM130" s="65" t="s">
        <v>63</v>
      </c>
      <c r="AN130" s="65" t="s">
        <v>63</v>
      </c>
    </row>
    <row r="131" spans="1:40" s="66" customFormat="1" hidden="1" x14ac:dyDescent="0.25">
      <c r="A131" s="64">
        <v>2021</v>
      </c>
      <c r="B131" s="64" t="s">
        <v>703</v>
      </c>
      <c r="C131" s="64" t="s">
        <v>42</v>
      </c>
      <c r="D131" s="64" t="s">
        <v>795</v>
      </c>
      <c r="E131" s="64" t="s">
        <v>796</v>
      </c>
      <c r="F131" s="64" t="s">
        <v>45</v>
      </c>
      <c r="G131" s="64" t="s">
        <v>797</v>
      </c>
      <c r="H131" s="78">
        <v>39192</v>
      </c>
      <c r="I131" s="64">
        <f t="shared" si="8"/>
        <v>170</v>
      </c>
      <c r="J131" s="78">
        <v>44372</v>
      </c>
      <c r="K131" s="64" t="str">
        <f t="shared" si="9"/>
        <v>ANTIGUO</v>
      </c>
      <c r="L131" s="78">
        <v>44372</v>
      </c>
      <c r="M131" s="64"/>
      <c r="N131" s="64"/>
      <c r="O131" s="64">
        <v>1</v>
      </c>
      <c r="P131" s="64" t="s">
        <v>68</v>
      </c>
      <c r="Q131" s="64"/>
      <c r="R131" s="65"/>
      <c r="S131" s="64" t="s">
        <v>48</v>
      </c>
      <c r="T131" s="64" t="s">
        <v>266</v>
      </c>
      <c r="U131" s="64" t="s">
        <v>50</v>
      </c>
      <c r="V131" s="64" t="s">
        <v>266</v>
      </c>
      <c r="W131" s="64"/>
      <c r="X131" s="64" t="s">
        <v>87</v>
      </c>
      <c r="Y131" s="79">
        <v>0.80555555555555547</v>
      </c>
      <c r="Z131" s="64" t="s">
        <v>110</v>
      </c>
      <c r="AA131" s="64" t="s">
        <v>770</v>
      </c>
      <c r="AB131" s="87">
        <v>14634</v>
      </c>
      <c r="AC131" s="82" t="s">
        <v>798</v>
      </c>
      <c r="AD131" s="64" t="s">
        <v>55</v>
      </c>
      <c r="AE131" s="64" t="s">
        <v>56</v>
      </c>
      <c r="AF131" s="64">
        <v>40</v>
      </c>
      <c r="AG131" s="64" t="s">
        <v>140</v>
      </c>
      <c r="AH131" s="64" t="s">
        <v>123</v>
      </c>
      <c r="AI131" s="64" t="s">
        <v>94</v>
      </c>
      <c r="AJ131" s="64" t="s">
        <v>60</v>
      </c>
      <c r="AK131" s="68" t="s">
        <v>799</v>
      </c>
      <c r="AL131" s="65" t="s">
        <v>62</v>
      </c>
      <c r="AM131" s="65" t="s">
        <v>63</v>
      </c>
      <c r="AN131" s="65" t="s">
        <v>63</v>
      </c>
    </row>
    <row r="132" spans="1:40" s="66" customFormat="1" ht="15.75" hidden="1" x14ac:dyDescent="0.25">
      <c r="A132" s="64">
        <v>2021</v>
      </c>
      <c r="B132" s="64" t="s">
        <v>703</v>
      </c>
      <c r="C132" s="64" t="s">
        <v>42</v>
      </c>
      <c r="D132" s="233" t="s">
        <v>800</v>
      </c>
      <c r="E132" s="64" t="s">
        <v>801</v>
      </c>
      <c r="F132" s="64" t="s">
        <v>45</v>
      </c>
      <c r="G132" s="234" t="s">
        <v>802</v>
      </c>
      <c r="H132" s="78">
        <v>40277</v>
      </c>
      <c r="I132" s="64">
        <f t="shared" si="8"/>
        <v>134</v>
      </c>
      <c r="J132" s="78">
        <v>44377</v>
      </c>
      <c r="K132" s="64" t="str">
        <f t="shared" si="9"/>
        <v>ANTIGUO</v>
      </c>
      <c r="L132" s="78">
        <v>44348</v>
      </c>
      <c r="M132" s="64"/>
      <c r="N132" s="64"/>
      <c r="O132" s="64">
        <v>7</v>
      </c>
      <c r="P132" s="64" t="s">
        <v>68</v>
      </c>
      <c r="Q132" s="64"/>
      <c r="R132" s="65"/>
      <c r="S132" s="64" t="s">
        <v>118</v>
      </c>
      <c r="T132" s="64" t="s">
        <v>119</v>
      </c>
      <c r="U132" s="65" t="s">
        <v>803</v>
      </c>
      <c r="V132" s="64" t="s">
        <v>804</v>
      </c>
      <c r="W132" s="64" t="s">
        <v>71</v>
      </c>
      <c r="X132" s="64" t="s">
        <v>87</v>
      </c>
      <c r="Y132" s="79">
        <v>0.82986111111111116</v>
      </c>
      <c r="Z132" s="64" t="s">
        <v>88</v>
      </c>
      <c r="AA132" s="64" t="s">
        <v>805</v>
      </c>
      <c r="AB132" s="87">
        <v>14629</v>
      </c>
      <c r="AC132" s="82" t="s">
        <v>806</v>
      </c>
      <c r="AD132" s="64" t="s">
        <v>783</v>
      </c>
      <c r="AE132" s="64" t="s">
        <v>198</v>
      </c>
      <c r="AF132" s="64">
        <v>74</v>
      </c>
      <c r="AG132" s="64" t="s">
        <v>328</v>
      </c>
      <c r="AH132" s="64" t="s">
        <v>149</v>
      </c>
      <c r="AI132" s="64" t="s">
        <v>94</v>
      </c>
      <c r="AJ132" s="64" t="s">
        <v>199</v>
      </c>
      <c r="AK132" s="1" t="s">
        <v>807</v>
      </c>
      <c r="AL132" s="65" t="s">
        <v>62</v>
      </c>
      <c r="AM132" s="65" t="s">
        <v>63</v>
      </c>
      <c r="AN132" s="65" t="s">
        <v>63</v>
      </c>
    </row>
    <row r="133" spans="1:40" s="66" customFormat="1" hidden="1" x14ac:dyDescent="0.25">
      <c r="A133" s="64">
        <v>2021</v>
      </c>
      <c r="B133" s="64" t="s">
        <v>703</v>
      </c>
      <c r="C133" s="64" t="s">
        <v>42</v>
      </c>
      <c r="D133" s="36" t="s">
        <v>808</v>
      </c>
      <c r="E133" s="64" t="s">
        <v>645</v>
      </c>
      <c r="F133" s="64" t="s">
        <v>45</v>
      </c>
      <c r="G133" s="36" t="s">
        <v>809</v>
      </c>
      <c r="H133" s="11">
        <v>44312</v>
      </c>
      <c r="I133" s="64">
        <f t="shared" si="8"/>
        <v>2</v>
      </c>
      <c r="J133" s="78">
        <v>44377</v>
      </c>
      <c r="K133" s="64" t="str">
        <f t="shared" si="9"/>
        <v>NUEVO</v>
      </c>
      <c r="L133" s="64"/>
      <c r="M133" s="64"/>
      <c r="N133" s="64"/>
      <c r="O133" s="64">
        <v>0</v>
      </c>
      <c r="P133" s="64" t="s">
        <v>47</v>
      </c>
      <c r="Q133" s="64"/>
      <c r="R133" s="65"/>
      <c r="S133" s="64" t="s">
        <v>107</v>
      </c>
      <c r="T133" s="36" t="s">
        <v>810</v>
      </c>
      <c r="U133" s="64"/>
      <c r="V133" s="64" t="s">
        <v>811</v>
      </c>
      <c r="W133" s="64" t="s">
        <v>71</v>
      </c>
      <c r="X133" s="64" t="s">
        <v>87</v>
      </c>
      <c r="Y133" s="79">
        <v>0.86805555555555547</v>
      </c>
      <c r="Z133" s="64" t="s">
        <v>88</v>
      </c>
      <c r="AA133" s="64" t="s">
        <v>805</v>
      </c>
      <c r="AB133" s="65"/>
      <c r="AC133" s="82"/>
      <c r="AD133" s="64" t="s">
        <v>111</v>
      </c>
      <c r="AE133" s="64" t="s">
        <v>812</v>
      </c>
      <c r="AF133" s="64">
        <v>18</v>
      </c>
      <c r="AG133" s="64" t="s">
        <v>328</v>
      </c>
      <c r="AH133" s="64" t="s">
        <v>58</v>
      </c>
      <c r="AI133" s="64" t="s">
        <v>94</v>
      </c>
      <c r="AJ133" s="64" t="s">
        <v>199</v>
      </c>
      <c r="AK133" s="68" t="s">
        <v>813</v>
      </c>
      <c r="AL133" s="65" t="s">
        <v>62</v>
      </c>
      <c r="AM133" s="65" t="s">
        <v>63</v>
      </c>
      <c r="AN133" s="65" t="s">
        <v>64</v>
      </c>
    </row>
    <row r="134" spans="1:40" s="66" customFormat="1" hidden="1" x14ac:dyDescent="0.25">
      <c r="A134" s="64">
        <v>2021</v>
      </c>
      <c r="B134" s="64" t="s">
        <v>814</v>
      </c>
      <c r="C134" s="64" t="s">
        <v>42</v>
      </c>
      <c r="D134" s="64" t="s">
        <v>815</v>
      </c>
      <c r="E134" s="64" t="s">
        <v>816</v>
      </c>
      <c r="F134" s="64" t="s">
        <v>45</v>
      </c>
      <c r="G134" s="64" t="s">
        <v>817</v>
      </c>
      <c r="H134" s="78">
        <v>44326</v>
      </c>
      <c r="I134" s="64">
        <f t="shared" si="8"/>
        <v>1</v>
      </c>
      <c r="J134" s="78">
        <v>44378</v>
      </c>
      <c r="K134" s="64" t="str">
        <f t="shared" si="9"/>
        <v>NUEVO</v>
      </c>
      <c r="L134" s="64"/>
      <c r="M134" s="64"/>
      <c r="N134" s="64"/>
      <c r="O134" s="64">
        <v>0</v>
      </c>
      <c r="P134" s="64" t="s">
        <v>47</v>
      </c>
      <c r="Q134" s="64"/>
      <c r="R134" s="65"/>
      <c r="S134" s="64" t="s">
        <v>118</v>
      </c>
      <c r="T134" s="64" t="s">
        <v>130</v>
      </c>
      <c r="U134" s="64" t="s">
        <v>453</v>
      </c>
      <c r="V134" s="64" t="s">
        <v>818</v>
      </c>
      <c r="W134" s="64" t="s">
        <v>1543</v>
      </c>
      <c r="X134" s="64" t="s">
        <v>52</v>
      </c>
      <c r="Y134" s="79">
        <v>0.4375</v>
      </c>
      <c r="Z134" s="64" t="s">
        <v>100</v>
      </c>
      <c r="AA134" s="64" t="s">
        <v>805</v>
      </c>
      <c r="AB134" s="65"/>
      <c r="AC134" s="82"/>
      <c r="AD134" s="64" t="s">
        <v>783</v>
      </c>
      <c r="AE134" s="64" t="s">
        <v>280</v>
      </c>
      <c r="AF134" s="64">
        <v>23</v>
      </c>
      <c r="AG134" s="64" t="s">
        <v>57</v>
      </c>
      <c r="AH134" s="64" t="s">
        <v>419</v>
      </c>
      <c r="AI134" s="64" t="s">
        <v>59</v>
      </c>
      <c r="AJ134" s="64" t="s">
        <v>60</v>
      </c>
      <c r="AK134" s="1" t="s">
        <v>1538</v>
      </c>
      <c r="AL134" s="65" t="s">
        <v>62</v>
      </c>
      <c r="AM134" s="65" t="s">
        <v>63</v>
      </c>
      <c r="AN134" s="65" t="s">
        <v>64</v>
      </c>
    </row>
    <row r="135" spans="1:40" s="100" customFormat="1" hidden="1" x14ac:dyDescent="0.25">
      <c r="A135" s="65">
        <v>2021</v>
      </c>
      <c r="B135" s="65" t="s">
        <v>814</v>
      </c>
      <c r="C135" s="65" t="s">
        <v>42</v>
      </c>
      <c r="D135" s="45" t="s">
        <v>819</v>
      </c>
      <c r="E135" s="65" t="s">
        <v>820</v>
      </c>
      <c r="F135" s="65" t="s">
        <v>45</v>
      </c>
      <c r="G135" s="65" t="s">
        <v>821</v>
      </c>
      <c r="H135" s="231">
        <v>44298</v>
      </c>
      <c r="I135" s="64">
        <f t="shared" ref="I135:I166" si="10">DATEDIF(H135,J135,"m")</f>
        <v>2</v>
      </c>
      <c r="J135" s="231">
        <v>44383</v>
      </c>
      <c r="K135" s="64" t="str">
        <f t="shared" ref="K135:K166" si="11">IF(I135&lt;=18,"NUEVO",IF(I135&lt;=36,"INTERMEDIO","ANTIGUO"))</f>
        <v>NUEVO</v>
      </c>
      <c r="L135" s="65"/>
      <c r="M135" s="65"/>
      <c r="N135" s="65"/>
      <c r="O135" s="65">
        <v>0</v>
      </c>
      <c r="P135" s="65" t="s">
        <v>47</v>
      </c>
      <c r="Q135" s="65"/>
      <c r="R135" s="65"/>
      <c r="S135" s="65" t="s">
        <v>107</v>
      </c>
      <c r="T135" s="65" t="s">
        <v>822</v>
      </c>
      <c r="U135" s="45" t="s">
        <v>660</v>
      </c>
      <c r="V135" s="65" t="s">
        <v>823</v>
      </c>
      <c r="W135" s="65" t="s">
        <v>71</v>
      </c>
      <c r="X135" s="65" t="s">
        <v>87</v>
      </c>
      <c r="Y135" s="232">
        <v>0.70833333333333337</v>
      </c>
      <c r="Z135" s="65" t="s">
        <v>72</v>
      </c>
      <c r="AA135" s="64" t="s">
        <v>824</v>
      </c>
      <c r="AB135" s="65"/>
      <c r="AC135" s="230"/>
      <c r="AD135" s="65" t="s">
        <v>111</v>
      </c>
      <c r="AE135" s="65" t="s">
        <v>178</v>
      </c>
      <c r="AF135" s="65">
        <v>18</v>
      </c>
      <c r="AG135" s="65" t="s">
        <v>140</v>
      </c>
      <c r="AH135" s="65" t="s">
        <v>123</v>
      </c>
      <c r="AI135" s="65" t="s">
        <v>559</v>
      </c>
      <c r="AJ135" s="65" t="s">
        <v>125</v>
      </c>
      <c r="AK135" s="1" t="s">
        <v>825</v>
      </c>
      <c r="AL135" s="65" t="s">
        <v>62</v>
      </c>
      <c r="AM135" s="65" t="s">
        <v>63</v>
      </c>
      <c r="AN135" s="65" t="s">
        <v>64</v>
      </c>
    </row>
    <row r="136" spans="1:40" s="66" customFormat="1" hidden="1" x14ac:dyDescent="0.25">
      <c r="A136" s="64">
        <v>2021</v>
      </c>
      <c r="B136" s="64" t="s">
        <v>814</v>
      </c>
      <c r="C136" s="64" t="s">
        <v>42</v>
      </c>
      <c r="D136" s="35" t="s">
        <v>826</v>
      </c>
      <c r="E136" s="235" t="s">
        <v>827</v>
      </c>
      <c r="F136" s="64" t="s">
        <v>116</v>
      </c>
      <c r="G136" s="36" t="s">
        <v>828</v>
      </c>
      <c r="H136" s="78">
        <v>44242</v>
      </c>
      <c r="I136" s="64">
        <f t="shared" si="10"/>
        <v>4</v>
      </c>
      <c r="J136" s="78">
        <v>44383</v>
      </c>
      <c r="K136" s="64" t="str">
        <f t="shared" si="11"/>
        <v>NUEVO</v>
      </c>
      <c r="L136" s="64"/>
      <c r="M136" s="64"/>
      <c r="N136" s="64"/>
      <c r="O136" s="64">
        <v>0</v>
      </c>
      <c r="P136" s="64" t="s">
        <v>47</v>
      </c>
      <c r="Q136" s="64"/>
      <c r="R136" s="65"/>
      <c r="S136" s="64" t="s">
        <v>118</v>
      </c>
      <c r="T136" s="64" t="s">
        <v>130</v>
      </c>
      <c r="U136" s="65" t="s">
        <v>453</v>
      </c>
      <c r="V136" s="64" t="s">
        <v>130</v>
      </c>
      <c r="W136" s="64" t="s">
        <v>829</v>
      </c>
      <c r="X136" s="64" t="s">
        <v>87</v>
      </c>
      <c r="Y136" s="79">
        <v>0.95138888888888884</v>
      </c>
      <c r="Z136" s="64" t="s">
        <v>72</v>
      </c>
      <c r="AA136" s="64" t="s">
        <v>824</v>
      </c>
      <c r="AB136" s="65"/>
      <c r="AC136" s="82"/>
      <c r="AD136" s="64" t="s">
        <v>783</v>
      </c>
      <c r="AE136" s="64" t="s">
        <v>280</v>
      </c>
      <c r="AF136" s="64">
        <v>46</v>
      </c>
      <c r="AG136" s="64" t="s">
        <v>92</v>
      </c>
      <c r="AH136" s="64" t="s">
        <v>58</v>
      </c>
      <c r="AI136" s="64" t="s">
        <v>59</v>
      </c>
      <c r="AJ136" s="64" t="s">
        <v>60</v>
      </c>
      <c r="AK136" s="210" t="s">
        <v>830</v>
      </c>
      <c r="AL136" s="65" t="s">
        <v>62</v>
      </c>
      <c r="AM136" s="65" t="s">
        <v>63</v>
      </c>
      <c r="AN136" s="65" t="s">
        <v>64</v>
      </c>
    </row>
    <row r="137" spans="1:40" s="66" customFormat="1" hidden="1" x14ac:dyDescent="0.25">
      <c r="A137" s="64">
        <v>2021</v>
      </c>
      <c r="B137" s="64" t="s">
        <v>814</v>
      </c>
      <c r="C137" s="64" t="s">
        <v>42</v>
      </c>
      <c r="D137" s="45" t="s">
        <v>831</v>
      </c>
      <c r="E137" s="65" t="s">
        <v>832</v>
      </c>
      <c r="F137" s="64" t="s">
        <v>45</v>
      </c>
      <c r="G137" s="64" t="s">
        <v>833</v>
      </c>
      <c r="H137" s="11">
        <v>43640</v>
      </c>
      <c r="I137" s="64">
        <f t="shared" si="10"/>
        <v>24</v>
      </c>
      <c r="J137" s="78">
        <v>44384</v>
      </c>
      <c r="K137" s="64" t="str">
        <f t="shared" si="11"/>
        <v>INTERMEDIO</v>
      </c>
      <c r="L137" s="64"/>
      <c r="M137" s="64"/>
      <c r="N137" s="64"/>
      <c r="O137" s="64">
        <v>0</v>
      </c>
      <c r="P137" s="64" t="s">
        <v>47</v>
      </c>
      <c r="Q137" s="64" t="s">
        <v>195</v>
      </c>
      <c r="R137" s="65" t="s">
        <v>564</v>
      </c>
      <c r="S137" s="64" t="s">
        <v>48</v>
      </c>
      <c r="T137" s="64" t="s">
        <v>49</v>
      </c>
      <c r="U137" s="45" t="s">
        <v>741</v>
      </c>
      <c r="V137" s="64" t="s">
        <v>49</v>
      </c>
      <c r="W137" s="64" t="s">
        <v>834</v>
      </c>
      <c r="X137" s="64" t="s">
        <v>52</v>
      </c>
      <c r="Y137" s="79">
        <v>0.25</v>
      </c>
      <c r="Z137" s="64" t="s">
        <v>100</v>
      </c>
      <c r="AA137" s="64" t="s">
        <v>824</v>
      </c>
      <c r="AB137" s="65"/>
      <c r="AC137" s="82"/>
      <c r="AD137" s="64" t="s">
        <v>55</v>
      </c>
      <c r="AE137" s="64" t="s">
        <v>835</v>
      </c>
      <c r="AF137" s="64">
        <v>49</v>
      </c>
      <c r="AG137" s="64" t="s">
        <v>57</v>
      </c>
      <c r="AH137" s="64" t="s">
        <v>58</v>
      </c>
      <c r="AI137" s="64" t="s">
        <v>59</v>
      </c>
      <c r="AJ137" s="64" t="s">
        <v>462</v>
      </c>
      <c r="AK137" s="236" t="s">
        <v>836</v>
      </c>
      <c r="AL137" s="65" t="s">
        <v>62</v>
      </c>
      <c r="AM137" s="65" t="s">
        <v>63</v>
      </c>
      <c r="AN137" s="65" t="s">
        <v>64</v>
      </c>
    </row>
    <row r="138" spans="1:40" s="66" customFormat="1" hidden="1" x14ac:dyDescent="0.25">
      <c r="A138" s="64">
        <v>2021</v>
      </c>
      <c r="B138" s="64" t="s">
        <v>814</v>
      </c>
      <c r="C138" s="64" t="s">
        <v>42</v>
      </c>
      <c r="D138" s="45" t="s">
        <v>837</v>
      </c>
      <c r="E138" s="64" t="s">
        <v>838</v>
      </c>
      <c r="F138" s="64" t="s">
        <v>45</v>
      </c>
      <c r="G138" s="64" t="s">
        <v>839</v>
      </c>
      <c r="H138" s="11">
        <v>41477</v>
      </c>
      <c r="I138" s="64">
        <f t="shared" si="10"/>
        <v>95</v>
      </c>
      <c r="J138" s="78">
        <v>44385</v>
      </c>
      <c r="K138" s="64" t="str">
        <f t="shared" si="11"/>
        <v>ANTIGUO</v>
      </c>
      <c r="L138" s="64"/>
      <c r="M138" s="64"/>
      <c r="N138" s="64"/>
      <c r="O138" s="64">
        <v>0</v>
      </c>
      <c r="P138" s="64" t="s">
        <v>47</v>
      </c>
      <c r="Q138" s="64"/>
      <c r="R138" s="65"/>
      <c r="S138" s="64" t="s">
        <v>156</v>
      </c>
      <c r="T138" s="64" t="s">
        <v>596</v>
      </c>
      <c r="U138" s="64" t="s">
        <v>597</v>
      </c>
      <c r="V138" s="64" t="s">
        <v>266</v>
      </c>
      <c r="W138" s="64" t="s">
        <v>71</v>
      </c>
      <c r="X138" s="64" t="s">
        <v>109</v>
      </c>
      <c r="Y138" s="79">
        <v>9.375E-2</v>
      </c>
      <c r="Z138" s="64" t="s">
        <v>110</v>
      </c>
      <c r="AA138" s="64" t="s">
        <v>824</v>
      </c>
      <c r="AB138" s="65"/>
      <c r="AC138" s="82"/>
      <c r="AD138" s="64" t="s">
        <v>159</v>
      </c>
      <c r="AE138" s="64" t="s">
        <v>694</v>
      </c>
      <c r="AF138" s="64">
        <v>30</v>
      </c>
      <c r="AG138" s="64" t="s">
        <v>559</v>
      </c>
      <c r="AH138" s="64" t="s">
        <v>149</v>
      </c>
      <c r="AI138" s="64" t="s">
        <v>59</v>
      </c>
      <c r="AJ138" s="64" t="s">
        <v>134</v>
      </c>
      <c r="AK138" s="68" t="s">
        <v>840</v>
      </c>
      <c r="AL138" s="65" t="s">
        <v>103</v>
      </c>
      <c r="AM138" s="65" t="s">
        <v>63</v>
      </c>
      <c r="AN138" s="65" t="s">
        <v>64</v>
      </c>
    </row>
    <row r="139" spans="1:40" s="66" customFormat="1" hidden="1" x14ac:dyDescent="0.25">
      <c r="A139" s="64">
        <v>2021</v>
      </c>
      <c r="B139" s="64" t="s">
        <v>814</v>
      </c>
      <c r="C139" s="64" t="s">
        <v>42</v>
      </c>
      <c r="D139" s="45" t="s">
        <v>841</v>
      </c>
      <c r="E139" s="64" t="s">
        <v>842</v>
      </c>
      <c r="F139" s="64" t="s">
        <v>45</v>
      </c>
      <c r="G139" s="64" t="s">
        <v>843</v>
      </c>
      <c r="H139" s="11">
        <v>44312</v>
      </c>
      <c r="I139" s="64">
        <f t="shared" si="10"/>
        <v>2</v>
      </c>
      <c r="J139" s="78">
        <v>44385</v>
      </c>
      <c r="K139" s="64" t="str">
        <f t="shared" si="11"/>
        <v>NUEVO</v>
      </c>
      <c r="L139" s="64"/>
      <c r="M139" s="64"/>
      <c r="N139" s="64"/>
      <c r="O139" s="64">
        <v>0</v>
      </c>
      <c r="P139" s="64" t="s">
        <v>47</v>
      </c>
      <c r="Q139" s="64"/>
      <c r="R139" s="65"/>
      <c r="S139" s="64" t="s">
        <v>107</v>
      </c>
      <c r="T139" s="64" t="s">
        <v>570</v>
      </c>
      <c r="U139" s="64" t="s">
        <v>660</v>
      </c>
      <c r="V139" s="64" t="s">
        <v>823</v>
      </c>
      <c r="W139" s="64"/>
      <c r="X139" s="64" t="s">
        <v>52</v>
      </c>
      <c r="Y139" s="79">
        <v>0.375</v>
      </c>
      <c r="Z139" s="64" t="s">
        <v>110</v>
      </c>
      <c r="AA139" s="64" t="s">
        <v>824</v>
      </c>
      <c r="AB139" s="65"/>
      <c r="AC139" s="82"/>
      <c r="AD139" s="64" t="s">
        <v>111</v>
      </c>
      <c r="AE139" s="6" t="s">
        <v>112</v>
      </c>
      <c r="AF139" s="64">
        <v>18</v>
      </c>
      <c r="AG139" s="64" t="s">
        <v>328</v>
      </c>
      <c r="AH139" s="64" t="s">
        <v>58</v>
      </c>
      <c r="AI139" s="64" t="s">
        <v>94</v>
      </c>
      <c r="AJ139" s="64" t="s">
        <v>199</v>
      </c>
      <c r="AK139" s="68" t="s">
        <v>844</v>
      </c>
      <c r="AL139" s="65" t="s">
        <v>62</v>
      </c>
      <c r="AM139" s="65" t="s">
        <v>63</v>
      </c>
      <c r="AN139" s="65" t="s">
        <v>64</v>
      </c>
    </row>
    <row r="140" spans="1:40" s="66" customFormat="1" hidden="1" x14ac:dyDescent="0.25">
      <c r="A140" s="64">
        <v>2021</v>
      </c>
      <c r="B140" s="64" t="s">
        <v>814</v>
      </c>
      <c r="C140" s="64" t="s">
        <v>42</v>
      </c>
      <c r="D140" s="64" t="s">
        <v>845</v>
      </c>
      <c r="E140" s="253" t="s">
        <v>846</v>
      </c>
      <c r="F140" s="64" t="s">
        <v>116</v>
      </c>
      <c r="G140" s="64" t="s">
        <v>847</v>
      </c>
      <c r="H140" s="78">
        <v>43998</v>
      </c>
      <c r="I140" s="64">
        <f t="shared" si="10"/>
        <v>12</v>
      </c>
      <c r="J140" s="78">
        <v>44389</v>
      </c>
      <c r="K140" s="64" t="str">
        <f t="shared" si="11"/>
        <v>NUEVO</v>
      </c>
      <c r="L140" s="78">
        <v>44389</v>
      </c>
      <c r="M140" s="78">
        <v>44389</v>
      </c>
      <c r="N140" s="64"/>
      <c r="O140" s="64">
        <v>0</v>
      </c>
      <c r="P140" s="64" t="s">
        <v>47</v>
      </c>
      <c r="Q140" s="64"/>
      <c r="R140" s="65"/>
      <c r="S140" s="64" t="s">
        <v>156</v>
      </c>
      <c r="T140" s="64" t="s">
        <v>156</v>
      </c>
      <c r="U140" s="64" t="s">
        <v>790</v>
      </c>
      <c r="V140" s="64" t="s">
        <v>353</v>
      </c>
      <c r="W140" s="64" t="s">
        <v>71</v>
      </c>
      <c r="X140" s="64" t="s">
        <v>109</v>
      </c>
      <c r="Y140" s="79">
        <v>0.13541666666666666</v>
      </c>
      <c r="Z140" s="64" t="s">
        <v>53</v>
      </c>
      <c r="AA140" s="64" t="s">
        <v>848</v>
      </c>
      <c r="AB140" s="87">
        <v>14644</v>
      </c>
      <c r="AC140" s="82" t="s">
        <v>849</v>
      </c>
      <c r="AD140" s="64" t="s">
        <v>159</v>
      </c>
      <c r="AE140" s="64" t="s">
        <v>694</v>
      </c>
      <c r="AF140" s="64">
        <v>26</v>
      </c>
      <c r="AG140" s="64" t="s">
        <v>132</v>
      </c>
      <c r="AH140" s="64" t="s">
        <v>58</v>
      </c>
      <c r="AI140" s="64" t="s">
        <v>59</v>
      </c>
      <c r="AJ140" s="64" t="s">
        <v>134</v>
      </c>
      <c r="AK140" s="68" t="s">
        <v>850</v>
      </c>
      <c r="AL140" s="65" t="s">
        <v>103</v>
      </c>
      <c r="AM140" s="65" t="s">
        <v>63</v>
      </c>
      <c r="AN140" s="65" t="s">
        <v>63</v>
      </c>
    </row>
    <row r="141" spans="1:40" s="66" customFormat="1" hidden="1" x14ac:dyDescent="0.25">
      <c r="A141" s="64">
        <v>2021</v>
      </c>
      <c r="B141" s="64" t="s">
        <v>814</v>
      </c>
      <c r="C141" s="64" t="s">
        <v>42</v>
      </c>
      <c r="D141" s="45" t="s">
        <v>851</v>
      </c>
      <c r="E141" s="253" t="s">
        <v>852</v>
      </c>
      <c r="F141" s="64" t="s">
        <v>45</v>
      </c>
      <c r="G141" s="64" t="s">
        <v>569</v>
      </c>
      <c r="H141" s="11">
        <v>42933</v>
      </c>
      <c r="I141" s="64">
        <f t="shared" si="10"/>
        <v>47</v>
      </c>
      <c r="J141" s="78">
        <v>44386</v>
      </c>
      <c r="K141" s="64" t="str">
        <f t="shared" si="11"/>
        <v>ANTIGUO</v>
      </c>
      <c r="L141" s="78">
        <v>44391</v>
      </c>
      <c r="M141" s="78">
        <v>44391</v>
      </c>
      <c r="N141" s="64"/>
      <c r="O141" s="64">
        <v>0</v>
      </c>
      <c r="P141" s="64" t="s">
        <v>47</v>
      </c>
      <c r="Q141" s="64" t="s">
        <v>195</v>
      </c>
      <c r="R141" s="65" t="s">
        <v>564</v>
      </c>
      <c r="S141" s="64" t="s">
        <v>107</v>
      </c>
      <c r="T141" s="64" t="s">
        <v>822</v>
      </c>
      <c r="U141" s="45" t="s">
        <v>447</v>
      </c>
      <c r="V141" s="64" t="s">
        <v>822</v>
      </c>
      <c r="W141" s="64" t="s">
        <v>853</v>
      </c>
      <c r="X141" s="64" t="s">
        <v>52</v>
      </c>
      <c r="Y141" s="79">
        <v>0.25</v>
      </c>
      <c r="Z141" s="64" t="s">
        <v>110</v>
      </c>
      <c r="AA141" s="64" t="s">
        <v>824</v>
      </c>
      <c r="AB141" s="87">
        <v>14646</v>
      </c>
      <c r="AC141" s="82" t="s">
        <v>854</v>
      </c>
      <c r="AD141" s="64" t="s">
        <v>111</v>
      </c>
      <c r="AE141" s="36" t="s">
        <v>112</v>
      </c>
      <c r="AF141" s="64">
        <v>27</v>
      </c>
      <c r="AG141" s="64" t="s">
        <v>57</v>
      </c>
      <c r="AH141" s="64" t="s">
        <v>58</v>
      </c>
      <c r="AI141" s="64" t="s">
        <v>461</v>
      </c>
      <c r="AJ141" s="64" t="s">
        <v>462</v>
      </c>
      <c r="AK141" t="s">
        <v>855</v>
      </c>
      <c r="AL141" s="65" t="s">
        <v>62</v>
      </c>
      <c r="AM141" s="65" t="s">
        <v>63</v>
      </c>
      <c r="AN141" s="65" t="s">
        <v>63</v>
      </c>
    </row>
    <row r="142" spans="1:40" s="66" customFormat="1" ht="15.75" hidden="1" x14ac:dyDescent="0.25">
      <c r="A142" s="64">
        <v>2021</v>
      </c>
      <c r="B142" s="64" t="s">
        <v>814</v>
      </c>
      <c r="C142" s="64" t="s">
        <v>42</v>
      </c>
      <c r="D142" s="103" t="s">
        <v>856</v>
      </c>
      <c r="E142" s="254" t="s">
        <v>857</v>
      </c>
      <c r="F142" s="64" t="s">
        <v>45</v>
      </c>
      <c r="G142" s="45" t="s">
        <v>858</v>
      </c>
      <c r="H142" s="11">
        <v>43984</v>
      </c>
      <c r="I142" s="64">
        <f t="shared" si="10"/>
        <v>13</v>
      </c>
      <c r="J142" s="78">
        <v>44390</v>
      </c>
      <c r="K142" s="64" t="str">
        <f t="shared" si="11"/>
        <v>NUEVO</v>
      </c>
      <c r="L142" s="78">
        <v>44391</v>
      </c>
      <c r="M142" s="78">
        <v>44391</v>
      </c>
      <c r="N142" s="64"/>
      <c r="O142" s="64">
        <v>0</v>
      </c>
      <c r="P142" s="64" t="s">
        <v>47</v>
      </c>
      <c r="Q142" s="64"/>
      <c r="R142" s="65"/>
      <c r="S142" s="64" t="s">
        <v>83</v>
      </c>
      <c r="T142" s="64" t="s">
        <v>859</v>
      </c>
      <c r="U142" s="45" t="s">
        <v>395</v>
      </c>
      <c r="V142" s="64" t="s">
        <v>860</v>
      </c>
      <c r="W142" s="64" t="s">
        <v>71</v>
      </c>
      <c r="X142" s="64" t="s">
        <v>87</v>
      </c>
      <c r="Y142" s="79">
        <v>0.84375</v>
      </c>
      <c r="Z142" s="64" t="s">
        <v>72</v>
      </c>
      <c r="AA142" s="64" t="s">
        <v>848</v>
      </c>
      <c r="AB142" s="87">
        <v>14645</v>
      </c>
      <c r="AC142" s="82" t="s">
        <v>861</v>
      </c>
      <c r="AD142" s="64" t="s">
        <v>74</v>
      </c>
      <c r="AE142" s="64" t="s">
        <v>356</v>
      </c>
      <c r="AF142" s="64">
        <v>35</v>
      </c>
      <c r="AG142" s="64" t="s">
        <v>140</v>
      </c>
      <c r="AH142" s="64" t="s">
        <v>123</v>
      </c>
      <c r="AI142" s="64" t="s">
        <v>59</v>
      </c>
      <c r="AJ142" s="64" t="s">
        <v>60</v>
      </c>
      <c r="AK142" s="68" t="s">
        <v>862</v>
      </c>
      <c r="AL142" s="65" t="s">
        <v>62</v>
      </c>
      <c r="AM142" s="65" t="s">
        <v>63</v>
      </c>
      <c r="AN142" s="65" t="s">
        <v>63</v>
      </c>
    </row>
    <row r="143" spans="1:40" s="66" customFormat="1" hidden="1" x14ac:dyDescent="0.25">
      <c r="A143" s="64">
        <v>2021</v>
      </c>
      <c r="B143" s="64" t="s">
        <v>814</v>
      </c>
      <c r="C143" s="64" t="s">
        <v>42</v>
      </c>
      <c r="D143" s="64" t="s">
        <v>318</v>
      </c>
      <c r="E143" s="64" t="s">
        <v>863</v>
      </c>
      <c r="F143" s="64" t="s">
        <v>116</v>
      </c>
      <c r="G143" s="64" t="s">
        <v>864</v>
      </c>
      <c r="H143" s="78">
        <v>44377</v>
      </c>
      <c r="I143" s="64">
        <f t="shared" si="10"/>
        <v>0</v>
      </c>
      <c r="J143" s="78">
        <v>44391</v>
      </c>
      <c r="K143" s="64" t="str">
        <f t="shared" si="11"/>
        <v>NUEVO</v>
      </c>
      <c r="L143" s="64"/>
      <c r="M143" s="64"/>
      <c r="N143" s="64"/>
      <c r="O143" s="64">
        <v>0</v>
      </c>
      <c r="P143" s="64" t="s">
        <v>47</v>
      </c>
      <c r="Q143" s="64"/>
      <c r="R143" s="65"/>
      <c r="S143" s="64" t="s">
        <v>118</v>
      </c>
      <c r="T143" s="64" t="s">
        <v>130</v>
      </c>
      <c r="U143" s="64"/>
      <c r="V143" s="64"/>
      <c r="W143" s="64"/>
      <c r="X143" s="64" t="s">
        <v>87</v>
      </c>
      <c r="Y143" s="79">
        <v>0.70833333333333337</v>
      </c>
      <c r="Z143" s="64" t="s">
        <v>88</v>
      </c>
      <c r="AA143" s="64" t="s">
        <v>848</v>
      </c>
      <c r="AB143" s="65"/>
      <c r="AC143" s="82"/>
      <c r="AD143" s="64" t="s">
        <v>783</v>
      </c>
      <c r="AE143" s="64" t="s">
        <v>198</v>
      </c>
      <c r="AF143" s="64">
        <v>35</v>
      </c>
      <c r="AG143" s="64" t="s">
        <v>122</v>
      </c>
      <c r="AH143" s="64" t="s">
        <v>123</v>
      </c>
      <c r="AI143" s="64" t="s">
        <v>498</v>
      </c>
      <c r="AJ143" s="64" t="s">
        <v>125</v>
      </c>
      <c r="AK143" s="68" t="s">
        <v>865</v>
      </c>
      <c r="AL143" s="65" t="s">
        <v>103</v>
      </c>
      <c r="AM143" s="65" t="s">
        <v>63</v>
      </c>
      <c r="AN143" s="65" t="s">
        <v>64</v>
      </c>
    </row>
    <row r="144" spans="1:40" s="66" customFormat="1" hidden="1" x14ac:dyDescent="0.25">
      <c r="A144" s="64">
        <v>2021</v>
      </c>
      <c r="B144" s="64" t="s">
        <v>814</v>
      </c>
      <c r="C144" s="64" t="s">
        <v>42</v>
      </c>
      <c r="D144" s="64" t="s">
        <v>648</v>
      </c>
      <c r="E144" s="64" t="s">
        <v>866</v>
      </c>
      <c r="F144" s="64" t="s">
        <v>45</v>
      </c>
      <c r="G144" s="64" t="s">
        <v>867</v>
      </c>
      <c r="H144" s="78">
        <v>43467</v>
      </c>
      <c r="I144" s="64">
        <f t="shared" si="10"/>
        <v>30</v>
      </c>
      <c r="J144" s="78">
        <v>44392</v>
      </c>
      <c r="K144" s="64" t="str">
        <f t="shared" si="11"/>
        <v>INTERMEDIO</v>
      </c>
      <c r="L144" s="64"/>
      <c r="M144" s="64"/>
      <c r="N144" s="64"/>
      <c r="O144" s="64">
        <v>0</v>
      </c>
      <c r="P144" s="64" t="s">
        <v>47</v>
      </c>
      <c r="Q144" s="64"/>
      <c r="R144" s="65"/>
      <c r="S144" s="64" t="s">
        <v>107</v>
      </c>
      <c r="T144" s="64" t="s">
        <v>374</v>
      </c>
      <c r="U144" s="64" t="s">
        <v>552</v>
      </c>
      <c r="V144" s="64" t="s">
        <v>868</v>
      </c>
      <c r="W144" s="64" t="s">
        <v>71</v>
      </c>
      <c r="X144" s="64" t="s">
        <v>87</v>
      </c>
      <c r="Y144" s="79">
        <v>0.60763888888888895</v>
      </c>
      <c r="Z144" s="64" t="s">
        <v>100</v>
      </c>
      <c r="AA144" s="64" t="s">
        <v>848</v>
      </c>
      <c r="AB144" s="65"/>
      <c r="AC144" s="82"/>
      <c r="AD144" s="64" t="s">
        <v>111</v>
      </c>
      <c r="AE144" s="64" t="s">
        <v>298</v>
      </c>
      <c r="AF144" s="64">
        <v>35</v>
      </c>
      <c r="AG144" s="64" t="s">
        <v>76</v>
      </c>
      <c r="AH144" s="64" t="s">
        <v>102</v>
      </c>
      <c r="AI144" s="64" t="s">
        <v>59</v>
      </c>
      <c r="AJ144" s="64" t="s">
        <v>60</v>
      </c>
      <c r="AK144" s="68" t="s">
        <v>869</v>
      </c>
      <c r="AL144" s="65" t="s">
        <v>103</v>
      </c>
      <c r="AM144" s="65" t="s">
        <v>63</v>
      </c>
      <c r="AN144" s="65" t="s">
        <v>64</v>
      </c>
    </row>
    <row r="145" spans="1:40" s="66" customFormat="1" hidden="1" x14ac:dyDescent="0.25">
      <c r="A145" s="64">
        <v>2021</v>
      </c>
      <c r="B145" s="64" t="s">
        <v>814</v>
      </c>
      <c r="C145" s="64" t="s">
        <v>42</v>
      </c>
      <c r="D145" s="64" t="s">
        <v>870</v>
      </c>
      <c r="E145" s="64" t="s">
        <v>871</v>
      </c>
      <c r="F145" s="64" t="s">
        <v>45</v>
      </c>
      <c r="G145" s="64" t="s">
        <v>872</v>
      </c>
      <c r="H145" s="78">
        <v>44333</v>
      </c>
      <c r="I145" s="64">
        <f t="shared" si="10"/>
        <v>1</v>
      </c>
      <c r="J145" s="78">
        <v>44393</v>
      </c>
      <c r="K145" s="64" t="str">
        <f t="shared" si="11"/>
        <v>NUEVO</v>
      </c>
      <c r="L145" s="64"/>
      <c r="M145" s="64"/>
      <c r="N145" s="64"/>
      <c r="O145" s="64">
        <v>0</v>
      </c>
      <c r="P145" s="64" t="s">
        <v>47</v>
      </c>
      <c r="Q145" s="64"/>
      <c r="R145" s="65"/>
      <c r="S145" s="64" t="s">
        <v>118</v>
      </c>
      <c r="T145" s="64" t="s">
        <v>665</v>
      </c>
      <c r="U145" s="64" t="s">
        <v>50</v>
      </c>
      <c r="V145" s="64" t="s">
        <v>729</v>
      </c>
      <c r="W145" s="64" t="s">
        <v>665</v>
      </c>
      <c r="X145" s="64" t="s">
        <v>52</v>
      </c>
      <c r="Y145" s="79">
        <v>0.47222222222222227</v>
      </c>
      <c r="Z145" s="64" t="s">
        <v>110</v>
      </c>
      <c r="AA145" s="64" t="s">
        <v>848</v>
      </c>
      <c r="AB145" s="65"/>
      <c r="AC145" s="82"/>
      <c r="AD145" s="64" t="s">
        <v>783</v>
      </c>
      <c r="AE145" s="64" t="s">
        <v>131</v>
      </c>
      <c r="AF145" s="64">
        <v>43</v>
      </c>
      <c r="AG145" s="64" t="s">
        <v>57</v>
      </c>
      <c r="AH145" s="64" t="s">
        <v>58</v>
      </c>
      <c r="AI145" s="64" t="s">
        <v>94</v>
      </c>
      <c r="AJ145" s="64" t="s">
        <v>199</v>
      </c>
      <c r="AK145" s="68" t="s">
        <v>873</v>
      </c>
      <c r="AL145" s="65" t="s">
        <v>62</v>
      </c>
      <c r="AM145" s="65" t="s">
        <v>63</v>
      </c>
      <c r="AN145" s="65" t="s">
        <v>64</v>
      </c>
    </row>
    <row r="146" spans="1:40" s="66" customFormat="1" ht="30" hidden="1" x14ac:dyDescent="0.25">
      <c r="A146" s="64">
        <v>2021</v>
      </c>
      <c r="B146" s="64" t="s">
        <v>814</v>
      </c>
      <c r="C146" s="64" t="s">
        <v>42</v>
      </c>
      <c r="D146" s="64" t="s">
        <v>874</v>
      </c>
      <c r="E146" s="64" t="s">
        <v>875</v>
      </c>
      <c r="F146" s="64" t="s">
        <v>45</v>
      </c>
      <c r="G146" s="64" t="s">
        <v>876</v>
      </c>
      <c r="H146" s="78">
        <v>36830</v>
      </c>
      <c r="I146" s="64">
        <f t="shared" si="10"/>
        <v>248</v>
      </c>
      <c r="J146" s="78">
        <v>44397</v>
      </c>
      <c r="K146" s="64" t="str">
        <f t="shared" si="11"/>
        <v>ANTIGUO</v>
      </c>
      <c r="L146" s="78">
        <v>44397</v>
      </c>
      <c r="M146" s="78">
        <v>44407</v>
      </c>
      <c r="N146" s="64"/>
      <c r="O146" s="64">
        <v>10</v>
      </c>
      <c r="P146" s="64" t="s">
        <v>68</v>
      </c>
      <c r="Q146" s="64"/>
      <c r="R146" s="65"/>
      <c r="S146" s="64" t="s">
        <v>48</v>
      </c>
      <c r="T146" s="64" t="s">
        <v>99</v>
      </c>
      <c r="U146" s="64" t="s">
        <v>490</v>
      </c>
      <c r="V146" s="64" t="s">
        <v>877</v>
      </c>
      <c r="W146" s="64" t="s">
        <v>71</v>
      </c>
      <c r="X146" s="64" t="s">
        <v>52</v>
      </c>
      <c r="Y146" s="79">
        <v>0.3125</v>
      </c>
      <c r="Z146" s="64" t="s">
        <v>72</v>
      </c>
      <c r="AA146" s="64" t="s">
        <v>878</v>
      </c>
      <c r="AB146" s="87">
        <v>14647</v>
      </c>
      <c r="AC146" s="82" t="s">
        <v>879</v>
      </c>
      <c r="AD146" s="64" t="s">
        <v>55</v>
      </c>
      <c r="AE146" s="64" t="s">
        <v>101</v>
      </c>
      <c r="AF146" s="64">
        <v>45</v>
      </c>
      <c r="AG146" s="64" t="s">
        <v>413</v>
      </c>
      <c r="AH146" s="64" t="s">
        <v>58</v>
      </c>
      <c r="AI146" s="64" t="s">
        <v>94</v>
      </c>
      <c r="AJ146" s="64" t="s">
        <v>60</v>
      </c>
      <c r="AK146" s="68" t="s">
        <v>1539</v>
      </c>
      <c r="AL146" s="65" t="s">
        <v>62</v>
      </c>
      <c r="AM146" s="65" t="s">
        <v>63</v>
      </c>
      <c r="AN146" s="65" t="s">
        <v>63</v>
      </c>
    </row>
    <row r="147" spans="1:40" s="66" customFormat="1" hidden="1" x14ac:dyDescent="0.25">
      <c r="A147" s="64">
        <v>2021</v>
      </c>
      <c r="B147" s="64" t="s">
        <v>814</v>
      </c>
      <c r="C147" s="64" t="s">
        <v>42</v>
      </c>
      <c r="D147" s="64" t="s">
        <v>880</v>
      </c>
      <c r="E147" s="253" t="s">
        <v>881</v>
      </c>
      <c r="F147" s="64" t="s">
        <v>116</v>
      </c>
      <c r="G147" s="64" t="s">
        <v>882</v>
      </c>
      <c r="H147" s="78">
        <v>42954</v>
      </c>
      <c r="I147" s="64">
        <f t="shared" si="10"/>
        <v>47</v>
      </c>
      <c r="J147" s="78">
        <v>44399</v>
      </c>
      <c r="K147" s="64" t="str">
        <f t="shared" si="11"/>
        <v>ANTIGUO</v>
      </c>
      <c r="L147" s="78">
        <v>44399</v>
      </c>
      <c r="M147" s="78">
        <v>44400</v>
      </c>
      <c r="N147" s="64"/>
      <c r="O147" s="64">
        <v>0</v>
      </c>
      <c r="P147" s="64" t="s">
        <v>47</v>
      </c>
      <c r="Q147" s="64"/>
      <c r="R147" s="65"/>
      <c r="S147" s="64" t="s">
        <v>156</v>
      </c>
      <c r="T147" s="64" t="s">
        <v>883</v>
      </c>
      <c r="U147" s="64" t="s">
        <v>50</v>
      </c>
      <c r="V147" s="64" t="s">
        <v>884</v>
      </c>
      <c r="W147" s="64" t="s">
        <v>71</v>
      </c>
      <c r="X147" s="64" t="s">
        <v>109</v>
      </c>
      <c r="Y147" s="79">
        <v>6.25E-2</v>
      </c>
      <c r="Z147" s="64" t="s">
        <v>100</v>
      </c>
      <c r="AA147" s="64" t="s">
        <v>878</v>
      </c>
      <c r="AB147" s="87"/>
      <c r="AC147" s="82" t="s">
        <v>885</v>
      </c>
      <c r="AD147" s="64" t="s">
        <v>159</v>
      </c>
      <c r="AE147" s="64" t="s">
        <v>694</v>
      </c>
      <c r="AF147" s="64">
        <v>31</v>
      </c>
      <c r="AG147" s="64" t="s">
        <v>270</v>
      </c>
      <c r="AH147" s="64" t="s">
        <v>123</v>
      </c>
      <c r="AI147" s="64" t="s">
        <v>498</v>
      </c>
      <c r="AJ147" s="64" t="s">
        <v>125</v>
      </c>
      <c r="AK147" s="68" t="s">
        <v>886</v>
      </c>
      <c r="AL147" s="65" t="s">
        <v>62</v>
      </c>
      <c r="AM147" s="65" t="s">
        <v>63</v>
      </c>
      <c r="AN147" s="65" t="s">
        <v>63</v>
      </c>
    </row>
    <row r="148" spans="1:40" s="66" customFormat="1" hidden="1" x14ac:dyDescent="0.25">
      <c r="A148" s="64">
        <v>2021</v>
      </c>
      <c r="B148" s="64" t="s">
        <v>814</v>
      </c>
      <c r="C148" s="64" t="s">
        <v>42</v>
      </c>
      <c r="D148" s="64" t="s">
        <v>887</v>
      </c>
      <c r="E148" s="64" t="s">
        <v>888</v>
      </c>
      <c r="F148" s="64" t="s">
        <v>45</v>
      </c>
      <c r="G148" s="64" t="s">
        <v>889</v>
      </c>
      <c r="H148" s="78">
        <v>44109</v>
      </c>
      <c r="I148" s="64">
        <f t="shared" si="10"/>
        <v>9</v>
      </c>
      <c r="J148" s="78">
        <v>44398</v>
      </c>
      <c r="K148" s="64" t="str">
        <f t="shared" si="11"/>
        <v>NUEVO</v>
      </c>
      <c r="L148" s="78">
        <v>44399</v>
      </c>
      <c r="M148" s="78">
        <v>44412</v>
      </c>
      <c r="N148" s="64"/>
      <c r="O148" s="64">
        <v>14</v>
      </c>
      <c r="P148" s="64" t="s">
        <v>68</v>
      </c>
      <c r="Q148" s="64" t="s">
        <v>195</v>
      </c>
      <c r="R148" s="65" t="s">
        <v>467</v>
      </c>
      <c r="S148" s="64" t="s">
        <v>303</v>
      </c>
      <c r="T148" s="64" t="s">
        <v>303</v>
      </c>
      <c r="U148" s="64" t="s">
        <v>50</v>
      </c>
      <c r="V148" s="64" t="s">
        <v>890</v>
      </c>
      <c r="W148" s="64" t="s">
        <v>1543</v>
      </c>
      <c r="X148" s="64" t="s">
        <v>109</v>
      </c>
      <c r="Y148" s="79">
        <v>0.84722222222222221</v>
      </c>
      <c r="Z148" s="64" t="s">
        <v>88</v>
      </c>
      <c r="AA148" s="64" t="s">
        <v>878</v>
      </c>
      <c r="AB148" s="87">
        <v>14651</v>
      </c>
      <c r="AC148" s="82" t="s">
        <v>891</v>
      </c>
      <c r="AD148" s="64" t="s">
        <v>305</v>
      </c>
      <c r="AE148" s="64" t="s">
        <v>306</v>
      </c>
      <c r="AF148" s="64">
        <v>24</v>
      </c>
      <c r="AG148" s="64" t="s">
        <v>389</v>
      </c>
      <c r="AH148" s="64" t="s">
        <v>102</v>
      </c>
      <c r="AI148" s="64" t="s">
        <v>59</v>
      </c>
      <c r="AJ148" s="64" t="s">
        <v>60</v>
      </c>
      <c r="AK148" s="68" t="s">
        <v>1525</v>
      </c>
      <c r="AL148" s="65" t="s">
        <v>62</v>
      </c>
      <c r="AM148" s="65" t="s">
        <v>64</v>
      </c>
      <c r="AN148" s="65" t="s">
        <v>63</v>
      </c>
    </row>
    <row r="149" spans="1:40" s="66" customFormat="1" hidden="1" x14ac:dyDescent="0.25">
      <c r="A149" s="64">
        <v>2021</v>
      </c>
      <c r="B149" s="64" t="s">
        <v>814</v>
      </c>
      <c r="C149" s="64" t="s">
        <v>42</v>
      </c>
      <c r="D149" s="64" t="s">
        <v>892</v>
      </c>
      <c r="E149" s="64" t="s">
        <v>527</v>
      </c>
      <c r="F149" s="64" t="s">
        <v>45</v>
      </c>
      <c r="G149" s="64" t="s">
        <v>893</v>
      </c>
      <c r="H149" s="78">
        <v>38687</v>
      </c>
      <c r="I149" s="64">
        <f t="shared" si="10"/>
        <v>187</v>
      </c>
      <c r="J149" s="78">
        <v>44399</v>
      </c>
      <c r="K149" s="64" t="str">
        <f t="shared" si="11"/>
        <v>ANTIGUO</v>
      </c>
      <c r="L149" s="64"/>
      <c r="M149" s="64"/>
      <c r="N149" s="64"/>
      <c r="O149" s="64">
        <v>0</v>
      </c>
      <c r="P149" s="64" t="s">
        <v>47</v>
      </c>
      <c r="Q149" s="64"/>
      <c r="R149" s="65"/>
      <c r="S149" s="64" t="s">
        <v>156</v>
      </c>
      <c r="T149" s="64" t="s">
        <v>883</v>
      </c>
      <c r="U149" s="64" t="s">
        <v>490</v>
      </c>
      <c r="V149" s="64" t="s">
        <v>894</v>
      </c>
      <c r="W149" s="64" t="s">
        <v>71</v>
      </c>
      <c r="X149" s="64" t="s">
        <v>52</v>
      </c>
      <c r="Y149" s="79">
        <v>0.45833333333333331</v>
      </c>
      <c r="Z149" s="64" t="s">
        <v>100</v>
      </c>
      <c r="AA149" s="64" t="s">
        <v>878</v>
      </c>
      <c r="AB149" s="65"/>
      <c r="AC149" s="82"/>
      <c r="AD149" s="64" t="s">
        <v>159</v>
      </c>
      <c r="AE149" s="64" t="s">
        <v>184</v>
      </c>
      <c r="AF149" s="64">
        <v>46</v>
      </c>
      <c r="AG149" s="64" t="s">
        <v>140</v>
      </c>
      <c r="AH149" s="64" t="s">
        <v>419</v>
      </c>
      <c r="AI149" s="64" t="s">
        <v>59</v>
      </c>
      <c r="AJ149" s="64" t="s">
        <v>60</v>
      </c>
      <c r="AK149" s="68" t="s">
        <v>895</v>
      </c>
      <c r="AL149" s="65" t="s">
        <v>62</v>
      </c>
      <c r="AM149" s="65" t="s">
        <v>63</v>
      </c>
      <c r="AN149" s="65" t="s">
        <v>64</v>
      </c>
    </row>
    <row r="150" spans="1:40" s="66" customFormat="1" hidden="1" x14ac:dyDescent="0.25">
      <c r="A150" s="64">
        <v>2021</v>
      </c>
      <c r="B150" s="64" t="s">
        <v>814</v>
      </c>
      <c r="C150" s="64" t="s">
        <v>42</v>
      </c>
      <c r="D150" s="64" t="s">
        <v>896</v>
      </c>
      <c r="E150" s="64" t="s">
        <v>897</v>
      </c>
      <c r="F150" s="64" t="s">
        <v>116</v>
      </c>
      <c r="G150" s="64" t="s">
        <v>898</v>
      </c>
      <c r="H150" s="78">
        <v>43479</v>
      </c>
      <c r="I150" s="64">
        <f t="shared" si="10"/>
        <v>30</v>
      </c>
      <c r="J150" s="78">
        <v>44400</v>
      </c>
      <c r="K150" s="64" t="str">
        <f t="shared" si="11"/>
        <v>INTERMEDIO</v>
      </c>
      <c r="L150" s="64"/>
      <c r="M150" s="64"/>
      <c r="N150" s="64"/>
      <c r="O150" s="64">
        <v>0</v>
      </c>
      <c r="P150" s="64" t="s">
        <v>47</v>
      </c>
      <c r="Q150" s="64"/>
      <c r="R150" s="65"/>
      <c r="S150" s="64" t="s">
        <v>156</v>
      </c>
      <c r="T150" s="64" t="s">
        <v>883</v>
      </c>
      <c r="U150" s="64" t="s">
        <v>790</v>
      </c>
      <c r="V150" s="64" t="s">
        <v>266</v>
      </c>
      <c r="W150" s="64" t="s">
        <v>71</v>
      </c>
      <c r="X150" s="64" t="s">
        <v>87</v>
      </c>
      <c r="Y150" s="79">
        <v>0.85416666666666663</v>
      </c>
      <c r="Z150" s="64" t="s">
        <v>110</v>
      </c>
      <c r="AA150" s="64" t="s">
        <v>878</v>
      </c>
      <c r="AB150" s="65"/>
      <c r="AC150" s="82"/>
      <c r="AD150" s="64" t="s">
        <v>159</v>
      </c>
      <c r="AE150" s="64" t="s">
        <v>184</v>
      </c>
      <c r="AF150" s="64">
        <v>31</v>
      </c>
      <c r="AG150" s="64" t="s">
        <v>140</v>
      </c>
      <c r="AH150" s="64" t="s">
        <v>149</v>
      </c>
      <c r="AI150" s="64" t="s">
        <v>59</v>
      </c>
      <c r="AJ150" s="64" t="s">
        <v>78</v>
      </c>
      <c r="AK150" s="68" t="s">
        <v>899</v>
      </c>
      <c r="AL150" s="65" t="s">
        <v>62</v>
      </c>
      <c r="AM150" s="65" t="s">
        <v>63</v>
      </c>
      <c r="AN150" s="65" t="s">
        <v>64</v>
      </c>
    </row>
    <row r="151" spans="1:40" s="66" customFormat="1" hidden="1" x14ac:dyDescent="0.25">
      <c r="A151" s="64">
        <v>2021</v>
      </c>
      <c r="B151" s="64" t="s">
        <v>814</v>
      </c>
      <c r="C151" s="64" t="s">
        <v>42</v>
      </c>
      <c r="D151" s="64" t="s">
        <v>900</v>
      </c>
      <c r="E151" s="64" t="s">
        <v>154</v>
      </c>
      <c r="F151" s="64" t="s">
        <v>45</v>
      </c>
      <c r="G151" s="64" t="s">
        <v>901</v>
      </c>
      <c r="H151" s="78">
        <v>36554</v>
      </c>
      <c r="I151" s="64">
        <f t="shared" si="10"/>
        <v>257</v>
      </c>
      <c r="J151" s="78">
        <v>44400</v>
      </c>
      <c r="K151" s="64" t="str">
        <f t="shared" si="11"/>
        <v>ANTIGUO</v>
      </c>
      <c r="L151" s="64"/>
      <c r="M151" s="64"/>
      <c r="N151" s="64"/>
      <c r="O151" s="64">
        <v>0</v>
      </c>
      <c r="P151" s="64" t="s">
        <v>47</v>
      </c>
      <c r="Q151" s="64"/>
      <c r="R151" s="65"/>
      <c r="S151" s="64" t="s">
        <v>156</v>
      </c>
      <c r="T151" s="64" t="s">
        <v>883</v>
      </c>
      <c r="U151" s="64" t="s">
        <v>790</v>
      </c>
      <c r="V151" s="64" t="s">
        <v>85</v>
      </c>
      <c r="W151" s="64" t="s">
        <v>71</v>
      </c>
      <c r="X151" s="64" t="s">
        <v>109</v>
      </c>
      <c r="Y151" s="79">
        <v>0.1875</v>
      </c>
      <c r="Z151" s="64" t="s">
        <v>110</v>
      </c>
      <c r="AA151" s="64" t="s">
        <v>878</v>
      </c>
      <c r="AB151" s="65"/>
      <c r="AC151" s="82"/>
      <c r="AD151" s="64" t="s">
        <v>159</v>
      </c>
      <c r="AE151" s="64" t="s">
        <v>694</v>
      </c>
      <c r="AF151" s="64">
        <v>21</v>
      </c>
      <c r="AG151" s="64" t="s">
        <v>270</v>
      </c>
      <c r="AH151" s="64" t="s">
        <v>123</v>
      </c>
      <c r="AI151" s="64" t="s">
        <v>498</v>
      </c>
      <c r="AJ151" s="64" t="s">
        <v>125</v>
      </c>
      <c r="AK151" s="68" t="s">
        <v>902</v>
      </c>
      <c r="AL151" s="65" t="s">
        <v>62</v>
      </c>
      <c r="AM151" s="65" t="s">
        <v>63</v>
      </c>
      <c r="AN151" s="65" t="s">
        <v>64</v>
      </c>
    </row>
    <row r="152" spans="1:40" s="66" customFormat="1" hidden="1" x14ac:dyDescent="0.25">
      <c r="A152" s="64">
        <v>2021</v>
      </c>
      <c r="B152" s="64" t="s">
        <v>814</v>
      </c>
      <c r="C152" s="64" t="s">
        <v>42</v>
      </c>
      <c r="D152" s="64" t="s">
        <v>903</v>
      </c>
      <c r="E152" s="64" t="s">
        <v>904</v>
      </c>
      <c r="F152" s="64" t="s">
        <v>45</v>
      </c>
      <c r="G152" s="64" t="s">
        <v>905</v>
      </c>
      <c r="H152" s="78">
        <v>43717</v>
      </c>
      <c r="I152" s="64">
        <f t="shared" si="10"/>
        <v>22</v>
      </c>
      <c r="J152" s="78">
        <v>44403</v>
      </c>
      <c r="K152" s="64" t="str">
        <f t="shared" si="11"/>
        <v>INTERMEDIO</v>
      </c>
      <c r="L152" s="64"/>
      <c r="M152" s="64"/>
      <c r="N152" s="64"/>
      <c r="O152" s="64">
        <v>0</v>
      </c>
      <c r="P152" s="64" t="s">
        <v>47</v>
      </c>
      <c r="Q152" s="64"/>
      <c r="R152" s="65"/>
      <c r="S152" s="64" t="s">
        <v>118</v>
      </c>
      <c r="T152" s="64" t="s">
        <v>130</v>
      </c>
      <c r="U152" s="64" t="s">
        <v>50</v>
      </c>
      <c r="V152" s="64" t="s">
        <v>130</v>
      </c>
      <c r="W152" s="64" t="s">
        <v>71</v>
      </c>
      <c r="X152" s="64" t="s">
        <v>109</v>
      </c>
      <c r="Y152" s="79">
        <v>0.875</v>
      </c>
      <c r="Z152" s="64" t="s">
        <v>53</v>
      </c>
      <c r="AA152" s="64" t="s">
        <v>906</v>
      </c>
      <c r="AB152" s="65"/>
      <c r="AC152" s="82"/>
      <c r="AD152" s="64" t="s">
        <v>783</v>
      </c>
      <c r="AE152" s="64" t="s">
        <v>198</v>
      </c>
      <c r="AF152" s="64">
        <v>23</v>
      </c>
      <c r="AG152" s="64" t="s">
        <v>270</v>
      </c>
      <c r="AH152" s="64" t="s">
        <v>123</v>
      </c>
      <c r="AI152" s="64" t="s">
        <v>498</v>
      </c>
      <c r="AJ152" s="64" t="s">
        <v>125</v>
      </c>
      <c r="AK152" s="68" t="s">
        <v>907</v>
      </c>
      <c r="AL152" s="65" t="s">
        <v>62</v>
      </c>
      <c r="AM152" s="65" t="s">
        <v>63</v>
      </c>
      <c r="AN152" s="65" t="s">
        <v>64</v>
      </c>
    </row>
    <row r="153" spans="1:40" s="66" customFormat="1" hidden="1" x14ac:dyDescent="0.25">
      <c r="A153" s="64">
        <v>2021</v>
      </c>
      <c r="B153" s="64" t="s">
        <v>814</v>
      </c>
      <c r="C153" s="64" t="s">
        <v>42</v>
      </c>
      <c r="D153" s="64" t="s">
        <v>908</v>
      </c>
      <c r="E153" s="64" t="s">
        <v>909</v>
      </c>
      <c r="F153" s="64" t="s">
        <v>116</v>
      </c>
      <c r="G153" s="64" t="s">
        <v>910</v>
      </c>
      <c r="H153" s="11">
        <v>41032</v>
      </c>
      <c r="I153" s="64">
        <f t="shared" si="10"/>
        <v>110</v>
      </c>
      <c r="J153" s="78">
        <v>44404</v>
      </c>
      <c r="K153" s="64" t="str">
        <f t="shared" si="11"/>
        <v>ANTIGUO</v>
      </c>
      <c r="L153" s="78">
        <v>44404</v>
      </c>
      <c r="M153" s="78">
        <v>44404</v>
      </c>
      <c r="N153" s="64"/>
      <c r="O153" s="64">
        <v>0</v>
      </c>
      <c r="P153" s="64" t="s">
        <v>47</v>
      </c>
      <c r="Q153" s="64"/>
      <c r="R153" s="65"/>
      <c r="S153" s="64" t="s">
        <v>156</v>
      </c>
      <c r="T153" s="64" t="s">
        <v>539</v>
      </c>
      <c r="U153" s="64" t="s">
        <v>490</v>
      </c>
      <c r="V153" s="64" t="s">
        <v>523</v>
      </c>
      <c r="W153" s="64" t="s">
        <v>71</v>
      </c>
      <c r="X153" s="64" t="s">
        <v>52</v>
      </c>
      <c r="Y153" s="79">
        <v>0.28472222222222221</v>
      </c>
      <c r="Z153" s="64" t="s">
        <v>88</v>
      </c>
      <c r="AA153" s="64" t="s">
        <v>906</v>
      </c>
      <c r="AB153" s="65" t="s">
        <v>911</v>
      </c>
      <c r="AC153" s="82" t="s">
        <v>912</v>
      </c>
      <c r="AD153" s="64" t="s">
        <v>159</v>
      </c>
      <c r="AE153" s="64" t="s">
        <v>781</v>
      </c>
      <c r="AF153" s="64">
        <v>30</v>
      </c>
      <c r="AG153" s="64" t="s">
        <v>652</v>
      </c>
      <c r="AH153" s="64" t="s">
        <v>58</v>
      </c>
      <c r="AI153" s="64" t="s">
        <v>59</v>
      </c>
      <c r="AJ153" s="64" t="s">
        <v>559</v>
      </c>
      <c r="AK153" s="68" t="s">
        <v>913</v>
      </c>
      <c r="AL153" s="65" t="s">
        <v>103</v>
      </c>
      <c r="AM153" s="65" t="s">
        <v>64</v>
      </c>
      <c r="AN153" s="65" t="s">
        <v>64</v>
      </c>
    </row>
    <row r="154" spans="1:40" s="66" customFormat="1" hidden="1" x14ac:dyDescent="0.25">
      <c r="A154" s="64">
        <v>2021</v>
      </c>
      <c r="B154" s="64" t="s">
        <v>814</v>
      </c>
      <c r="C154" s="64" t="s">
        <v>42</v>
      </c>
      <c r="D154" s="64" t="s">
        <v>914</v>
      </c>
      <c r="E154" s="253" t="s">
        <v>915</v>
      </c>
      <c r="F154" s="64" t="s">
        <v>45</v>
      </c>
      <c r="G154" s="64" t="s">
        <v>916</v>
      </c>
      <c r="H154" s="11">
        <v>43675</v>
      </c>
      <c r="I154" s="64">
        <f t="shared" si="10"/>
        <v>23</v>
      </c>
      <c r="J154" s="78">
        <v>44403</v>
      </c>
      <c r="K154" s="64" t="str">
        <f t="shared" si="11"/>
        <v>INTERMEDIO</v>
      </c>
      <c r="L154" s="78">
        <v>44404</v>
      </c>
      <c r="M154" s="78">
        <v>44404</v>
      </c>
      <c r="N154" s="64"/>
      <c r="O154" s="64">
        <v>0</v>
      </c>
      <c r="P154" s="64" t="s">
        <v>47</v>
      </c>
      <c r="Q154" s="64" t="s">
        <v>195</v>
      </c>
      <c r="R154" s="65" t="s">
        <v>564</v>
      </c>
      <c r="S154" s="64" t="s">
        <v>48</v>
      </c>
      <c r="T154" s="10" t="s">
        <v>917</v>
      </c>
      <c r="U154" s="45" t="s">
        <v>741</v>
      </c>
      <c r="V154" s="64" t="s">
        <v>266</v>
      </c>
      <c r="W154" s="64" t="s">
        <v>266</v>
      </c>
      <c r="X154" s="64" t="s">
        <v>109</v>
      </c>
      <c r="Y154" s="79">
        <v>0.90625</v>
      </c>
      <c r="Z154" s="64" t="s">
        <v>72</v>
      </c>
      <c r="AA154" s="64" t="s">
        <v>906</v>
      </c>
      <c r="AB154" s="87"/>
      <c r="AC154" s="82" t="s">
        <v>918</v>
      </c>
      <c r="AD154" s="64" t="s">
        <v>55</v>
      </c>
      <c r="AE154" s="64" t="s">
        <v>101</v>
      </c>
      <c r="AF154" s="64">
        <v>44</v>
      </c>
      <c r="AG154" s="64" t="s">
        <v>57</v>
      </c>
      <c r="AH154" s="64" t="s">
        <v>149</v>
      </c>
      <c r="AI154" s="64" t="s">
        <v>59</v>
      </c>
      <c r="AJ154" s="64" t="s">
        <v>462</v>
      </c>
      <c r="AK154" s="68" t="s">
        <v>919</v>
      </c>
      <c r="AL154" s="65" t="s">
        <v>62</v>
      </c>
      <c r="AM154" s="65" t="s">
        <v>64</v>
      </c>
      <c r="AN154" s="65" t="s">
        <v>63</v>
      </c>
    </row>
    <row r="155" spans="1:40" s="66" customFormat="1" hidden="1" x14ac:dyDescent="0.25">
      <c r="A155" s="64">
        <v>2021</v>
      </c>
      <c r="B155" s="64" t="s">
        <v>814</v>
      </c>
      <c r="C155" s="64" t="s">
        <v>42</v>
      </c>
      <c r="D155" s="64" t="s">
        <v>920</v>
      </c>
      <c r="E155" s="64" t="s">
        <v>921</v>
      </c>
      <c r="F155" s="64" t="s">
        <v>45</v>
      </c>
      <c r="G155" s="64" t="s">
        <v>922</v>
      </c>
      <c r="H155" s="78">
        <v>42898</v>
      </c>
      <c r="I155" s="64">
        <f t="shared" si="10"/>
        <v>49</v>
      </c>
      <c r="J155" s="78">
        <v>44406</v>
      </c>
      <c r="K155" s="64" t="str">
        <f t="shared" si="11"/>
        <v>ANTIGUO</v>
      </c>
      <c r="L155" s="64"/>
      <c r="M155" s="64"/>
      <c r="N155" s="64"/>
      <c r="O155" s="64">
        <v>0</v>
      </c>
      <c r="P155" s="64" t="s">
        <v>47</v>
      </c>
      <c r="Q155" s="64" t="s">
        <v>195</v>
      </c>
      <c r="R155" s="65" t="s">
        <v>923</v>
      </c>
      <c r="S155" s="64" t="s">
        <v>118</v>
      </c>
      <c r="T155" s="64" t="s">
        <v>130</v>
      </c>
      <c r="U155" s="64" t="s">
        <v>50</v>
      </c>
      <c r="V155" s="64" t="s">
        <v>130</v>
      </c>
      <c r="W155" s="64" t="s">
        <v>71</v>
      </c>
      <c r="X155" s="64" t="s">
        <v>52</v>
      </c>
      <c r="Y155" s="79">
        <v>0.33333333333333331</v>
      </c>
      <c r="Z155" s="64" t="s">
        <v>100</v>
      </c>
      <c r="AA155" s="64" t="s">
        <v>906</v>
      </c>
      <c r="AB155" s="65"/>
      <c r="AC155" s="82"/>
      <c r="AD155" s="64" t="s">
        <v>783</v>
      </c>
      <c r="AE155" s="64" t="s">
        <v>198</v>
      </c>
      <c r="AF155" s="64">
        <v>22</v>
      </c>
      <c r="AG155" s="64" t="s">
        <v>270</v>
      </c>
      <c r="AH155" s="64" t="s">
        <v>419</v>
      </c>
      <c r="AI155" s="64" t="s">
        <v>150</v>
      </c>
      <c r="AJ155" s="64" t="s">
        <v>125</v>
      </c>
      <c r="AK155" s="68" t="s">
        <v>924</v>
      </c>
      <c r="AL155" s="65" t="s">
        <v>62</v>
      </c>
      <c r="AM155" s="65" t="s">
        <v>63</v>
      </c>
      <c r="AN155" s="65" t="s">
        <v>64</v>
      </c>
    </row>
    <row r="156" spans="1:40" s="66" customFormat="1" hidden="1" x14ac:dyDescent="0.25">
      <c r="A156" s="64">
        <v>2021</v>
      </c>
      <c r="B156" s="64" t="s">
        <v>814</v>
      </c>
      <c r="C156" s="64" t="s">
        <v>42</v>
      </c>
      <c r="D156" s="64" t="s">
        <v>925</v>
      </c>
      <c r="E156" s="64" t="s">
        <v>926</v>
      </c>
      <c r="F156" s="64" t="s">
        <v>116</v>
      </c>
      <c r="G156" s="64" t="s">
        <v>927</v>
      </c>
      <c r="H156" s="78">
        <v>41701</v>
      </c>
      <c r="I156" s="64">
        <f t="shared" si="10"/>
        <v>88</v>
      </c>
      <c r="J156" s="78">
        <v>44406</v>
      </c>
      <c r="K156" s="64" t="str">
        <f t="shared" si="11"/>
        <v>ANTIGUO</v>
      </c>
      <c r="L156" s="64"/>
      <c r="M156" s="64"/>
      <c r="N156" s="64"/>
      <c r="O156" s="64">
        <v>0</v>
      </c>
      <c r="P156" s="64" t="s">
        <v>47</v>
      </c>
      <c r="Q156" s="64"/>
      <c r="R156" s="65"/>
      <c r="S156" s="64" t="s">
        <v>118</v>
      </c>
      <c r="T156" s="64" t="s">
        <v>119</v>
      </c>
      <c r="U156" s="64" t="s">
        <v>50</v>
      </c>
      <c r="V156" s="64" t="s">
        <v>119</v>
      </c>
      <c r="W156" s="64" t="s">
        <v>71</v>
      </c>
      <c r="X156" s="64" t="s">
        <v>52</v>
      </c>
      <c r="Y156" s="79">
        <v>0.39583333333333331</v>
      </c>
      <c r="Z156" s="64" t="s">
        <v>100</v>
      </c>
      <c r="AA156" s="64" t="s">
        <v>906</v>
      </c>
      <c r="AB156" s="65"/>
      <c r="AC156" s="82"/>
      <c r="AD156" s="64" t="s">
        <v>783</v>
      </c>
      <c r="AE156" s="64" t="s">
        <v>198</v>
      </c>
      <c r="AF156" s="64">
        <v>35</v>
      </c>
      <c r="AG156" s="64" t="s">
        <v>122</v>
      </c>
      <c r="AH156" s="64" t="s">
        <v>123</v>
      </c>
      <c r="AI156" s="64" t="s">
        <v>498</v>
      </c>
      <c r="AJ156" s="64" t="s">
        <v>125</v>
      </c>
      <c r="AK156" s="68" t="s">
        <v>928</v>
      </c>
      <c r="AL156" s="65" t="s">
        <v>103</v>
      </c>
      <c r="AM156" s="65" t="s">
        <v>63</v>
      </c>
      <c r="AN156" s="65" t="s">
        <v>64</v>
      </c>
    </row>
    <row r="157" spans="1:40" s="66" customFormat="1" hidden="1" x14ac:dyDescent="0.25">
      <c r="A157" s="64">
        <v>2021</v>
      </c>
      <c r="B157" s="64" t="s">
        <v>814</v>
      </c>
      <c r="C157" s="64" t="s">
        <v>42</v>
      </c>
      <c r="D157" s="64" t="s">
        <v>929</v>
      </c>
      <c r="E157" s="64" t="s">
        <v>115</v>
      </c>
      <c r="F157" s="64" t="s">
        <v>116</v>
      </c>
      <c r="G157" s="64" t="s">
        <v>930</v>
      </c>
      <c r="H157" s="78">
        <v>42800</v>
      </c>
      <c r="I157" s="64">
        <f t="shared" si="10"/>
        <v>52</v>
      </c>
      <c r="J157" s="78">
        <v>44407</v>
      </c>
      <c r="K157" s="64" t="str">
        <f t="shared" si="11"/>
        <v>ANTIGUO</v>
      </c>
      <c r="L157" s="64"/>
      <c r="M157" s="64"/>
      <c r="N157" s="64"/>
      <c r="O157" s="64">
        <v>0</v>
      </c>
      <c r="P157" s="64" t="s">
        <v>47</v>
      </c>
      <c r="Q157" s="64"/>
      <c r="R157" s="65"/>
      <c r="S157" s="64" t="s">
        <v>118</v>
      </c>
      <c r="T157" s="64" t="s">
        <v>119</v>
      </c>
      <c r="U157" s="64" t="s">
        <v>50</v>
      </c>
      <c r="V157" s="64" t="s">
        <v>119</v>
      </c>
      <c r="W157" s="64" t="s">
        <v>71</v>
      </c>
      <c r="X157" s="64" t="s">
        <v>87</v>
      </c>
      <c r="Y157" s="79">
        <v>0.62152777777777779</v>
      </c>
      <c r="Z157" s="64" t="s">
        <v>110</v>
      </c>
      <c r="AA157" s="64" t="s">
        <v>906</v>
      </c>
      <c r="AB157" s="65"/>
      <c r="AC157" s="82"/>
      <c r="AD157" s="64" t="s">
        <v>783</v>
      </c>
      <c r="AE157" s="64" t="s">
        <v>280</v>
      </c>
      <c r="AF157" s="64">
        <v>46</v>
      </c>
      <c r="AG157" s="64" t="s">
        <v>132</v>
      </c>
      <c r="AH157" s="64" t="s">
        <v>419</v>
      </c>
      <c r="AI157" s="64" t="s">
        <v>59</v>
      </c>
      <c r="AJ157" s="64" t="s">
        <v>134</v>
      </c>
      <c r="AK157" s="68" t="s">
        <v>931</v>
      </c>
      <c r="AL157" s="65" t="s">
        <v>103</v>
      </c>
      <c r="AM157" s="65" t="s">
        <v>63</v>
      </c>
      <c r="AN157" s="65" t="s">
        <v>64</v>
      </c>
    </row>
    <row r="158" spans="1:40" s="66" customFormat="1" hidden="1" x14ac:dyDescent="0.25">
      <c r="A158" s="64">
        <v>2021</v>
      </c>
      <c r="B158" s="64" t="s">
        <v>814</v>
      </c>
      <c r="C158" s="64" t="s">
        <v>42</v>
      </c>
      <c r="D158" s="64" t="s">
        <v>932</v>
      </c>
      <c r="E158" s="253" t="s">
        <v>933</v>
      </c>
      <c r="F158" s="64" t="s">
        <v>45</v>
      </c>
      <c r="G158" s="64" t="s">
        <v>934</v>
      </c>
      <c r="H158" s="78">
        <v>43325</v>
      </c>
      <c r="I158" s="64">
        <f t="shared" si="10"/>
        <v>35</v>
      </c>
      <c r="J158" s="78">
        <v>44408</v>
      </c>
      <c r="K158" s="64" t="str">
        <f t="shared" si="11"/>
        <v>INTERMEDIO</v>
      </c>
      <c r="L158" s="78">
        <v>44410</v>
      </c>
      <c r="M158" s="78">
        <v>44410</v>
      </c>
      <c r="N158" s="64"/>
      <c r="O158" s="64">
        <v>0</v>
      </c>
      <c r="P158" s="64" t="s">
        <v>47</v>
      </c>
      <c r="Q158" s="64"/>
      <c r="R158" s="65"/>
      <c r="S158" s="64" t="s">
        <v>255</v>
      </c>
      <c r="T158" s="64" t="s">
        <v>256</v>
      </c>
      <c r="U158" s="64" t="s">
        <v>50</v>
      </c>
      <c r="V158" s="64"/>
      <c r="W158" s="64" t="s">
        <v>71</v>
      </c>
      <c r="X158" s="64" t="s">
        <v>52</v>
      </c>
      <c r="Y158" s="79">
        <v>0.42708333333333331</v>
      </c>
      <c r="Z158" s="64" t="s">
        <v>147</v>
      </c>
      <c r="AA158" s="64" t="s">
        <v>906</v>
      </c>
      <c r="AB158" s="87"/>
      <c r="AC158" s="82" t="s">
        <v>935</v>
      </c>
      <c r="AD158" s="64" t="s">
        <v>259</v>
      </c>
      <c r="AE158" s="64" t="s">
        <v>547</v>
      </c>
      <c r="AF158" s="64">
        <v>40</v>
      </c>
      <c r="AG158" s="64" t="s">
        <v>275</v>
      </c>
      <c r="AH158" s="64" t="s">
        <v>58</v>
      </c>
      <c r="AI158" s="64" t="s">
        <v>59</v>
      </c>
      <c r="AJ158" s="64" t="s">
        <v>78</v>
      </c>
      <c r="AK158" s="68" t="s">
        <v>936</v>
      </c>
      <c r="AL158" s="65" t="s">
        <v>62</v>
      </c>
      <c r="AM158" s="65" t="s">
        <v>63</v>
      </c>
      <c r="AN158" s="65" t="s">
        <v>63</v>
      </c>
    </row>
    <row r="159" spans="1:40" s="66" customFormat="1" hidden="1" x14ac:dyDescent="0.25">
      <c r="A159" s="64">
        <v>2021</v>
      </c>
      <c r="B159" s="64" t="s">
        <v>814</v>
      </c>
      <c r="C159" s="64" t="s">
        <v>42</v>
      </c>
      <c r="D159" s="64" t="s">
        <v>937</v>
      </c>
      <c r="E159" s="64" t="s">
        <v>421</v>
      </c>
      <c r="F159" s="64" t="s">
        <v>116</v>
      </c>
      <c r="G159" s="64" t="s">
        <v>938</v>
      </c>
      <c r="H159" s="78">
        <v>41493</v>
      </c>
      <c r="I159" s="64">
        <f t="shared" si="10"/>
        <v>95</v>
      </c>
      <c r="J159" s="78">
        <v>44408</v>
      </c>
      <c r="K159" s="64" t="str">
        <f t="shared" si="11"/>
        <v>ANTIGUO</v>
      </c>
      <c r="L159" s="64"/>
      <c r="M159" s="64"/>
      <c r="N159" s="64"/>
      <c r="O159" s="64">
        <v>0</v>
      </c>
      <c r="P159" s="64" t="s">
        <v>47</v>
      </c>
      <c r="Q159" s="64" t="s">
        <v>195</v>
      </c>
      <c r="R159" s="65" t="s">
        <v>923</v>
      </c>
      <c r="S159" s="64" t="s">
        <v>118</v>
      </c>
      <c r="T159" s="64" t="s">
        <v>119</v>
      </c>
      <c r="U159" s="64" t="s">
        <v>50</v>
      </c>
      <c r="V159" s="64" t="s">
        <v>119</v>
      </c>
      <c r="W159" s="64" t="s">
        <v>71</v>
      </c>
      <c r="X159" s="64" t="s">
        <v>52</v>
      </c>
      <c r="Y159" s="79">
        <v>0.34375</v>
      </c>
      <c r="Z159" s="64" t="s">
        <v>147</v>
      </c>
      <c r="AA159" s="64" t="s">
        <v>906</v>
      </c>
      <c r="AB159" s="65"/>
      <c r="AC159" s="82"/>
      <c r="AD159" s="64" t="s">
        <v>783</v>
      </c>
      <c r="AE159" s="64" t="s">
        <v>280</v>
      </c>
      <c r="AF159" s="64">
        <v>51</v>
      </c>
      <c r="AG159" s="64" t="s">
        <v>270</v>
      </c>
      <c r="AH159" s="64" t="s">
        <v>123</v>
      </c>
      <c r="AI159" s="64" t="s">
        <v>498</v>
      </c>
      <c r="AJ159" s="64" t="s">
        <v>125</v>
      </c>
      <c r="AK159" s="68" t="s">
        <v>939</v>
      </c>
      <c r="AL159" s="65" t="s">
        <v>62</v>
      </c>
      <c r="AM159" s="65" t="s">
        <v>63</v>
      </c>
      <c r="AN159" s="65" t="s">
        <v>64</v>
      </c>
    </row>
    <row r="160" spans="1:40" s="66" customFormat="1" hidden="1" x14ac:dyDescent="0.25">
      <c r="A160" s="64">
        <v>2021</v>
      </c>
      <c r="B160" s="64" t="s">
        <v>940</v>
      </c>
      <c r="C160" s="64" t="s">
        <v>42</v>
      </c>
      <c r="D160" s="64" t="s">
        <v>941</v>
      </c>
      <c r="E160" s="64" t="s">
        <v>942</v>
      </c>
      <c r="F160" s="64" t="s">
        <v>116</v>
      </c>
      <c r="G160" s="64" t="s">
        <v>943</v>
      </c>
      <c r="H160" s="78">
        <v>44270</v>
      </c>
      <c r="I160" s="64">
        <f t="shared" si="10"/>
        <v>4</v>
      </c>
      <c r="J160" s="78">
        <v>44410</v>
      </c>
      <c r="K160" s="64" t="str">
        <f t="shared" si="11"/>
        <v>NUEVO</v>
      </c>
      <c r="L160" s="64"/>
      <c r="M160" s="64"/>
      <c r="N160" s="64"/>
      <c r="O160" s="64">
        <v>0</v>
      </c>
      <c r="P160" s="64" t="s">
        <v>47</v>
      </c>
      <c r="Q160" s="64" t="s">
        <v>195</v>
      </c>
      <c r="R160" s="65" t="s">
        <v>564</v>
      </c>
      <c r="S160" s="64" t="s">
        <v>118</v>
      </c>
      <c r="T160" s="64" t="s">
        <v>119</v>
      </c>
      <c r="U160" s="64" t="s">
        <v>50</v>
      </c>
      <c r="V160" s="64" t="s">
        <v>119</v>
      </c>
      <c r="W160" s="64" t="s">
        <v>944</v>
      </c>
      <c r="X160" s="64" t="s">
        <v>52</v>
      </c>
      <c r="Y160" s="79">
        <v>0.35416666666666669</v>
      </c>
      <c r="Z160" s="64" t="s">
        <v>53</v>
      </c>
      <c r="AA160" s="64" t="s">
        <v>945</v>
      </c>
      <c r="AB160" s="65"/>
      <c r="AC160" s="82"/>
      <c r="AD160" s="64" t="s">
        <v>783</v>
      </c>
      <c r="AE160" s="64" t="s">
        <v>121</v>
      </c>
      <c r="AF160" s="64">
        <v>34</v>
      </c>
      <c r="AG160" s="64" t="s">
        <v>140</v>
      </c>
      <c r="AH160" s="64" t="s">
        <v>58</v>
      </c>
      <c r="AI160" s="64" t="s">
        <v>59</v>
      </c>
      <c r="AJ160" s="64" t="s">
        <v>462</v>
      </c>
      <c r="AK160" s="68" t="s">
        <v>946</v>
      </c>
      <c r="AL160" s="65" t="s">
        <v>62</v>
      </c>
      <c r="AM160" s="65" t="s">
        <v>63</v>
      </c>
      <c r="AN160" s="65" t="s">
        <v>64</v>
      </c>
    </row>
    <row r="161" spans="1:40" s="66" customFormat="1" hidden="1" x14ac:dyDescent="0.25">
      <c r="A161" s="64">
        <v>2021</v>
      </c>
      <c r="B161" s="64" t="s">
        <v>940</v>
      </c>
      <c r="C161" s="64" t="s">
        <v>42</v>
      </c>
      <c r="D161" s="64" t="s">
        <v>947</v>
      </c>
      <c r="E161" s="64" t="s">
        <v>518</v>
      </c>
      <c r="F161" s="64" t="s">
        <v>45</v>
      </c>
      <c r="G161" s="64" t="s">
        <v>948</v>
      </c>
      <c r="H161" s="11">
        <v>43467</v>
      </c>
      <c r="I161" s="64">
        <f t="shared" si="10"/>
        <v>31</v>
      </c>
      <c r="J161" s="78">
        <v>44410</v>
      </c>
      <c r="K161" s="64" t="str">
        <f t="shared" si="11"/>
        <v>INTERMEDIO</v>
      </c>
      <c r="L161" s="64"/>
      <c r="M161" s="64"/>
      <c r="N161" s="64"/>
      <c r="O161" s="64">
        <v>0</v>
      </c>
      <c r="P161" s="64" t="s">
        <v>47</v>
      </c>
      <c r="Q161" s="64"/>
      <c r="R161" s="65"/>
      <c r="S161" s="64" t="s">
        <v>118</v>
      </c>
      <c r="T161" s="64" t="s">
        <v>130</v>
      </c>
      <c r="U161" s="64" t="s">
        <v>50</v>
      </c>
      <c r="V161" s="64" t="s">
        <v>130</v>
      </c>
      <c r="W161" s="64"/>
      <c r="X161" s="64" t="s">
        <v>87</v>
      </c>
      <c r="Y161" s="79">
        <v>0.77083333333333337</v>
      </c>
      <c r="Z161" s="64" t="s">
        <v>53</v>
      </c>
      <c r="AA161" s="64" t="s">
        <v>945</v>
      </c>
      <c r="AB161" s="65"/>
      <c r="AC161" s="82"/>
      <c r="AD161" s="64" t="s">
        <v>783</v>
      </c>
      <c r="AE161" s="64" t="s">
        <v>121</v>
      </c>
      <c r="AF161" s="64">
        <v>25</v>
      </c>
      <c r="AG161" s="64" t="s">
        <v>275</v>
      </c>
      <c r="AH161" s="64" t="s">
        <v>58</v>
      </c>
      <c r="AI161" s="64" t="s">
        <v>59</v>
      </c>
      <c r="AJ161" s="64" t="s">
        <v>60</v>
      </c>
      <c r="AK161" s="68" t="s">
        <v>1540</v>
      </c>
      <c r="AL161" s="65" t="s">
        <v>62</v>
      </c>
      <c r="AM161" s="65" t="s">
        <v>63</v>
      </c>
      <c r="AN161" s="65" t="s">
        <v>64</v>
      </c>
    </row>
    <row r="162" spans="1:40" s="66" customFormat="1" hidden="1" x14ac:dyDescent="0.25">
      <c r="A162" s="64">
        <v>2021</v>
      </c>
      <c r="B162" s="64" t="s">
        <v>940</v>
      </c>
      <c r="C162" s="64" t="s">
        <v>42</v>
      </c>
      <c r="D162" s="45" t="s">
        <v>262</v>
      </c>
      <c r="E162" s="64" t="s">
        <v>949</v>
      </c>
      <c r="F162" s="64" t="s">
        <v>116</v>
      </c>
      <c r="G162" s="64" t="s">
        <v>264</v>
      </c>
      <c r="H162" s="78">
        <v>43341</v>
      </c>
      <c r="I162" s="64">
        <f t="shared" si="10"/>
        <v>35</v>
      </c>
      <c r="J162" s="78">
        <v>44411</v>
      </c>
      <c r="K162" s="64" t="str">
        <f t="shared" si="11"/>
        <v>INTERMEDIO</v>
      </c>
      <c r="L162" s="64"/>
      <c r="M162" s="64"/>
      <c r="N162" s="64"/>
      <c r="O162" s="64">
        <v>0</v>
      </c>
      <c r="P162" s="64" t="s">
        <v>47</v>
      </c>
      <c r="Q162" s="64"/>
      <c r="R162" s="65"/>
      <c r="S162" s="64" t="s">
        <v>265</v>
      </c>
      <c r="T162" s="64" t="s">
        <v>217</v>
      </c>
      <c r="U162" s="45" t="s">
        <v>950</v>
      </c>
      <c r="V162" s="64" t="s">
        <v>951</v>
      </c>
      <c r="W162" s="64" t="s">
        <v>71</v>
      </c>
      <c r="X162" s="64" t="s">
        <v>87</v>
      </c>
      <c r="Y162" s="79">
        <v>0.77083333333333337</v>
      </c>
      <c r="Z162" s="64" t="s">
        <v>72</v>
      </c>
      <c r="AA162" s="64" t="s">
        <v>945</v>
      </c>
      <c r="AB162" s="65"/>
      <c r="AC162" s="82"/>
      <c r="AD162" s="64" t="s">
        <v>268</v>
      </c>
      <c r="AE162" s="64" t="s">
        <v>269</v>
      </c>
      <c r="AF162" s="64">
        <v>30</v>
      </c>
      <c r="AG162" s="64" t="s">
        <v>132</v>
      </c>
      <c r="AH162" s="64" t="s">
        <v>419</v>
      </c>
      <c r="AI162" s="64" t="s">
        <v>59</v>
      </c>
      <c r="AJ162" s="64" t="s">
        <v>134</v>
      </c>
      <c r="AK162" s="68" t="s">
        <v>952</v>
      </c>
      <c r="AL162" s="65" t="s">
        <v>103</v>
      </c>
      <c r="AM162" s="65" t="s">
        <v>63</v>
      </c>
      <c r="AN162" s="65" t="s">
        <v>64</v>
      </c>
    </row>
    <row r="163" spans="1:40" s="100" customFormat="1" hidden="1" x14ac:dyDescent="0.25">
      <c r="A163" s="65">
        <v>2021</v>
      </c>
      <c r="B163" s="65" t="s">
        <v>940</v>
      </c>
      <c r="C163" s="65" t="s">
        <v>42</v>
      </c>
      <c r="D163" s="65" t="s">
        <v>953</v>
      </c>
      <c r="E163" s="65" t="s">
        <v>954</v>
      </c>
      <c r="F163" s="65" t="s">
        <v>116</v>
      </c>
      <c r="G163" s="100" t="s">
        <v>955</v>
      </c>
      <c r="H163" s="231">
        <v>44221</v>
      </c>
      <c r="I163" s="64">
        <f t="shared" si="10"/>
        <v>6</v>
      </c>
      <c r="J163" s="78">
        <v>44411</v>
      </c>
      <c r="K163" s="64" t="str">
        <f t="shared" si="11"/>
        <v>NUEVO</v>
      </c>
      <c r="L163" s="231">
        <v>44411</v>
      </c>
      <c r="M163" s="231">
        <v>44418</v>
      </c>
      <c r="N163" s="231" t="s">
        <v>211</v>
      </c>
      <c r="O163" s="65">
        <v>20</v>
      </c>
      <c r="P163" s="65" t="s">
        <v>68</v>
      </c>
      <c r="Q163" s="65"/>
      <c r="R163" s="65"/>
      <c r="S163" s="65" t="s">
        <v>118</v>
      </c>
      <c r="T163" s="65" t="s">
        <v>130</v>
      </c>
      <c r="U163" s="65" t="s">
        <v>956</v>
      </c>
      <c r="V163" s="65" t="s">
        <v>746</v>
      </c>
      <c r="W163" s="65" t="s">
        <v>71</v>
      </c>
      <c r="X163" s="65" t="s">
        <v>87</v>
      </c>
      <c r="Y163" s="232">
        <v>0.87152777777777779</v>
      </c>
      <c r="Z163" s="65" t="s">
        <v>72</v>
      </c>
      <c r="AA163" s="64" t="s">
        <v>945</v>
      </c>
      <c r="AB163" s="87">
        <v>14688</v>
      </c>
      <c r="AC163" s="230" t="s">
        <v>957</v>
      </c>
      <c r="AD163" s="65" t="s">
        <v>783</v>
      </c>
      <c r="AE163" s="65" t="s">
        <v>280</v>
      </c>
      <c r="AF163" s="65">
        <v>35</v>
      </c>
      <c r="AG163" s="65" t="s">
        <v>132</v>
      </c>
      <c r="AH163" s="65" t="s">
        <v>610</v>
      </c>
      <c r="AI163" s="65" t="s">
        <v>59</v>
      </c>
      <c r="AJ163" s="65" t="s">
        <v>244</v>
      </c>
      <c r="AK163" s="237" t="s">
        <v>958</v>
      </c>
      <c r="AL163" s="65" t="s">
        <v>103</v>
      </c>
      <c r="AM163" s="65" t="s">
        <v>64</v>
      </c>
      <c r="AN163" s="65" t="s">
        <v>63</v>
      </c>
    </row>
    <row r="164" spans="1:40" s="66" customFormat="1" hidden="1" x14ac:dyDescent="0.25">
      <c r="A164" s="65">
        <v>2021</v>
      </c>
      <c r="B164" s="65" t="s">
        <v>940</v>
      </c>
      <c r="C164" s="65" t="s">
        <v>42</v>
      </c>
      <c r="D164" s="64" t="s">
        <v>959</v>
      </c>
      <c r="E164" s="253" t="s">
        <v>960</v>
      </c>
      <c r="F164" s="64" t="s">
        <v>116</v>
      </c>
      <c r="G164" s="64" t="s">
        <v>961</v>
      </c>
      <c r="H164" s="78">
        <v>43367</v>
      </c>
      <c r="I164" s="64">
        <f t="shared" si="10"/>
        <v>34</v>
      </c>
      <c r="J164" s="78">
        <v>44413</v>
      </c>
      <c r="K164" s="64" t="str">
        <f t="shared" si="11"/>
        <v>INTERMEDIO</v>
      </c>
      <c r="L164" s="78">
        <v>44413</v>
      </c>
      <c r="M164" s="78">
        <v>44413</v>
      </c>
      <c r="N164" s="64"/>
      <c r="O164" s="64">
        <v>0</v>
      </c>
      <c r="P164" s="64" t="s">
        <v>47</v>
      </c>
      <c r="Q164" s="64"/>
      <c r="R164" s="65"/>
      <c r="S164" s="65" t="s">
        <v>118</v>
      </c>
      <c r="T164" s="64" t="s">
        <v>119</v>
      </c>
      <c r="U164" s="64" t="s">
        <v>50</v>
      </c>
      <c r="V164" s="64" t="s">
        <v>119</v>
      </c>
      <c r="W164" s="64" t="s">
        <v>71</v>
      </c>
      <c r="X164" s="64" t="s">
        <v>109</v>
      </c>
      <c r="Y164" s="79">
        <v>6.9444444444444441E-3</v>
      </c>
      <c r="Z164" s="64" t="s">
        <v>110</v>
      </c>
      <c r="AA164" s="64" t="s">
        <v>945</v>
      </c>
      <c r="AB164" s="87">
        <v>14690</v>
      </c>
      <c r="AC164" s="82" t="s">
        <v>962</v>
      </c>
      <c r="AD164" s="64" t="s">
        <v>783</v>
      </c>
      <c r="AE164" s="64" t="s">
        <v>280</v>
      </c>
      <c r="AF164" s="64">
        <v>49</v>
      </c>
      <c r="AG164" s="64" t="s">
        <v>275</v>
      </c>
      <c r="AH164" s="64" t="s">
        <v>963</v>
      </c>
      <c r="AI164" s="64" t="s">
        <v>59</v>
      </c>
      <c r="AJ164" s="64" t="s">
        <v>134</v>
      </c>
      <c r="AK164" s="68" t="s">
        <v>1541</v>
      </c>
      <c r="AL164" s="65" t="s">
        <v>62</v>
      </c>
      <c r="AM164" s="65" t="s">
        <v>63</v>
      </c>
      <c r="AN164" s="65" t="s">
        <v>63</v>
      </c>
    </row>
    <row r="165" spans="1:40" s="66" customFormat="1" hidden="1" x14ac:dyDescent="0.25">
      <c r="A165" s="65">
        <v>2021</v>
      </c>
      <c r="B165" s="65" t="s">
        <v>940</v>
      </c>
      <c r="C165" s="65" t="s">
        <v>42</v>
      </c>
      <c r="D165" s="64" t="s">
        <v>964</v>
      </c>
      <c r="E165" s="64" t="s">
        <v>44</v>
      </c>
      <c r="F165" s="64" t="s">
        <v>45</v>
      </c>
      <c r="G165" s="64" t="s">
        <v>637</v>
      </c>
      <c r="H165" s="78">
        <v>44216</v>
      </c>
      <c r="I165" s="64">
        <f t="shared" si="10"/>
        <v>6</v>
      </c>
      <c r="J165" s="78">
        <v>44414</v>
      </c>
      <c r="K165" s="64" t="str">
        <f t="shared" si="11"/>
        <v>NUEVO</v>
      </c>
      <c r="L165" s="64"/>
      <c r="M165" s="64"/>
      <c r="N165" s="64"/>
      <c r="O165" s="64">
        <v>0</v>
      </c>
      <c r="P165" s="64" t="s">
        <v>47</v>
      </c>
      <c r="Q165" s="64"/>
      <c r="R165" s="65"/>
      <c r="S165" s="64" t="s">
        <v>255</v>
      </c>
      <c r="T165" s="64" t="s">
        <v>608</v>
      </c>
      <c r="U165" s="64" t="s">
        <v>50</v>
      </c>
      <c r="V165" s="64" t="s">
        <v>965</v>
      </c>
      <c r="W165" s="64" t="s">
        <v>71</v>
      </c>
      <c r="X165" s="64" t="s">
        <v>109</v>
      </c>
      <c r="Y165" s="79">
        <v>0.97916666666666663</v>
      </c>
      <c r="Z165" s="64" t="s">
        <v>110</v>
      </c>
      <c r="AA165" s="64" t="s">
        <v>945</v>
      </c>
      <c r="AB165" s="65"/>
      <c r="AC165" s="82"/>
      <c r="AD165" s="64" t="s">
        <v>259</v>
      </c>
      <c r="AE165" s="64" t="s">
        <v>547</v>
      </c>
      <c r="AF165" s="64">
        <v>21</v>
      </c>
      <c r="AG165" s="64" t="s">
        <v>132</v>
      </c>
      <c r="AH165" s="64" t="s">
        <v>149</v>
      </c>
      <c r="AI165" s="64" t="s">
        <v>59</v>
      </c>
      <c r="AJ165" s="64" t="s">
        <v>134</v>
      </c>
      <c r="AK165" s="68" t="s">
        <v>966</v>
      </c>
      <c r="AL165" s="65" t="s">
        <v>103</v>
      </c>
      <c r="AM165" s="65" t="s">
        <v>63</v>
      </c>
      <c r="AN165" s="65" t="s">
        <v>64</v>
      </c>
    </row>
    <row r="166" spans="1:40" s="66" customFormat="1" hidden="1" x14ac:dyDescent="0.25">
      <c r="A166" s="64">
        <v>2021</v>
      </c>
      <c r="B166" s="64" t="s">
        <v>940</v>
      </c>
      <c r="C166" s="64" t="s">
        <v>42</v>
      </c>
      <c r="D166" s="64" t="s">
        <v>967</v>
      </c>
      <c r="E166" s="253" t="s">
        <v>968</v>
      </c>
      <c r="F166" s="64" t="s">
        <v>45</v>
      </c>
      <c r="G166" s="64" t="s">
        <v>969</v>
      </c>
      <c r="H166" s="78">
        <v>35612</v>
      </c>
      <c r="I166" s="64">
        <f t="shared" si="10"/>
        <v>289</v>
      </c>
      <c r="J166" s="78">
        <v>44420</v>
      </c>
      <c r="K166" s="64" t="str">
        <f t="shared" si="11"/>
        <v>ANTIGUO</v>
      </c>
      <c r="L166" s="78">
        <v>44420</v>
      </c>
      <c r="M166" s="78">
        <v>44420</v>
      </c>
      <c r="N166" s="64"/>
      <c r="O166" s="64">
        <v>0</v>
      </c>
      <c r="P166" s="64" t="s">
        <v>47</v>
      </c>
      <c r="Q166" s="64" t="s">
        <v>195</v>
      </c>
      <c r="R166" s="65" t="s">
        <v>467</v>
      </c>
      <c r="S166" s="65" t="s">
        <v>118</v>
      </c>
      <c r="T166" s="64" t="s">
        <v>130</v>
      </c>
      <c r="U166" s="64" t="s">
        <v>50</v>
      </c>
      <c r="V166" s="64" t="s">
        <v>130</v>
      </c>
      <c r="W166" s="64" t="s">
        <v>71</v>
      </c>
      <c r="X166" s="64" t="s">
        <v>52</v>
      </c>
      <c r="Y166" s="79">
        <v>0.45833333333333331</v>
      </c>
      <c r="Z166" s="64" t="s">
        <v>100</v>
      </c>
      <c r="AA166" s="64" t="s">
        <v>970</v>
      </c>
      <c r="AB166" s="87">
        <v>14697</v>
      </c>
      <c r="AC166" s="82" t="s">
        <v>971</v>
      </c>
      <c r="AD166" s="64" t="s">
        <v>783</v>
      </c>
      <c r="AE166" s="64" t="s">
        <v>280</v>
      </c>
      <c r="AF166" s="64">
        <v>64</v>
      </c>
      <c r="AG166" s="64" t="s">
        <v>275</v>
      </c>
      <c r="AH166" s="65" t="s">
        <v>610</v>
      </c>
      <c r="AI166" s="64" t="s">
        <v>59</v>
      </c>
      <c r="AJ166" s="64" t="s">
        <v>60</v>
      </c>
      <c r="AK166" s="68" t="s">
        <v>1542</v>
      </c>
      <c r="AL166" s="65" t="s">
        <v>62</v>
      </c>
      <c r="AM166" s="65" t="s">
        <v>63</v>
      </c>
      <c r="AN166" s="65" t="s">
        <v>63</v>
      </c>
    </row>
    <row r="167" spans="1:40" s="66" customFormat="1" ht="15.75" hidden="1" x14ac:dyDescent="0.25">
      <c r="A167" s="65">
        <v>2021</v>
      </c>
      <c r="B167" s="65" t="s">
        <v>940</v>
      </c>
      <c r="C167" s="65" t="s">
        <v>42</v>
      </c>
      <c r="D167" s="64" t="s">
        <v>972</v>
      </c>
      <c r="E167" s="64" t="s">
        <v>973</v>
      </c>
      <c r="F167" s="64" t="s">
        <v>116</v>
      </c>
      <c r="G167" s="238" t="s">
        <v>974</v>
      </c>
      <c r="H167" s="11">
        <v>43922</v>
      </c>
      <c r="I167" s="64">
        <f>DATEDIF(H167,J167,"m")</f>
        <v>16</v>
      </c>
      <c r="J167" s="78">
        <v>44419</v>
      </c>
      <c r="K167" s="64" t="str">
        <f>IF(I167&lt;=18,"NUEVO",IF(I167&lt;=36,"INTERMEDIO","ANTIGUO"))</f>
        <v>NUEVO</v>
      </c>
      <c r="L167" s="64"/>
      <c r="M167" s="64"/>
      <c r="N167" s="64"/>
      <c r="O167" s="64">
        <v>0</v>
      </c>
      <c r="P167" s="64" t="s">
        <v>47</v>
      </c>
      <c r="Q167" s="64"/>
      <c r="R167" s="65"/>
      <c r="S167" s="64" t="s">
        <v>156</v>
      </c>
      <c r="T167" s="64" t="s">
        <v>183</v>
      </c>
      <c r="U167" s="64" t="s">
        <v>50</v>
      </c>
      <c r="V167" s="64" t="s">
        <v>975</v>
      </c>
      <c r="W167" s="64" t="s">
        <v>71</v>
      </c>
      <c r="X167" s="64" t="s">
        <v>52</v>
      </c>
      <c r="Y167" s="79">
        <v>0.55555555555555558</v>
      </c>
      <c r="Z167" s="64" t="s">
        <v>88</v>
      </c>
      <c r="AA167" s="64" t="s">
        <v>970</v>
      </c>
      <c r="AB167" s="65"/>
      <c r="AC167" s="82"/>
      <c r="AD167" s="64" t="s">
        <v>159</v>
      </c>
      <c r="AE167" s="64" t="s">
        <v>184</v>
      </c>
      <c r="AF167" s="64">
        <v>53</v>
      </c>
      <c r="AG167" s="64" t="s">
        <v>140</v>
      </c>
      <c r="AH167" s="64" t="s">
        <v>419</v>
      </c>
      <c r="AI167" s="64" t="s">
        <v>59</v>
      </c>
      <c r="AJ167" s="64" t="s">
        <v>134</v>
      </c>
      <c r="AK167" t="s">
        <v>976</v>
      </c>
      <c r="AL167" s="65" t="s">
        <v>62</v>
      </c>
      <c r="AM167" s="65" t="s">
        <v>63</v>
      </c>
      <c r="AN167" s="65" t="s">
        <v>64</v>
      </c>
    </row>
    <row r="168" spans="1:40" s="66" customFormat="1" hidden="1" x14ac:dyDescent="0.25">
      <c r="A168" s="64">
        <v>2021</v>
      </c>
      <c r="B168" s="64" t="s">
        <v>940</v>
      </c>
      <c r="C168" s="64" t="s">
        <v>42</v>
      </c>
      <c r="D168" s="64" t="s">
        <v>977</v>
      </c>
      <c r="E168" s="253" t="s">
        <v>978</v>
      </c>
      <c r="F168" s="64" t="s">
        <v>45</v>
      </c>
      <c r="G168" s="64" t="s">
        <v>979</v>
      </c>
      <c r="H168" s="78">
        <v>44298</v>
      </c>
      <c r="I168" s="64">
        <f>DATEDIF(H168,J168,"m")</f>
        <v>4</v>
      </c>
      <c r="J168" s="78">
        <v>44426</v>
      </c>
      <c r="K168" s="64" t="str">
        <f>IF(I168&lt;=18,"NUEVO",IF(I168&lt;=36,"INTERMEDIO","ANTIGUO"))</f>
        <v>NUEVO</v>
      </c>
      <c r="L168" s="64"/>
      <c r="M168" s="64"/>
      <c r="N168" s="64"/>
      <c r="O168" s="64">
        <v>0</v>
      </c>
      <c r="P168" s="64" t="s">
        <v>47</v>
      </c>
      <c r="Q168" s="64"/>
      <c r="R168" s="65"/>
      <c r="S168" s="64" t="s">
        <v>107</v>
      </c>
      <c r="T168" s="64" t="s">
        <v>980</v>
      </c>
      <c r="U168" s="64" t="s">
        <v>50</v>
      </c>
      <c r="V168" s="64" t="s">
        <v>570</v>
      </c>
      <c r="W168" s="64" t="s">
        <v>71</v>
      </c>
      <c r="X168" s="64" t="s">
        <v>52</v>
      </c>
      <c r="Y168" s="79">
        <v>0.40972222222222227</v>
      </c>
      <c r="Z168" s="64" t="s">
        <v>88</v>
      </c>
      <c r="AA168" s="64" t="s">
        <v>981</v>
      </c>
      <c r="AB168" s="65"/>
      <c r="AC168" s="82" t="s">
        <v>982</v>
      </c>
      <c r="AD168" s="64" t="s">
        <v>111</v>
      </c>
      <c r="AE168" s="64" t="s">
        <v>178</v>
      </c>
      <c r="AF168" s="64">
        <v>19</v>
      </c>
      <c r="AG168" s="64" t="s">
        <v>132</v>
      </c>
      <c r="AH168" s="64" t="s">
        <v>58</v>
      </c>
      <c r="AI168" s="64" t="s">
        <v>59</v>
      </c>
      <c r="AJ168" s="64" t="s">
        <v>244</v>
      </c>
      <c r="AK168" s="68" t="s">
        <v>983</v>
      </c>
      <c r="AL168" s="65" t="s">
        <v>62</v>
      </c>
      <c r="AM168" s="65" t="s">
        <v>63</v>
      </c>
      <c r="AN168" s="65" t="s">
        <v>63</v>
      </c>
    </row>
    <row r="169" spans="1:40" s="66" customFormat="1" hidden="1" x14ac:dyDescent="0.25">
      <c r="A169" s="64">
        <v>2021</v>
      </c>
      <c r="B169" s="64" t="s">
        <v>940</v>
      </c>
      <c r="C169" s="64" t="s">
        <v>42</v>
      </c>
      <c r="D169" s="64" t="s">
        <v>605</v>
      </c>
      <c r="E169" s="64" t="s">
        <v>606</v>
      </c>
      <c r="F169" s="64" t="s">
        <v>45</v>
      </c>
      <c r="G169" s="64" t="s">
        <v>607</v>
      </c>
      <c r="H169" s="11">
        <v>43640</v>
      </c>
      <c r="I169" s="64">
        <f>DATEDIF(H169,J169,"m")</f>
        <v>25</v>
      </c>
      <c r="J169" s="78">
        <v>44428</v>
      </c>
      <c r="K169" s="64" t="str">
        <f t="shared" ref="K169:K208" si="12">IF(I169&lt;=18,"NUEVO",IF(I169&lt;=36,"INTERMEDIO","ANTIGUO"))</f>
        <v>INTERMEDIO</v>
      </c>
      <c r="L169" s="78">
        <v>44428</v>
      </c>
      <c r="M169" s="78">
        <v>44434</v>
      </c>
      <c r="N169" s="64"/>
      <c r="O169" s="64">
        <v>7</v>
      </c>
      <c r="P169" s="64" t="s">
        <v>68</v>
      </c>
      <c r="Q169" s="64" t="s">
        <v>195</v>
      </c>
      <c r="R169" s="65" t="s">
        <v>467</v>
      </c>
      <c r="S169" s="64" t="s">
        <v>255</v>
      </c>
      <c r="T169" s="64" t="s">
        <v>256</v>
      </c>
      <c r="U169" s="64" t="s">
        <v>603</v>
      </c>
      <c r="V169" s="64" t="s">
        <v>608</v>
      </c>
      <c r="W169" s="64" t="s">
        <v>1543</v>
      </c>
      <c r="X169" s="64" t="s">
        <v>52</v>
      </c>
      <c r="Y169" s="79">
        <v>0.33333333333333331</v>
      </c>
      <c r="Z169" s="64" t="s">
        <v>110</v>
      </c>
      <c r="AA169" s="64" t="s">
        <v>981</v>
      </c>
      <c r="AB169" s="87">
        <v>14723</v>
      </c>
      <c r="AC169" s="82" t="s">
        <v>984</v>
      </c>
      <c r="AD169" s="64" t="s">
        <v>259</v>
      </c>
      <c r="AE169" s="64" t="s">
        <v>547</v>
      </c>
      <c r="AF169" s="64">
        <v>31</v>
      </c>
      <c r="AG169" s="64" t="s">
        <v>275</v>
      </c>
      <c r="AH169" s="65" t="s">
        <v>610</v>
      </c>
      <c r="AI169" s="64" t="s">
        <v>59</v>
      </c>
      <c r="AJ169" s="64" t="s">
        <v>60</v>
      </c>
      <c r="AK169" s="68" t="s">
        <v>985</v>
      </c>
      <c r="AL169" s="65" t="s">
        <v>62</v>
      </c>
      <c r="AM169" s="65" t="s">
        <v>63</v>
      </c>
      <c r="AN169" s="65" t="s">
        <v>63</v>
      </c>
    </row>
    <row r="170" spans="1:40" s="66" customFormat="1" hidden="1" x14ac:dyDescent="0.25">
      <c r="A170" s="64">
        <v>2021</v>
      </c>
      <c r="B170" s="64" t="s">
        <v>940</v>
      </c>
      <c r="C170" s="64" t="s">
        <v>42</v>
      </c>
      <c r="D170" s="64" t="s">
        <v>986</v>
      </c>
      <c r="E170" s="64" t="s">
        <v>668</v>
      </c>
      <c r="F170" s="64" t="s">
        <v>45</v>
      </c>
      <c r="G170" s="64" t="s">
        <v>987</v>
      </c>
      <c r="H170" s="78">
        <v>42968</v>
      </c>
      <c r="I170" s="64">
        <f t="shared" ref="I170:I208" si="13">DATEDIF(H170,J170,"m")</f>
        <v>47</v>
      </c>
      <c r="J170" s="78">
        <v>44428</v>
      </c>
      <c r="K170" s="64" t="str">
        <f t="shared" si="12"/>
        <v>ANTIGUO</v>
      </c>
      <c r="L170" s="78">
        <v>44428</v>
      </c>
      <c r="M170" s="78">
        <v>44431</v>
      </c>
      <c r="N170" s="64"/>
      <c r="O170" s="64">
        <v>4</v>
      </c>
      <c r="P170" s="64" t="s">
        <v>68</v>
      </c>
      <c r="Q170" s="64" t="s">
        <v>195</v>
      </c>
      <c r="R170" s="65" t="s">
        <v>923</v>
      </c>
      <c r="S170" s="64" t="s">
        <v>165</v>
      </c>
      <c r="T170" s="64" t="s">
        <v>988</v>
      </c>
      <c r="U170" s="64" t="s">
        <v>989</v>
      </c>
      <c r="V170" s="64" t="s">
        <v>990</v>
      </c>
      <c r="W170" s="64" t="s">
        <v>991</v>
      </c>
      <c r="X170" s="64" t="s">
        <v>52</v>
      </c>
      <c r="Y170" s="79">
        <v>0.41666666666666669</v>
      </c>
      <c r="Z170" s="64" t="s">
        <v>110</v>
      </c>
      <c r="AA170" s="64" t="s">
        <v>981</v>
      </c>
      <c r="AB170" s="87">
        <v>14724</v>
      </c>
      <c r="AC170" s="82" t="s">
        <v>992</v>
      </c>
      <c r="AD170" s="64" t="s">
        <v>168</v>
      </c>
      <c r="AE170" s="64" t="s">
        <v>169</v>
      </c>
      <c r="AF170" s="64">
        <v>48</v>
      </c>
      <c r="AG170" s="64" t="s">
        <v>270</v>
      </c>
      <c r="AH170" s="64" t="s">
        <v>123</v>
      </c>
      <c r="AI170" s="64" t="s">
        <v>498</v>
      </c>
      <c r="AJ170" s="64" t="s">
        <v>125</v>
      </c>
      <c r="AK170" s="68" t="s">
        <v>993</v>
      </c>
      <c r="AL170" s="65" t="s">
        <v>62</v>
      </c>
      <c r="AM170" s="65" t="s">
        <v>63</v>
      </c>
      <c r="AN170" s="65" t="s">
        <v>63</v>
      </c>
    </row>
    <row r="171" spans="1:40" s="66" customFormat="1" hidden="1" x14ac:dyDescent="0.25">
      <c r="A171" s="64">
        <v>2021</v>
      </c>
      <c r="B171" s="64" t="s">
        <v>940</v>
      </c>
      <c r="C171" s="64" t="s">
        <v>42</v>
      </c>
      <c r="D171" s="64" t="s">
        <v>994</v>
      </c>
      <c r="E171" s="64" t="s">
        <v>995</v>
      </c>
      <c r="F171" s="64" t="s">
        <v>45</v>
      </c>
      <c r="G171" s="64" t="s">
        <v>996</v>
      </c>
      <c r="H171" s="78">
        <v>43864</v>
      </c>
      <c r="I171" s="64">
        <f t="shared" si="13"/>
        <v>18</v>
      </c>
      <c r="J171" s="78">
        <v>44428</v>
      </c>
      <c r="K171" s="64" t="str">
        <f t="shared" si="12"/>
        <v>NUEVO</v>
      </c>
      <c r="L171" s="78">
        <v>44431</v>
      </c>
      <c r="M171" s="78">
        <v>44443</v>
      </c>
      <c r="N171" s="64"/>
      <c r="O171" s="64">
        <v>12</v>
      </c>
      <c r="P171" s="64" t="s">
        <v>68</v>
      </c>
      <c r="Q171" s="64" t="s">
        <v>211</v>
      </c>
      <c r="R171" s="65" t="s">
        <v>211</v>
      </c>
      <c r="S171" s="65" t="s">
        <v>118</v>
      </c>
      <c r="T171" s="64" t="s">
        <v>119</v>
      </c>
      <c r="U171" s="64" t="s">
        <v>50</v>
      </c>
      <c r="V171" s="64" t="s">
        <v>665</v>
      </c>
      <c r="W171" s="64" t="s">
        <v>665</v>
      </c>
      <c r="X171" s="64" t="s">
        <v>87</v>
      </c>
      <c r="Y171" s="79">
        <v>0.69097222222222221</v>
      </c>
      <c r="Z171" s="64" t="s">
        <v>110</v>
      </c>
      <c r="AA171" s="64" t="s">
        <v>981</v>
      </c>
      <c r="AB171" s="87">
        <v>14721</v>
      </c>
      <c r="AC171" s="82" t="s">
        <v>997</v>
      </c>
      <c r="AD171" s="64" t="s">
        <v>783</v>
      </c>
      <c r="AE171" s="64" t="s">
        <v>121</v>
      </c>
      <c r="AF171" s="64">
        <v>30</v>
      </c>
      <c r="AG171" s="64" t="s">
        <v>122</v>
      </c>
      <c r="AH171" s="64" t="s">
        <v>58</v>
      </c>
      <c r="AI171" s="64" t="s">
        <v>94</v>
      </c>
      <c r="AJ171" s="64" t="s">
        <v>199</v>
      </c>
      <c r="AK171" s="68" t="s">
        <v>998</v>
      </c>
      <c r="AL171" s="65" t="s">
        <v>62</v>
      </c>
      <c r="AM171" s="65" t="s">
        <v>64</v>
      </c>
      <c r="AN171" s="65" t="s">
        <v>63</v>
      </c>
    </row>
    <row r="172" spans="1:40" s="66" customFormat="1" hidden="1" x14ac:dyDescent="0.25">
      <c r="A172" s="64">
        <v>2021</v>
      </c>
      <c r="B172" s="64" t="s">
        <v>940</v>
      </c>
      <c r="C172" s="64" t="s">
        <v>42</v>
      </c>
      <c r="D172" s="64" t="s">
        <v>999</v>
      </c>
      <c r="E172" s="64" t="s">
        <v>978</v>
      </c>
      <c r="F172" s="64" t="s">
        <v>45</v>
      </c>
      <c r="G172" s="64" t="s">
        <v>1000</v>
      </c>
      <c r="H172" s="78">
        <v>44370</v>
      </c>
      <c r="I172" s="64">
        <f t="shared" si="13"/>
        <v>1</v>
      </c>
      <c r="J172" s="78">
        <v>44428</v>
      </c>
      <c r="K172" s="64" t="str">
        <f t="shared" si="12"/>
        <v>NUEVO</v>
      </c>
      <c r="L172" s="78">
        <v>44431</v>
      </c>
      <c r="M172" s="78">
        <v>44435</v>
      </c>
      <c r="N172" s="64"/>
      <c r="O172" s="64">
        <v>8</v>
      </c>
      <c r="P172" s="64" t="s">
        <v>68</v>
      </c>
      <c r="Q172" s="64"/>
      <c r="R172" s="65"/>
      <c r="S172" s="65" t="s">
        <v>118</v>
      </c>
      <c r="T172" s="64" t="s">
        <v>119</v>
      </c>
      <c r="U172" s="64" t="s">
        <v>1001</v>
      </c>
      <c r="V172" s="64" t="s">
        <v>665</v>
      </c>
      <c r="W172" s="64" t="s">
        <v>665</v>
      </c>
      <c r="X172" s="64" t="s">
        <v>87</v>
      </c>
      <c r="Y172" s="79">
        <v>0.79166666666666663</v>
      </c>
      <c r="Z172" s="64" t="s">
        <v>110</v>
      </c>
      <c r="AA172" s="64" t="s">
        <v>981</v>
      </c>
      <c r="AB172" s="87">
        <v>14722</v>
      </c>
      <c r="AC172" s="82" t="s">
        <v>1002</v>
      </c>
      <c r="AD172" s="64" t="s">
        <v>783</v>
      </c>
      <c r="AE172" s="64" t="s">
        <v>121</v>
      </c>
      <c r="AF172" s="64">
        <v>31</v>
      </c>
      <c r="AG172" s="64" t="s">
        <v>122</v>
      </c>
      <c r="AH172" s="64" t="s">
        <v>58</v>
      </c>
      <c r="AI172" s="64" t="s">
        <v>94</v>
      </c>
      <c r="AJ172" s="64" t="s">
        <v>199</v>
      </c>
      <c r="AK172" s="68" t="s">
        <v>1003</v>
      </c>
      <c r="AL172" s="65" t="s">
        <v>62</v>
      </c>
      <c r="AM172" s="65" t="s">
        <v>63</v>
      </c>
      <c r="AN172" s="65" t="s">
        <v>63</v>
      </c>
    </row>
    <row r="173" spans="1:40" s="66" customFormat="1" hidden="1" x14ac:dyDescent="0.25">
      <c r="A173" s="64">
        <v>2021</v>
      </c>
      <c r="B173" s="64" t="s">
        <v>940</v>
      </c>
      <c r="C173" s="64" t="s">
        <v>42</v>
      </c>
      <c r="D173" s="64" t="s">
        <v>1004</v>
      </c>
      <c r="E173" s="64" t="s">
        <v>1005</v>
      </c>
      <c r="F173" s="64" t="s">
        <v>116</v>
      </c>
      <c r="G173" s="64" t="s">
        <v>1006</v>
      </c>
      <c r="H173" s="78">
        <v>44221</v>
      </c>
      <c r="I173" s="64">
        <f t="shared" si="13"/>
        <v>6</v>
      </c>
      <c r="J173" s="78">
        <v>44432</v>
      </c>
      <c r="K173" s="64" t="str">
        <f t="shared" si="12"/>
        <v>NUEVO</v>
      </c>
      <c r="L173" s="78">
        <v>44550</v>
      </c>
      <c r="M173" s="78">
        <v>44550</v>
      </c>
      <c r="N173" s="64"/>
      <c r="O173" s="64">
        <v>0</v>
      </c>
      <c r="P173" s="64" t="s">
        <v>47</v>
      </c>
      <c r="Q173" s="64"/>
      <c r="R173" s="65"/>
      <c r="S173" s="65" t="s">
        <v>118</v>
      </c>
      <c r="T173" s="64" t="s">
        <v>119</v>
      </c>
      <c r="U173" s="64" t="s">
        <v>50</v>
      </c>
      <c r="V173" s="64" t="s">
        <v>119</v>
      </c>
      <c r="W173" s="64" t="s">
        <v>1007</v>
      </c>
      <c r="X173" s="79" t="s">
        <v>52</v>
      </c>
      <c r="Y173" s="79">
        <v>0.28125</v>
      </c>
      <c r="Z173" s="64" t="s">
        <v>72</v>
      </c>
      <c r="AA173" s="64" t="s">
        <v>1008</v>
      </c>
      <c r="AB173" s="65"/>
      <c r="AC173" s="82"/>
      <c r="AD173" s="64" t="s">
        <v>783</v>
      </c>
      <c r="AE173" s="64" t="s">
        <v>121</v>
      </c>
      <c r="AF173" s="64">
        <v>28</v>
      </c>
      <c r="AG173" s="64" t="s">
        <v>57</v>
      </c>
      <c r="AH173" s="64" t="s">
        <v>58</v>
      </c>
      <c r="AI173" s="64" t="s">
        <v>59</v>
      </c>
      <c r="AJ173" s="64" t="s">
        <v>60</v>
      </c>
      <c r="AK173" s="68" t="s">
        <v>1009</v>
      </c>
      <c r="AL173" s="65" t="s">
        <v>62</v>
      </c>
      <c r="AM173" s="65" t="s">
        <v>63</v>
      </c>
      <c r="AN173" s="65" t="s">
        <v>63</v>
      </c>
    </row>
    <row r="174" spans="1:40" s="66" customFormat="1" hidden="1" x14ac:dyDescent="0.25">
      <c r="A174" s="64">
        <v>2021</v>
      </c>
      <c r="B174" s="64" t="s">
        <v>940</v>
      </c>
      <c r="C174" s="64" t="s">
        <v>42</v>
      </c>
      <c r="D174" s="64" t="s">
        <v>1010</v>
      </c>
      <c r="E174" s="64" t="s">
        <v>796</v>
      </c>
      <c r="F174" s="64" t="s">
        <v>45</v>
      </c>
      <c r="G174" s="64" t="s">
        <v>519</v>
      </c>
      <c r="H174" s="78">
        <v>38177</v>
      </c>
      <c r="I174" s="64">
        <f t="shared" si="13"/>
        <v>205</v>
      </c>
      <c r="J174" s="78">
        <v>44433</v>
      </c>
      <c r="K174" s="64" t="str">
        <f t="shared" si="12"/>
        <v>ANTIGUO</v>
      </c>
      <c r="L174" s="78">
        <v>44433</v>
      </c>
      <c r="M174" s="78">
        <v>44451</v>
      </c>
      <c r="N174" s="64"/>
      <c r="O174" s="64">
        <v>17</v>
      </c>
      <c r="P174" s="64" t="s">
        <v>68</v>
      </c>
      <c r="Q174" s="64" t="s">
        <v>195</v>
      </c>
      <c r="R174" s="65" t="s">
        <v>564</v>
      </c>
      <c r="S174" s="64" t="s">
        <v>48</v>
      </c>
      <c r="T174" s="64" t="s">
        <v>266</v>
      </c>
      <c r="U174" s="64" t="s">
        <v>50</v>
      </c>
      <c r="V174" s="64" t="s">
        <v>266</v>
      </c>
      <c r="W174" s="64" t="s">
        <v>266</v>
      </c>
      <c r="X174" s="64" t="s">
        <v>109</v>
      </c>
      <c r="Y174" s="79">
        <v>0.98958333333333337</v>
      </c>
      <c r="Z174" s="64" t="s">
        <v>88</v>
      </c>
      <c r="AA174" s="64" t="s">
        <v>1008</v>
      </c>
      <c r="AB174" s="87">
        <v>14725</v>
      </c>
      <c r="AC174" s="82" t="s">
        <v>1011</v>
      </c>
      <c r="AD174" s="64" t="s">
        <v>55</v>
      </c>
      <c r="AE174" s="64" t="s">
        <v>101</v>
      </c>
      <c r="AF174" s="64">
        <v>37</v>
      </c>
      <c r="AG174" s="64" t="s">
        <v>57</v>
      </c>
      <c r="AH174" s="64" t="s">
        <v>58</v>
      </c>
      <c r="AI174" s="64" t="s">
        <v>94</v>
      </c>
      <c r="AJ174" s="64" t="s">
        <v>462</v>
      </c>
      <c r="AK174" s="68" t="s">
        <v>1012</v>
      </c>
      <c r="AL174" s="65" t="s">
        <v>62</v>
      </c>
      <c r="AM174" s="65" t="s">
        <v>63</v>
      </c>
      <c r="AN174" s="65" t="s">
        <v>63</v>
      </c>
    </row>
    <row r="175" spans="1:40" s="66" customFormat="1" hidden="1" x14ac:dyDescent="0.25">
      <c r="A175" s="64">
        <v>2021</v>
      </c>
      <c r="B175" s="64" t="s">
        <v>1013</v>
      </c>
      <c r="C175" s="64" t="s">
        <v>42</v>
      </c>
      <c r="D175" s="64" t="s">
        <v>1014</v>
      </c>
      <c r="E175" s="64" t="s">
        <v>1015</v>
      </c>
      <c r="F175" s="64" t="s">
        <v>45</v>
      </c>
      <c r="G175" s="64" t="s">
        <v>1016</v>
      </c>
      <c r="H175" s="78">
        <v>44217</v>
      </c>
      <c r="I175" s="64">
        <f t="shared" si="13"/>
        <v>7</v>
      </c>
      <c r="J175" s="78">
        <v>44441</v>
      </c>
      <c r="K175" s="64" t="str">
        <f t="shared" si="12"/>
        <v>NUEVO</v>
      </c>
      <c r="L175" s="64"/>
      <c r="M175" s="64"/>
      <c r="N175" s="64"/>
      <c r="O175" s="64">
        <v>0</v>
      </c>
      <c r="P175" s="64" t="s">
        <v>47</v>
      </c>
      <c r="Q175" s="64"/>
      <c r="R175" s="65"/>
      <c r="S175" s="64" t="s">
        <v>107</v>
      </c>
      <c r="T175" s="64" t="s">
        <v>980</v>
      </c>
      <c r="U175" s="64" t="s">
        <v>50</v>
      </c>
      <c r="V175" s="64" t="s">
        <v>980</v>
      </c>
      <c r="W175" s="64" t="s">
        <v>71</v>
      </c>
      <c r="X175" s="64" t="s">
        <v>52</v>
      </c>
      <c r="Y175" s="79">
        <v>0.37152777777777773</v>
      </c>
      <c r="Z175" s="64" t="s">
        <v>100</v>
      </c>
      <c r="AA175" s="64" t="s">
        <v>1017</v>
      </c>
      <c r="AB175" s="65"/>
      <c r="AC175" s="82"/>
      <c r="AD175" s="64" t="s">
        <v>111</v>
      </c>
      <c r="AE175" s="64" t="s">
        <v>178</v>
      </c>
      <c r="AF175" s="64">
        <v>24</v>
      </c>
      <c r="AG175" s="64" t="s">
        <v>140</v>
      </c>
      <c r="AH175" s="64" t="s">
        <v>58</v>
      </c>
      <c r="AI175" s="64" t="s">
        <v>59</v>
      </c>
      <c r="AJ175" s="64" t="s">
        <v>60</v>
      </c>
      <c r="AK175" s="68" t="s">
        <v>1018</v>
      </c>
      <c r="AL175" s="65" t="s">
        <v>62</v>
      </c>
      <c r="AM175" s="65" t="s">
        <v>63</v>
      </c>
      <c r="AN175" s="65" t="s">
        <v>64</v>
      </c>
    </row>
    <row r="176" spans="1:40" s="66" customFormat="1" hidden="1" x14ac:dyDescent="0.25">
      <c r="A176" s="64">
        <v>2021</v>
      </c>
      <c r="B176" s="64" t="s">
        <v>1013</v>
      </c>
      <c r="C176" s="64" t="s">
        <v>42</v>
      </c>
      <c r="D176" s="64" t="s">
        <v>1019</v>
      </c>
      <c r="E176" s="64" t="s">
        <v>1020</v>
      </c>
      <c r="F176" s="64" t="s">
        <v>45</v>
      </c>
      <c r="G176" s="64" t="s">
        <v>1021</v>
      </c>
      <c r="H176" s="78">
        <v>43899</v>
      </c>
      <c r="I176" s="64">
        <f t="shared" si="13"/>
        <v>17</v>
      </c>
      <c r="J176" s="78">
        <v>44443</v>
      </c>
      <c r="K176" s="64" t="str">
        <f t="shared" si="12"/>
        <v>NUEVO</v>
      </c>
      <c r="L176" s="64"/>
      <c r="M176" s="64"/>
      <c r="N176" s="64"/>
      <c r="O176" s="64">
        <v>0</v>
      </c>
      <c r="P176" s="64" t="s">
        <v>47</v>
      </c>
      <c r="Q176" s="64"/>
      <c r="R176" s="65"/>
      <c r="S176" s="64" t="s">
        <v>48</v>
      </c>
      <c r="T176" s="64" t="s">
        <v>99</v>
      </c>
      <c r="U176" s="64" t="s">
        <v>50</v>
      </c>
      <c r="V176" s="64" t="s">
        <v>99</v>
      </c>
      <c r="W176" s="64" t="s">
        <v>71</v>
      </c>
      <c r="X176" s="64" t="s">
        <v>87</v>
      </c>
      <c r="Y176" s="79">
        <v>0.55555555555555558</v>
      </c>
      <c r="Z176" s="64" t="s">
        <v>147</v>
      </c>
      <c r="AA176" s="64" t="s">
        <v>1017</v>
      </c>
      <c r="AB176" s="65"/>
      <c r="AC176" s="82"/>
      <c r="AD176" s="64" t="s">
        <v>55</v>
      </c>
      <c r="AE176" s="64" t="s">
        <v>101</v>
      </c>
      <c r="AF176" s="64">
        <v>30</v>
      </c>
      <c r="AG176" s="64" t="s">
        <v>140</v>
      </c>
      <c r="AH176" s="64" t="s">
        <v>58</v>
      </c>
      <c r="AI176" s="64" t="s">
        <v>59</v>
      </c>
      <c r="AJ176" s="64" t="s">
        <v>60</v>
      </c>
      <c r="AK176" s="68" t="s">
        <v>1022</v>
      </c>
      <c r="AL176" s="65" t="s">
        <v>62</v>
      </c>
      <c r="AM176" s="65" t="s">
        <v>63</v>
      </c>
      <c r="AN176" s="65" t="s">
        <v>64</v>
      </c>
    </row>
    <row r="177" spans="1:40" s="66" customFormat="1" hidden="1" x14ac:dyDescent="0.25">
      <c r="A177" s="64">
        <v>2021</v>
      </c>
      <c r="B177" s="64" t="s">
        <v>1013</v>
      </c>
      <c r="C177" s="64" t="s">
        <v>42</v>
      </c>
      <c r="D177" s="64" t="s">
        <v>1023</v>
      </c>
      <c r="E177" s="64" t="s">
        <v>1024</v>
      </c>
      <c r="F177" s="64" t="s">
        <v>116</v>
      </c>
      <c r="G177" s="64" t="s">
        <v>1025</v>
      </c>
      <c r="H177" s="78">
        <v>35871</v>
      </c>
      <c r="I177" s="64">
        <f t="shared" si="13"/>
        <v>281</v>
      </c>
      <c r="J177" s="78">
        <v>44443</v>
      </c>
      <c r="K177" s="64" t="str">
        <f t="shared" si="12"/>
        <v>ANTIGUO</v>
      </c>
      <c r="L177" s="64"/>
      <c r="M177" s="64"/>
      <c r="N177" s="64"/>
      <c r="O177" s="64">
        <v>0</v>
      </c>
      <c r="P177" s="64" t="s">
        <v>47</v>
      </c>
      <c r="Q177" s="64"/>
      <c r="R177" s="65"/>
      <c r="S177" s="64" t="s">
        <v>48</v>
      </c>
      <c r="T177" s="64" t="s">
        <v>99</v>
      </c>
      <c r="U177" s="64" t="s">
        <v>50</v>
      </c>
      <c r="V177" s="64" t="s">
        <v>99</v>
      </c>
      <c r="W177" s="64" t="s">
        <v>1511</v>
      </c>
      <c r="X177" s="64" t="s">
        <v>87</v>
      </c>
      <c r="Y177" s="79">
        <v>0.6875</v>
      </c>
      <c r="Z177" s="64" t="s">
        <v>147</v>
      </c>
      <c r="AA177" s="64" t="s">
        <v>1026</v>
      </c>
      <c r="AB177" s="65"/>
      <c r="AC177" s="82"/>
      <c r="AD177" s="64" t="s">
        <v>55</v>
      </c>
      <c r="AE177" s="64" t="s">
        <v>101</v>
      </c>
      <c r="AF177" s="64">
        <v>51</v>
      </c>
      <c r="AG177" s="64" t="s">
        <v>57</v>
      </c>
      <c r="AH177" s="64" t="s">
        <v>419</v>
      </c>
      <c r="AI177" s="64" t="s">
        <v>59</v>
      </c>
      <c r="AJ177" s="64" t="s">
        <v>60</v>
      </c>
      <c r="AK177" s="68" t="s">
        <v>1027</v>
      </c>
      <c r="AL177" s="65" t="s">
        <v>62</v>
      </c>
      <c r="AM177" s="65" t="s">
        <v>64</v>
      </c>
      <c r="AN177" s="65" t="s">
        <v>64</v>
      </c>
    </row>
    <row r="178" spans="1:40" s="66" customFormat="1" hidden="1" x14ac:dyDescent="0.25">
      <c r="A178" s="64">
        <v>2021</v>
      </c>
      <c r="B178" s="64" t="s">
        <v>1013</v>
      </c>
      <c r="C178" s="64" t="s">
        <v>42</v>
      </c>
      <c r="D178" s="64" t="s">
        <v>1028</v>
      </c>
      <c r="E178" s="64" t="s">
        <v>1029</v>
      </c>
      <c r="F178" s="64" t="s">
        <v>45</v>
      </c>
      <c r="G178" s="64" t="s">
        <v>901</v>
      </c>
      <c r="H178" s="78">
        <v>43998</v>
      </c>
      <c r="I178" s="64">
        <f t="shared" si="13"/>
        <v>14</v>
      </c>
      <c r="J178" s="78">
        <v>44448</v>
      </c>
      <c r="K178" s="64" t="str">
        <f t="shared" si="12"/>
        <v>NUEVO</v>
      </c>
      <c r="L178" s="64"/>
      <c r="M178" s="64"/>
      <c r="N178" s="64"/>
      <c r="O178" s="64">
        <v>0</v>
      </c>
      <c r="P178" s="64" t="s">
        <v>47</v>
      </c>
      <c r="Q178" s="64"/>
      <c r="R178" s="65"/>
      <c r="S178" s="64" t="s">
        <v>83</v>
      </c>
      <c r="T178" s="64" t="s">
        <v>482</v>
      </c>
      <c r="U178" s="64" t="s">
        <v>50</v>
      </c>
      <c r="V178" s="64" t="s">
        <v>482</v>
      </c>
      <c r="W178" s="64" t="s">
        <v>71</v>
      </c>
      <c r="X178" s="64" t="s">
        <v>87</v>
      </c>
      <c r="Y178" s="79">
        <v>0.82291666666666663</v>
      </c>
      <c r="Z178" s="64" t="s">
        <v>100</v>
      </c>
      <c r="AA178" s="64" t="s">
        <v>1030</v>
      </c>
      <c r="AB178" s="65"/>
      <c r="AC178" s="82"/>
      <c r="AD178" s="64" t="s">
        <v>74</v>
      </c>
      <c r="AE178" s="64" t="s">
        <v>485</v>
      </c>
      <c r="AF178" s="64">
        <v>21</v>
      </c>
      <c r="AG178" s="64" t="s">
        <v>275</v>
      </c>
      <c r="AH178" s="64" t="s">
        <v>149</v>
      </c>
      <c r="AI178" s="64" t="s">
        <v>59</v>
      </c>
      <c r="AJ178" s="64" t="s">
        <v>134</v>
      </c>
      <c r="AK178" s="68" t="s">
        <v>1526</v>
      </c>
      <c r="AL178" s="65" t="s">
        <v>103</v>
      </c>
      <c r="AM178" s="65" t="s">
        <v>63</v>
      </c>
      <c r="AN178" s="65" t="s">
        <v>64</v>
      </c>
    </row>
    <row r="179" spans="1:40" s="66" customFormat="1" hidden="1" x14ac:dyDescent="0.25">
      <c r="A179" s="64">
        <v>2021</v>
      </c>
      <c r="B179" s="64" t="s">
        <v>1013</v>
      </c>
      <c r="C179" s="64" t="s">
        <v>42</v>
      </c>
      <c r="D179" s="64" t="s">
        <v>80</v>
      </c>
      <c r="E179" s="64" t="s">
        <v>737</v>
      </c>
      <c r="F179" s="64" t="s">
        <v>45</v>
      </c>
      <c r="G179" s="64" t="s">
        <v>82</v>
      </c>
      <c r="H179" s="78">
        <v>38930</v>
      </c>
      <c r="I179" s="64">
        <f t="shared" si="13"/>
        <v>178</v>
      </c>
      <c r="J179" s="78">
        <v>44356</v>
      </c>
      <c r="K179" s="64" t="str">
        <f t="shared" si="12"/>
        <v>ANTIGUO</v>
      </c>
      <c r="L179" s="64"/>
      <c r="M179" s="64"/>
      <c r="N179" s="64"/>
      <c r="O179" s="64">
        <v>0</v>
      </c>
      <c r="P179" s="64" t="s">
        <v>47</v>
      </c>
      <c r="Q179" s="64"/>
      <c r="R179" s="65"/>
      <c r="S179" s="64" t="s">
        <v>48</v>
      </c>
      <c r="T179" s="64" t="s">
        <v>99</v>
      </c>
      <c r="U179" s="64" t="s">
        <v>50</v>
      </c>
      <c r="V179" s="64" t="s">
        <v>482</v>
      </c>
      <c r="W179" s="64" t="s">
        <v>71</v>
      </c>
      <c r="X179" s="64" t="s">
        <v>87</v>
      </c>
      <c r="Y179" s="79">
        <v>0.8125</v>
      </c>
      <c r="Z179" s="64" t="s">
        <v>100</v>
      </c>
      <c r="AA179" s="64" t="s">
        <v>1030</v>
      </c>
      <c r="AB179" s="65"/>
      <c r="AC179" s="82"/>
      <c r="AD179" s="64" t="s">
        <v>55</v>
      </c>
      <c r="AE179" s="64" t="s">
        <v>56</v>
      </c>
      <c r="AF179" s="64">
        <v>42</v>
      </c>
      <c r="AG179" s="64" t="s">
        <v>275</v>
      </c>
      <c r="AH179" s="64" t="s">
        <v>149</v>
      </c>
      <c r="AI179" s="64" t="s">
        <v>59</v>
      </c>
      <c r="AJ179" s="64" t="s">
        <v>224</v>
      </c>
      <c r="AK179" s="68" t="s">
        <v>1527</v>
      </c>
      <c r="AL179" s="65" t="s">
        <v>62</v>
      </c>
      <c r="AM179" s="65" t="s">
        <v>63</v>
      </c>
      <c r="AN179" s="65" t="s">
        <v>64</v>
      </c>
    </row>
    <row r="180" spans="1:40" s="66" customFormat="1" hidden="1" x14ac:dyDescent="0.25">
      <c r="A180" s="64">
        <v>2021</v>
      </c>
      <c r="B180" s="64" t="s">
        <v>1013</v>
      </c>
      <c r="C180" s="64" t="s">
        <v>42</v>
      </c>
      <c r="D180" s="64" t="s">
        <v>1031</v>
      </c>
      <c r="E180" s="64" t="s">
        <v>1032</v>
      </c>
      <c r="F180" s="64" t="s">
        <v>45</v>
      </c>
      <c r="G180" s="64" t="s">
        <v>1033</v>
      </c>
      <c r="H180" s="78">
        <v>43053</v>
      </c>
      <c r="I180" s="64">
        <f t="shared" si="13"/>
        <v>45</v>
      </c>
      <c r="J180" s="78">
        <v>44449</v>
      </c>
      <c r="K180" s="64" t="str">
        <f t="shared" si="12"/>
        <v>ANTIGUO</v>
      </c>
      <c r="L180" s="64"/>
      <c r="M180" s="64"/>
      <c r="N180" s="64"/>
      <c r="O180" s="64">
        <v>0</v>
      </c>
      <c r="P180" s="64" t="s">
        <v>47</v>
      </c>
      <c r="Q180" s="64" t="s">
        <v>195</v>
      </c>
      <c r="R180" s="65" t="s">
        <v>1513</v>
      </c>
      <c r="S180" s="64" t="s">
        <v>165</v>
      </c>
      <c r="T180" s="64"/>
      <c r="U180" s="64" t="s">
        <v>31</v>
      </c>
      <c r="V180" s="64"/>
      <c r="W180" s="64" t="s">
        <v>1512</v>
      </c>
      <c r="X180" s="64" t="s">
        <v>109</v>
      </c>
      <c r="Y180" s="79">
        <v>0.15277777777777776</v>
      </c>
      <c r="Z180" s="64" t="s">
        <v>110</v>
      </c>
      <c r="AA180" s="64" t="s">
        <v>1030</v>
      </c>
      <c r="AB180" s="65"/>
      <c r="AC180" s="82"/>
      <c r="AD180" s="64" t="s">
        <v>168</v>
      </c>
      <c r="AE180" s="64" t="s">
        <v>714</v>
      </c>
      <c r="AF180" s="64">
        <v>29</v>
      </c>
      <c r="AG180" s="64" t="s">
        <v>57</v>
      </c>
      <c r="AH180" s="64" t="s">
        <v>58</v>
      </c>
      <c r="AI180" s="64" t="s">
        <v>150</v>
      </c>
      <c r="AJ180" s="64" t="s">
        <v>151</v>
      </c>
      <c r="AK180" s="68" t="s">
        <v>1034</v>
      </c>
      <c r="AL180" s="65" t="s">
        <v>62</v>
      </c>
      <c r="AM180" s="65" t="s">
        <v>64</v>
      </c>
      <c r="AN180" s="65" t="s">
        <v>64</v>
      </c>
    </row>
    <row r="181" spans="1:40" s="66" customFormat="1" hidden="1" x14ac:dyDescent="0.25">
      <c r="A181" s="64">
        <v>2021</v>
      </c>
      <c r="B181" s="64" t="s">
        <v>1013</v>
      </c>
      <c r="C181" s="64" t="s">
        <v>42</v>
      </c>
      <c r="D181" s="64" t="s">
        <v>1035</v>
      </c>
      <c r="E181" s="64" t="s">
        <v>1036</v>
      </c>
      <c r="F181" s="64" t="s">
        <v>45</v>
      </c>
      <c r="G181" s="64" t="s">
        <v>1037</v>
      </c>
      <c r="H181" s="78">
        <v>43472</v>
      </c>
      <c r="I181" s="64">
        <f t="shared" si="13"/>
        <v>32</v>
      </c>
      <c r="J181" s="78">
        <v>44449</v>
      </c>
      <c r="K181" s="64" t="str">
        <f t="shared" si="12"/>
        <v>INTERMEDIO</v>
      </c>
      <c r="L181" s="78">
        <v>44449</v>
      </c>
      <c r="M181" s="78">
        <v>44450</v>
      </c>
      <c r="N181" s="64"/>
      <c r="O181" s="64">
        <v>2</v>
      </c>
      <c r="P181" s="64" t="s">
        <v>68</v>
      </c>
      <c r="Q181" s="64"/>
      <c r="R181" s="65"/>
      <c r="S181" s="64" t="s">
        <v>255</v>
      </c>
      <c r="T181" s="64" t="s">
        <v>546</v>
      </c>
      <c r="U181" s="64" t="s">
        <v>50</v>
      </c>
      <c r="V181" s="64" t="s">
        <v>602</v>
      </c>
      <c r="W181" s="64" t="s">
        <v>71</v>
      </c>
      <c r="X181" s="64" t="s">
        <v>87</v>
      </c>
      <c r="Y181" s="79">
        <v>0.5</v>
      </c>
      <c r="Z181" s="64" t="s">
        <v>110</v>
      </c>
      <c r="AA181" s="64" t="s">
        <v>1030</v>
      </c>
      <c r="AB181" s="65"/>
      <c r="AC181" s="82" t="s">
        <v>1038</v>
      </c>
      <c r="AD181" s="64" t="s">
        <v>259</v>
      </c>
      <c r="AE181" s="64" t="s">
        <v>547</v>
      </c>
      <c r="AF181" s="64">
        <v>50</v>
      </c>
      <c r="AG181" s="64" t="s">
        <v>529</v>
      </c>
      <c r="AH181" s="64" t="s">
        <v>205</v>
      </c>
      <c r="AI181" s="64" t="s">
        <v>59</v>
      </c>
      <c r="AJ181" s="64" t="s">
        <v>60</v>
      </c>
      <c r="AK181" s="68" t="s">
        <v>1039</v>
      </c>
      <c r="AL181" s="65" t="s">
        <v>62</v>
      </c>
      <c r="AM181" s="65" t="s">
        <v>63</v>
      </c>
      <c r="AN181" s="65" t="s">
        <v>63</v>
      </c>
    </row>
    <row r="182" spans="1:40" s="66" customFormat="1" hidden="1" x14ac:dyDescent="0.25">
      <c r="A182" s="64">
        <v>2021</v>
      </c>
      <c r="B182" s="64" t="s">
        <v>1013</v>
      </c>
      <c r="C182" s="64" t="s">
        <v>42</v>
      </c>
      <c r="D182" s="64" t="s">
        <v>1040</v>
      </c>
      <c r="E182" s="64" t="s">
        <v>1041</v>
      </c>
      <c r="F182" s="64" t="s">
        <v>45</v>
      </c>
      <c r="G182" s="64" t="s">
        <v>1042</v>
      </c>
      <c r="H182" s="78">
        <v>44319</v>
      </c>
      <c r="I182" s="64">
        <f t="shared" si="13"/>
        <v>4</v>
      </c>
      <c r="J182" s="78">
        <v>44461</v>
      </c>
      <c r="K182" s="64" t="str">
        <f t="shared" si="12"/>
        <v>NUEVO</v>
      </c>
      <c r="L182" s="64"/>
      <c r="M182" s="64"/>
      <c r="N182" s="64"/>
      <c r="O182" s="64">
        <v>0</v>
      </c>
      <c r="P182" s="64" t="s">
        <v>47</v>
      </c>
      <c r="Q182" s="64"/>
      <c r="R182" s="65"/>
      <c r="S182" s="64" t="s">
        <v>165</v>
      </c>
      <c r="T182" s="64" t="s">
        <v>165</v>
      </c>
      <c r="U182" s="64" t="s">
        <v>712</v>
      </c>
      <c r="V182" s="64"/>
      <c r="W182" s="64" t="s">
        <v>1043</v>
      </c>
      <c r="X182" s="64" t="s">
        <v>109</v>
      </c>
      <c r="Y182" s="79">
        <v>0.10416666666666667</v>
      </c>
      <c r="Z182" s="64" t="s">
        <v>88</v>
      </c>
      <c r="AA182" s="64" t="s">
        <v>1044</v>
      </c>
      <c r="AB182" s="65"/>
      <c r="AC182" s="82"/>
      <c r="AD182" s="64" t="s">
        <v>168</v>
      </c>
      <c r="AE182" s="64" t="s">
        <v>223</v>
      </c>
      <c r="AF182" s="64">
        <v>26</v>
      </c>
      <c r="AG182" s="64" t="s">
        <v>57</v>
      </c>
      <c r="AH182" s="64" t="s">
        <v>58</v>
      </c>
      <c r="AI182" s="64" t="s">
        <v>59</v>
      </c>
      <c r="AJ182" s="64" t="s">
        <v>78</v>
      </c>
      <c r="AK182" s="68" t="s">
        <v>1045</v>
      </c>
      <c r="AL182" s="65" t="s">
        <v>62</v>
      </c>
      <c r="AM182" s="65" t="s">
        <v>64</v>
      </c>
      <c r="AN182" s="65" t="s">
        <v>64</v>
      </c>
    </row>
    <row r="183" spans="1:40" s="66" customFormat="1" hidden="1" x14ac:dyDescent="0.25">
      <c r="A183" s="64">
        <v>2021</v>
      </c>
      <c r="B183" s="64" t="s">
        <v>1013</v>
      </c>
      <c r="C183" s="64" t="s">
        <v>42</v>
      </c>
      <c r="D183" s="64" t="s">
        <v>1046</v>
      </c>
      <c r="E183" s="64" t="s">
        <v>1047</v>
      </c>
      <c r="F183" s="64" t="s">
        <v>116</v>
      </c>
      <c r="G183" s="64" t="s">
        <v>740</v>
      </c>
      <c r="H183" s="78">
        <v>44215</v>
      </c>
      <c r="I183" s="64">
        <f t="shared" si="13"/>
        <v>8</v>
      </c>
      <c r="J183" s="78">
        <v>44461</v>
      </c>
      <c r="K183" s="64" t="str">
        <f t="shared" si="12"/>
        <v>NUEVO</v>
      </c>
      <c r="L183" s="78">
        <v>44461</v>
      </c>
      <c r="M183" s="78">
        <v>44463</v>
      </c>
      <c r="N183" s="64"/>
      <c r="O183" s="64">
        <v>3</v>
      </c>
      <c r="P183" s="64" t="s">
        <v>68</v>
      </c>
      <c r="Q183" s="64"/>
      <c r="R183" s="65"/>
      <c r="S183" s="64" t="s">
        <v>83</v>
      </c>
      <c r="T183" s="64" t="s">
        <v>472</v>
      </c>
      <c r="U183" s="64" t="s">
        <v>50</v>
      </c>
      <c r="V183" s="64" t="s">
        <v>472</v>
      </c>
      <c r="W183" s="64" t="s">
        <v>71</v>
      </c>
      <c r="X183" s="64" t="s">
        <v>52</v>
      </c>
      <c r="Y183" s="79">
        <v>0.4201388888888889</v>
      </c>
      <c r="Z183" s="64" t="s">
        <v>88</v>
      </c>
      <c r="AA183" s="64" t="s">
        <v>1044</v>
      </c>
      <c r="AB183" s="65"/>
      <c r="AC183" s="82" t="s">
        <v>1048</v>
      </c>
      <c r="AD183" s="64" t="s">
        <v>74</v>
      </c>
      <c r="AE183" s="64" t="s">
        <v>91</v>
      </c>
      <c r="AF183" s="64">
        <v>21</v>
      </c>
      <c r="AG183" s="64" t="s">
        <v>140</v>
      </c>
      <c r="AH183" s="64" t="s">
        <v>58</v>
      </c>
      <c r="AI183" s="64" t="s">
        <v>59</v>
      </c>
      <c r="AJ183" s="64" t="s">
        <v>134</v>
      </c>
      <c r="AK183" s="68" t="s">
        <v>1049</v>
      </c>
      <c r="AL183" s="65" t="s">
        <v>103</v>
      </c>
      <c r="AM183" s="65" t="s">
        <v>63</v>
      </c>
      <c r="AN183" s="65" t="s">
        <v>63</v>
      </c>
    </row>
    <row r="184" spans="1:40" s="66" customFormat="1" hidden="1" x14ac:dyDescent="0.25">
      <c r="A184" s="64">
        <v>2021</v>
      </c>
      <c r="B184" s="64" t="s">
        <v>1013</v>
      </c>
      <c r="C184" s="64" t="s">
        <v>42</v>
      </c>
      <c r="D184" s="64" t="s">
        <v>1050</v>
      </c>
      <c r="E184" s="64" t="s">
        <v>1051</v>
      </c>
      <c r="F184" s="64" t="s">
        <v>116</v>
      </c>
      <c r="G184" s="64" t="s">
        <v>1052</v>
      </c>
      <c r="H184" s="78">
        <v>41457</v>
      </c>
      <c r="I184" s="64">
        <f t="shared" si="13"/>
        <v>98</v>
      </c>
      <c r="J184" s="78">
        <v>44462</v>
      </c>
      <c r="K184" s="64" t="str">
        <f t="shared" si="12"/>
        <v>ANTIGUO</v>
      </c>
      <c r="L184" s="64"/>
      <c r="M184" s="64"/>
      <c r="N184" s="64"/>
      <c r="O184" s="64">
        <v>0</v>
      </c>
      <c r="P184" s="64" t="s">
        <v>47</v>
      </c>
      <c r="Q184" s="64"/>
      <c r="R184" s="65"/>
      <c r="S184" s="64" t="s">
        <v>107</v>
      </c>
      <c r="T184" s="64" t="s">
        <v>108</v>
      </c>
      <c r="U184" s="64" t="s">
        <v>50</v>
      </c>
      <c r="V184" s="64" t="s">
        <v>1053</v>
      </c>
      <c r="W184" s="64" t="s">
        <v>71</v>
      </c>
      <c r="X184" s="64" t="s">
        <v>87</v>
      </c>
      <c r="Y184" s="79">
        <v>0.5</v>
      </c>
      <c r="Z184" s="64" t="s">
        <v>100</v>
      </c>
      <c r="AA184" s="64" t="s">
        <v>1044</v>
      </c>
      <c r="AB184" s="65"/>
      <c r="AC184" s="82"/>
      <c r="AD184" s="64" t="s">
        <v>111</v>
      </c>
      <c r="AE184" s="64" t="s">
        <v>112</v>
      </c>
      <c r="AF184" s="64">
        <v>42</v>
      </c>
      <c r="AG184" s="64" t="s">
        <v>140</v>
      </c>
      <c r="AH184" s="64" t="s">
        <v>58</v>
      </c>
      <c r="AI184" s="64" t="s">
        <v>94</v>
      </c>
      <c r="AJ184" s="64" t="s">
        <v>199</v>
      </c>
      <c r="AK184" s="68" t="s">
        <v>1054</v>
      </c>
      <c r="AL184" s="65" t="s">
        <v>62</v>
      </c>
      <c r="AM184" s="65" t="s">
        <v>63</v>
      </c>
      <c r="AN184" s="65" t="s">
        <v>64</v>
      </c>
    </row>
    <row r="185" spans="1:40" s="66" customFormat="1" hidden="1" x14ac:dyDescent="0.25">
      <c r="A185" s="64">
        <v>2021</v>
      </c>
      <c r="B185" s="64" t="s">
        <v>1013</v>
      </c>
      <c r="C185" s="64" t="s">
        <v>42</v>
      </c>
      <c r="D185" s="64" t="s">
        <v>1028</v>
      </c>
      <c r="E185" s="64" t="s">
        <v>1055</v>
      </c>
      <c r="F185" s="64" t="s">
        <v>45</v>
      </c>
      <c r="G185" s="64" t="s">
        <v>1056</v>
      </c>
      <c r="H185" s="78">
        <v>44440</v>
      </c>
      <c r="I185" s="64">
        <f t="shared" si="13"/>
        <v>0</v>
      </c>
      <c r="J185" s="78">
        <v>44461</v>
      </c>
      <c r="K185" s="64" t="str">
        <f t="shared" si="12"/>
        <v>NUEVO</v>
      </c>
      <c r="L185" s="78">
        <v>44462</v>
      </c>
      <c r="M185" s="78">
        <v>44463</v>
      </c>
      <c r="N185" s="64"/>
      <c r="O185" s="64">
        <v>2</v>
      </c>
      <c r="P185" s="64" t="s">
        <v>68</v>
      </c>
      <c r="Q185" s="64"/>
      <c r="R185" s="65"/>
      <c r="S185" s="64" t="s">
        <v>118</v>
      </c>
      <c r="T185" s="64" t="s">
        <v>119</v>
      </c>
      <c r="U185" s="64" t="s">
        <v>50</v>
      </c>
      <c r="V185" s="64" t="s">
        <v>1057</v>
      </c>
      <c r="W185" s="64" t="s">
        <v>71</v>
      </c>
      <c r="X185" s="64" t="s">
        <v>109</v>
      </c>
      <c r="Y185" s="79">
        <v>0.91666666666666663</v>
      </c>
      <c r="Z185" s="64" t="s">
        <v>88</v>
      </c>
      <c r="AA185" s="64" t="s">
        <v>1044</v>
      </c>
      <c r="AB185" s="65"/>
      <c r="AC185" s="82" t="s">
        <v>1058</v>
      </c>
      <c r="AD185" s="64" t="s">
        <v>783</v>
      </c>
      <c r="AE185" s="64" t="s">
        <v>1059</v>
      </c>
      <c r="AF185" s="64">
        <v>28</v>
      </c>
      <c r="AG185" s="64" t="s">
        <v>270</v>
      </c>
      <c r="AH185" s="65" t="s">
        <v>610</v>
      </c>
      <c r="AI185" s="64" t="s">
        <v>150</v>
      </c>
      <c r="AJ185" s="64" t="s">
        <v>125</v>
      </c>
      <c r="AK185" s="68" t="s">
        <v>1060</v>
      </c>
      <c r="AL185" s="65" t="s">
        <v>62</v>
      </c>
      <c r="AM185" s="65" t="s">
        <v>63</v>
      </c>
      <c r="AN185" s="65" t="s">
        <v>63</v>
      </c>
    </row>
    <row r="186" spans="1:40" s="66" customFormat="1" hidden="1" x14ac:dyDescent="0.25">
      <c r="A186" s="64">
        <v>2021</v>
      </c>
      <c r="B186" s="64" t="s">
        <v>1013</v>
      </c>
      <c r="C186" s="64" t="s">
        <v>42</v>
      </c>
      <c r="D186" s="64" t="s">
        <v>1010</v>
      </c>
      <c r="E186" s="64" t="s">
        <v>796</v>
      </c>
      <c r="F186" s="64" t="s">
        <v>45</v>
      </c>
      <c r="G186" s="64" t="s">
        <v>519</v>
      </c>
      <c r="H186" s="78">
        <v>38177</v>
      </c>
      <c r="I186" s="64">
        <f t="shared" si="13"/>
        <v>206</v>
      </c>
      <c r="J186" s="78">
        <v>44463</v>
      </c>
      <c r="K186" s="64" t="str">
        <f t="shared" si="12"/>
        <v>ANTIGUO</v>
      </c>
      <c r="L186" s="64"/>
      <c r="M186" s="64"/>
      <c r="N186" s="64"/>
      <c r="O186" s="64">
        <v>0</v>
      </c>
      <c r="P186" s="64" t="s">
        <v>47</v>
      </c>
      <c r="Q186" s="64"/>
      <c r="R186" s="65"/>
      <c r="S186" s="64" t="s">
        <v>48</v>
      </c>
      <c r="T186" s="64" t="s">
        <v>99</v>
      </c>
      <c r="U186" s="64" t="s">
        <v>50</v>
      </c>
      <c r="V186" s="64" t="s">
        <v>1061</v>
      </c>
      <c r="W186" s="64" t="s">
        <v>71</v>
      </c>
      <c r="X186" s="64" t="s">
        <v>87</v>
      </c>
      <c r="Y186" s="79">
        <v>0.60069444444444442</v>
      </c>
      <c r="Z186" s="64" t="s">
        <v>110</v>
      </c>
      <c r="AA186" s="64" t="s">
        <v>1044</v>
      </c>
      <c r="AB186" s="65"/>
      <c r="AC186" s="82"/>
      <c r="AD186" s="64" t="s">
        <v>55</v>
      </c>
      <c r="AE186" s="64" t="s">
        <v>101</v>
      </c>
      <c r="AF186" s="64">
        <v>37</v>
      </c>
      <c r="AG186" s="64" t="s">
        <v>389</v>
      </c>
      <c r="AH186" s="64" t="s">
        <v>58</v>
      </c>
      <c r="AI186" s="64" t="s">
        <v>94</v>
      </c>
      <c r="AJ186" s="64" t="s">
        <v>78</v>
      </c>
      <c r="AK186" s="68" t="s">
        <v>1062</v>
      </c>
      <c r="AL186" s="65" t="s">
        <v>103</v>
      </c>
      <c r="AM186" s="65" t="s">
        <v>63</v>
      </c>
      <c r="AN186" s="65" t="s">
        <v>64</v>
      </c>
    </row>
    <row r="187" spans="1:40" s="66" customFormat="1" hidden="1" x14ac:dyDescent="0.25">
      <c r="A187" s="64">
        <v>2021</v>
      </c>
      <c r="B187" s="64" t="s">
        <v>1013</v>
      </c>
      <c r="C187" s="64" t="s">
        <v>42</v>
      </c>
      <c r="D187" s="64" t="s">
        <v>1063</v>
      </c>
      <c r="E187" s="64" t="s">
        <v>1064</v>
      </c>
      <c r="F187" s="64" t="s">
        <v>116</v>
      </c>
      <c r="G187" s="64" t="s">
        <v>1065</v>
      </c>
      <c r="H187" s="78">
        <v>43836</v>
      </c>
      <c r="I187" s="64">
        <f t="shared" si="13"/>
        <v>20</v>
      </c>
      <c r="J187" s="78">
        <v>44464</v>
      </c>
      <c r="K187" s="64" t="str">
        <f t="shared" si="12"/>
        <v>INTERMEDIO</v>
      </c>
      <c r="L187" s="64"/>
      <c r="M187" s="64"/>
      <c r="N187" s="64"/>
      <c r="O187" s="64">
        <v>0</v>
      </c>
      <c r="P187" s="64" t="s">
        <v>47</v>
      </c>
      <c r="Q187" s="64" t="s">
        <v>195</v>
      </c>
      <c r="R187" s="65" t="s">
        <v>467</v>
      </c>
      <c r="S187" s="64" t="s">
        <v>156</v>
      </c>
      <c r="T187" s="64" t="s">
        <v>183</v>
      </c>
      <c r="U187" s="64" t="s">
        <v>50</v>
      </c>
      <c r="V187" s="64" t="s">
        <v>818</v>
      </c>
      <c r="W187" s="64" t="s">
        <v>71</v>
      </c>
      <c r="X187" s="64" t="s">
        <v>87</v>
      </c>
      <c r="Y187" s="79">
        <v>0.59375</v>
      </c>
      <c r="Z187" s="64" t="s">
        <v>147</v>
      </c>
      <c r="AA187" s="64" t="s">
        <v>1044</v>
      </c>
      <c r="AB187" s="65"/>
      <c r="AC187" s="82"/>
      <c r="AD187" s="64" t="s">
        <v>159</v>
      </c>
      <c r="AE187" s="64" t="s">
        <v>184</v>
      </c>
      <c r="AF187" s="64">
        <v>51</v>
      </c>
      <c r="AG187" s="64" t="s">
        <v>275</v>
      </c>
      <c r="AH187" s="65" t="s">
        <v>610</v>
      </c>
      <c r="AI187" s="64" t="s">
        <v>59</v>
      </c>
      <c r="AJ187" s="64" t="s">
        <v>60</v>
      </c>
      <c r="AK187" s="68" t="s">
        <v>1528</v>
      </c>
      <c r="AL187" s="65" t="s">
        <v>62</v>
      </c>
      <c r="AM187" s="65" t="s">
        <v>63</v>
      </c>
      <c r="AN187" s="65" t="s">
        <v>64</v>
      </c>
    </row>
    <row r="188" spans="1:40" s="66" customFormat="1" hidden="1" x14ac:dyDescent="0.25">
      <c r="A188" s="64">
        <v>2021</v>
      </c>
      <c r="B188" s="64" t="s">
        <v>1013</v>
      </c>
      <c r="C188" s="64" t="s">
        <v>42</v>
      </c>
      <c r="D188" s="64" t="s">
        <v>1066</v>
      </c>
      <c r="E188" s="64" t="s">
        <v>1067</v>
      </c>
      <c r="F188" s="64" t="s">
        <v>45</v>
      </c>
      <c r="G188" s="64" t="s">
        <v>1068</v>
      </c>
      <c r="H188" s="78">
        <v>44249</v>
      </c>
      <c r="I188" s="64">
        <f t="shared" si="13"/>
        <v>7</v>
      </c>
      <c r="J188" s="78">
        <v>44466</v>
      </c>
      <c r="K188" s="64" t="str">
        <f t="shared" si="12"/>
        <v>NUEVO</v>
      </c>
      <c r="L188" s="78">
        <v>44466</v>
      </c>
      <c r="M188" s="64"/>
      <c r="N188" s="64"/>
      <c r="O188" s="64">
        <v>0</v>
      </c>
      <c r="P188" s="64" t="s">
        <v>47</v>
      </c>
      <c r="Q188" s="64" t="s">
        <v>211</v>
      </c>
      <c r="R188" s="65"/>
      <c r="S188" s="64" t="s">
        <v>156</v>
      </c>
      <c r="T188" s="64" t="s">
        <v>183</v>
      </c>
      <c r="U188" s="64" t="s">
        <v>50</v>
      </c>
      <c r="V188" s="64" t="s">
        <v>1069</v>
      </c>
      <c r="W188" s="64" t="s">
        <v>71</v>
      </c>
      <c r="X188" s="64" t="s">
        <v>109</v>
      </c>
      <c r="Y188" s="79">
        <v>2.7777777777777779E-3</v>
      </c>
      <c r="Z188" s="64" t="s">
        <v>53</v>
      </c>
      <c r="AA188" s="64" t="s">
        <v>1070</v>
      </c>
      <c r="AB188" s="65" t="s">
        <v>911</v>
      </c>
      <c r="AC188" s="82" t="s">
        <v>1071</v>
      </c>
      <c r="AD188" s="64" t="s">
        <v>159</v>
      </c>
      <c r="AE188" s="64" t="s">
        <v>1072</v>
      </c>
      <c r="AF188" s="64">
        <v>18</v>
      </c>
      <c r="AG188" s="64" t="s">
        <v>132</v>
      </c>
      <c r="AH188" s="65" t="s">
        <v>610</v>
      </c>
      <c r="AI188" s="64" t="s">
        <v>59</v>
      </c>
      <c r="AJ188" s="64" t="s">
        <v>134</v>
      </c>
      <c r="AK188" s="68" t="s">
        <v>1073</v>
      </c>
      <c r="AL188" s="65" t="s">
        <v>103</v>
      </c>
      <c r="AM188" s="65" t="s">
        <v>63</v>
      </c>
      <c r="AN188" s="65" t="s">
        <v>64</v>
      </c>
    </row>
    <row r="189" spans="1:40" s="66" customFormat="1" hidden="1" x14ac:dyDescent="0.25">
      <c r="A189" s="64">
        <v>2021</v>
      </c>
      <c r="B189" s="64" t="s">
        <v>1013</v>
      </c>
      <c r="C189" s="64" t="s">
        <v>42</v>
      </c>
      <c r="D189" s="64" t="s">
        <v>1074</v>
      </c>
      <c r="E189" s="253" t="s">
        <v>1075</v>
      </c>
      <c r="F189" s="64" t="s">
        <v>116</v>
      </c>
      <c r="G189" s="64" t="s">
        <v>1076</v>
      </c>
      <c r="H189" s="78">
        <v>42693</v>
      </c>
      <c r="I189" s="64">
        <f t="shared" si="13"/>
        <v>58</v>
      </c>
      <c r="J189" s="78">
        <v>44466</v>
      </c>
      <c r="K189" s="64" t="str">
        <f t="shared" si="12"/>
        <v>ANTIGUO</v>
      </c>
      <c r="L189" s="78">
        <v>44467</v>
      </c>
      <c r="M189" s="78">
        <v>44467</v>
      </c>
      <c r="N189" s="64"/>
      <c r="O189" s="64">
        <v>0</v>
      </c>
      <c r="P189" s="64" t="s">
        <v>47</v>
      </c>
      <c r="Q189" s="64"/>
      <c r="R189" s="65"/>
      <c r="S189" s="64" t="s">
        <v>118</v>
      </c>
      <c r="T189" s="64" t="s">
        <v>119</v>
      </c>
      <c r="U189" s="64" t="s">
        <v>50</v>
      </c>
      <c r="V189" s="64" t="s">
        <v>119</v>
      </c>
      <c r="W189" s="64" t="s">
        <v>71</v>
      </c>
      <c r="X189" s="64" t="s">
        <v>87</v>
      </c>
      <c r="Y189" s="79">
        <v>0.79861111111111116</v>
      </c>
      <c r="Z189" s="64" t="s">
        <v>53</v>
      </c>
      <c r="AA189" s="64" t="s">
        <v>1070</v>
      </c>
      <c r="AB189" s="65"/>
      <c r="AC189" s="82" t="s">
        <v>1077</v>
      </c>
      <c r="AD189" s="64" t="s">
        <v>783</v>
      </c>
      <c r="AE189" s="64" t="s">
        <v>131</v>
      </c>
      <c r="AF189" s="64">
        <v>50</v>
      </c>
      <c r="AG189" s="64" t="s">
        <v>122</v>
      </c>
      <c r="AH189" s="64" t="s">
        <v>205</v>
      </c>
      <c r="AI189" s="64" t="s">
        <v>59</v>
      </c>
      <c r="AJ189" s="64" t="s">
        <v>60</v>
      </c>
      <c r="AK189" s="68" t="s">
        <v>1078</v>
      </c>
      <c r="AL189" s="65" t="s">
        <v>103</v>
      </c>
      <c r="AM189" s="65" t="s">
        <v>63</v>
      </c>
      <c r="AN189" s="65" t="s">
        <v>63</v>
      </c>
    </row>
    <row r="190" spans="1:40" s="66" customFormat="1" hidden="1" x14ac:dyDescent="0.25">
      <c r="A190" s="64">
        <v>2021</v>
      </c>
      <c r="B190" s="64" t="s">
        <v>1079</v>
      </c>
      <c r="C190" s="64" t="s">
        <v>42</v>
      </c>
      <c r="D190" s="64" t="s">
        <v>1080</v>
      </c>
      <c r="E190" s="64" t="s">
        <v>1081</v>
      </c>
      <c r="F190" s="64" t="s">
        <v>45</v>
      </c>
      <c r="G190" s="64" t="s">
        <v>1082</v>
      </c>
      <c r="H190" s="78">
        <v>44445</v>
      </c>
      <c r="I190" s="64">
        <f t="shared" si="13"/>
        <v>0</v>
      </c>
      <c r="J190" s="78">
        <v>44471</v>
      </c>
      <c r="K190" s="64" t="str">
        <f t="shared" si="12"/>
        <v>NUEVO</v>
      </c>
      <c r="L190" s="64"/>
      <c r="M190" s="64"/>
      <c r="N190" s="64"/>
      <c r="O190" s="64">
        <v>0</v>
      </c>
      <c r="P190" s="64" t="s">
        <v>47</v>
      </c>
      <c r="Q190" s="64" t="s">
        <v>195</v>
      </c>
      <c r="R190" s="65" t="s">
        <v>467</v>
      </c>
      <c r="S190" s="64" t="s">
        <v>255</v>
      </c>
      <c r="T190" s="64" t="s">
        <v>546</v>
      </c>
      <c r="U190" s="64" t="s">
        <v>50</v>
      </c>
      <c r="V190" s="64" t="s">
        <v>546</v>
      </c>
      <c r="W190" s="64" t="s">
        <v>71</v>
      </c>
      <c r="X190" s="64" t="s">
        <v>52</v>
      </c>
      <c r="Y190" s="79">
        <v>0.47569444444444442</v>
      </c>
      <c r="Z190" s="64" t="s">
        <v>147</v>
      </c>
      <c r="AA190" s="64" t="s">
        <v>1070</v>
      </c>
      <c r="AB190" s="65"/>
      <c r="AC190" s="82"/>
      <c r="AD190" s="64" t="s">
        <v>259</v>
      </c>
      <c r="AE190" s="64" t="s">
        <v>547</v>
      </c>
      <c r="AF190" s="64">
        <v>20</v>
      </c>
      <c r="AG190" s="64" t="s">
        <v>275</v>
      </c>
      <c r="AH190" s="64" t="s">
        <v>236</v>
      </c>
      <c r="AI190" s="64" t="s">
        <v>59</v>
      </c>
      <c r="AJ190" s="64" t="s">
        <v>60</v>
      </c>
      <c r="AK190" s="68" t="s">
        <v>1529</v>
      </c>
      <c r="AL190" s="65" t="s">
        <v>62</v>
      </c>
      <c r="AM190" s="65" t="s">
        <v>63</v>
      </c>
      <c r="AN190" s="65" t="s">
        <v>64</v>
      </c>
    </row>
    <row r="191" spans="1:40" s="66" customFormat="1" ht="45" hidden="1" x14ac:dyDescent="0.25">
      <c r="A191" s="64">
        <v>2021</v>
      </c>
      <c r="B191" s="64" t="s">
        <v>1079</v>
      </c>
      <c r="C191" s="64" t="s">
        <v>42</v>
      </c>
      <c r="D191" s="64" t="s">
        <v>1083</v>
      </c>
      <c r="E191" s="253" t="s">
        <v>1084</v>
      </c>
      <c r="F191" s="64" t="s">
        <v>45</v>
      </c>
      <c r="G191" s="64" t="s">
        <v>1085</v>
      </c>
      <c r="H191" s="78">
        <v>44383</v>
      </c>
      <c r="I191" s="64">
        <f t="shared" si="13"/>
        <v>2</v>
      </c>
      <c r="J191" s="78">
        <v>44471</v>
      </c>
      <c r="K191" s="64" t="str">
        <f t="shared" si="12"/>
        <v>NUEVO</v>
      </c>
      <c r="L191" s="78">
        <v>44473</v>
      </c>
      <c r="M191" s="78">
        <v>44473</v>
      </c>
      <c r="N191" s="64"/>
      <c r="O191" s="64">
        <v>0</v>
      </c>
      <c r="P191" s="64" t="s">
        <v>47</v>
      </c>
      <c r="Q191" s="64" t="s">
        <v>195</v>
      </c>
      <c r="R191" s="65" t="s">
        <v>467</v>
      </c>
      <c r="S191" s="64" t="s">
        <v>118</v>
      </c>
      <c r="T191" s="64" t="s">
        <v>119</v>
      </c>
      <c r="U191" s="64" t="s">
        <v>50</v>
      </c>
      <c r="V191" s="64" t="s">
        <v>1086</v>
      </c>
      <c r="W191" s="64" t="s">
        <v>71</v>
      </c>
      <c r="X191" s="64" t="s">
        <v>52</v>
      </c>
      <c r="Y191" s="79">
        <v>0.47916666666666669</v>
      </c>
      <c r="Z191" s="64" t="s">
        <v>147</v>
      </c>
      <c r="AA191" s="64" t="s">
        <v>1070</v>
      </c>
      <c r="AB191" s="65"/>
      <c r="AC191" s="82" t="s">
        <v>1087</v>
      </c>
      <c r="AD191" s="64" t="s">
        <v>783</v>
      </c>
      <c r="AE191" s="64" t="s">
        <v>198</v>
      </c>
      <c r="AF191" s="64">
        <v>31</v>
      </c>
      <c r="AG191" s="64" t="s">
        <v>275</v>
      </c>
      <c r="AH191" s="65" t="s">
        <v>610</v>
      </c>
      <c r="AI191" s="64" t="s">
        <v>59</v>
      </c>
      <c r="AJ191" s="64" t="s">
        <v>60</v>
      </c>
      <c r="AK191" s="68" t="s">
        <v>1530</v>
      </c>
      <c r="AL191" s="65" t="s">
        <v>62</v>
      </c>
      <c r="AM191" s="65" t="s">
        <v>63</v>
      </c>
      <c r="AN191" s="65" t="s">
        <v>63</v>
      </c>
    </row>
    <row r="192" spans="1:40" s="66" customFormat="1" hidden="1" x14ac:dyDescent="0.25">
      <c r="A192" s="64">
        <v>2021</v>
      </c>
      <c r="B192" s="64" t="s">
        <v>1079</v>
      </c>
      <c r="C192" s="64" t="s">
        <v>42</v>
      </c>
      <c r="D192" s="64" t="s">
        <v>1088</v>
      </c>
      <c r="E192" s="253" t="s">
        <v>1089</v>
      </c>
      <c r="F192" s="64" t="s">
        <v>116</v>
      </c>
      <c r="G192" s="64" t="s">
        <v>1090</v>
      </c>
      <c r="H192" s="78">
        <v>39630</v>
      </c>
      <c r="I192" s="64">
        <f t="shared" si="13"/>
        <v>159</v>
      </c>
      <c r="J192" s="78">
        <v>44473</v>
      </c>
      <c r="K192" s="64" t="str">
        <f t="shared" si="12"/>
        <v>ANTIGUO</v>
      </c>
      <c r="L192" s="78">
        <v>44473</v>
      </c>
      <c r="M192" s="78">
        <v>44473</v>
      </c>
      <c r="N192" s="64"/>
      <c r="O192" s="64">
        <v>0</v>
      </c>
      <c r="P192" s="64" t="s">
        <v>47</v>
      </c>
      <c r="Q192" s="64"/>
      <c r="R192" s="65"/>
      <c r="S192" s="64" t="s">
        <v>156</v>
      </c>
      <c r="T192" s="64" t="s">
        <v>1091</v>
      </c>
      <c r="U192" s="64" t="s">
        <v>50</v>
      </c>
      <c r="V192" s="64" t="s">
        <v>1092</v>
      </c>
      <c r="W192" s="64" t="s">
        <v>71</v>
      </c>
      <c r="X192" s="64" t="s">
        <v>87</v>
      </c>
      <c r="Y192" s="79">
        <v>0.60416666666666663</v>
      </c>
      <c r="Z192" s="64" t="s">
        <v>53</v>
      </c>
      <c r="AA192" s="64" t="s">
        <v>1093</v>
      </c>
      <c r="AB192" s="65"/>
      <c r="AC192" s="82" t="s">
        <v>1094</v>
      </c>
      <c r="AD192" s="64" t="s">
        <v>159</v>
      </c>
      <c r="AE192" s="64" t="s">
        <v>218</v>
      </c>
      <c r="AF192" s="64">
        <v>66</v>
      </c>
      <c r="AG192" s="64" t="s">
        <v>270</v>
      </c>
      <c r="AH192" s="64" t="s">
        <v>123</v>
      </c>
      <c r="AI192" s="64" t="s">
        <v>498</v>
      </c>
      <c r="AJ192" s="64" t="s">
        <v>125</v>
      </c>
      <c r="AK192" s="68" t="s">
        <v>1095</v>
      </c>
      <c r="AL192" s="65" t="s">
        <v>62</v>
      </c>
      <c r="AM192" s="65" t="s">
        <v>63</v>
      </c>
      <c r="AN192" s="65" t="s">
        <v>63</v>
      </c>
    </row>
    <row r="193" spans="1:40" s="66" customFormat="1" hidden="1" x14ac:dyDescent="0.25">
      <c r="A193" s="64">
        <v>2021</v>
      </c>
      <c r="B193" s="64" t="s">
        <v>1079</v>
      </c>
      <c r="C193" s="64" t="s">
        <v>42</v>
      </c>
      <c r="D193" s="64" t="s">
        <v>1096</v>
      </c>
      <c r="E193" s="64" t="s">
        <v>181</v>
      </c>
      <c r="F193" s="64" t="s">
        <v>45</v>
      </c>
      <c r="G193" s="64" t="s">
        <v>1097</v>
      </c>
      <c r="H193" s="78">
        <v>39295</v>
      </c>
      <c r="I193" s="64">
        <f t="shared" si="13"/>
        <v>170</v>
      </c>
      <c r="J193" s="78">
        <v>44478</v>
      </c>
      <c r="K193" s="64" t="str">
        <f t="shared" si="12"/>
        <v>ANTIGUO</v>
      </c>
      <c r="L193" s="78">
        <v>44481</v>
      </c>
      <c r="M193" s="78">
        <v>44484</v>
      </c>
      <c r="N193" s="64"/>
      <c r="O193" s="64">
        <v>3</v>
      </c>
      <c r="P193" s="64" t="s">
        <v>68</v>
      </c>
      <c r="Q193" s="64" t="s">
        <v>195</v>
      </c>
      <c r="R193" s="65" t="s">
        <v>196</v>
      </c>
      <c r="S193" s="64" t="s">
        <v>156</v>
      </c>
      <c r="T193" s="64" t="s">
        <v>1091</v>
      </c>
      <c r="U193" s="64" t="s">
        <v>50</v>
      </c>
      <c r="V193" s="64" t="s">
        <v>811</v>
      </c>
      <c r="W193" s="64" t="s">
        <v>1098</v>
      </c>
      <c r="X193" s="64" t="s">
        <v>52</v>
      </c>
      <c r="Y193" s="79">
        <v>0.30555555555555552</v>
      </c>
      <c r="Z193" s="64" t="s">
        <v>147</v>
      </c>
      <c r="AA193" s="64" t="s">
        <v>1093</v>
      </c>
      <c r="AB193" s="65"/>
      <c r="AC193" s="82" t="s">
        <v>1099</v>
      </c>
      <c r="AD193" s="64" t="s">
        <v>159</v>
      </c>
      <c r="AE193" s="64" t="s">
        <v>541</v>
      </c>
      <c r="AF193" s="64">
        <v>64</v>
      </c>
      <c r="AG193" s="64" t="s">
        <v>57</v>
      </c>
      <c r="AH193" s="64" t="s">
        <v>58</v>
      </c>
      <c r="AI193" s="64" t="s">
        <v>94</v>
      </c>
      <c r="AJ193" s="64" t="s">
        <v>199</v>
      </c>
      <c r="AK193" s="68" t="s">
        <v>1100</v>
      </c>
      <c r="AL193" s="65" t="s">
        <v>62</v>
      </c>
      <c r="AM193" s="65" t="s">
        <v>63</v>
      </c>
      <c r="AN193" s="65" t="s">
        <v>63</v>
      </c>
    </row>
    <row r="194" spans="1:40" s="66" customFormat="1" hidden="1" x14ac:dyDescent="0.25">
      <c r="A194" s="64">
        <v>2021</v>
      </c>
      <c r="B194" s="64" t="s">
        <v>1079</v>
      </c>
      <c r="C194" s="64" t="s">
        <v>42</v>
      </c>
      <c r="D194" s="64" t="s">
        <v>837</v>
      </c>
      <c r="E194" s="64" t="s">
        <v>137</v>
      </c>
      <c r="F194" s="64" t="s">
        <v>45</v>
      </c>
      <c r="G194" s="64" t="s">
        <v>839</v>
      </c>
      <c r="H194" s="11">
        <v>41477</v>
      </c>
      <c r="I194" s="64">
        <f t="shared" si="13"/>
        <v>98</v>
      </c>
      <c r="J194" s="78">
        <v>44482</v>
      </c>
      <c r="K194" s="64" t="str">
        <f t="shared" si="12"/>
        <v>ANTIGUO</v>
      </c>
      <c r="L194" s="64"/>
      <c r="M194" s="64"/>
      <c r="N194" s="64"/>
      <c r="O194" s="64">
        <v>0</v>
      </c>
      <c r="P194" s="64" t="s">
        <v>47</v>
      </c>
      <c r="Q194" s="64" t="s">
        <v>211</v>
      </c>
      <c r="R194" s="65"/>
      <c r="S194" s="64" t="s">
        <v>156</v>
      </c>
      <c r="T194" s="64" t="s">
        <v>183</v>
      </c>
      <c r="U194" s="64" t="s">
        <v>50</v>
      </c>
      <c r="V194" s="64" t="s">
        <v>665</v>
      </c>
      <c r="W194" s="64" t="s">
        <v>665</v>
      </c>
      <c r="X194" s="64" t="s">
        <v>109</v>
      </c>
      <c r="Y194" s="79">
        <v>0.14583333333333334</v>
      </c>
      <c r="Z194" s="64" t="s">
        <v>88</v>
      </c>
      <c r="AA194" s="64" t="s">
        <v>1093</v>
      </c>
      <c r="AB194" s="65"/>
      <c r="AC194" s="82"/>
      <c r="AD194" s="64" t="s">
        <v>159</v>
      </c>
      <c r="AE194" s="64" t="s">
        <v>160</v>
      </c>
      <c r="AF194" s="64">
        <v>30</v>
      </c>
      <c r="AG194" s="64" t="s">
        <v>132</v>
      </c>
      <c r="AH194" s="64" t="s">
        <v>419</v>
      </c>
      <c r="AI194" s="64" t="s">
        <v>59</v>
      </c>
      <c r="AJ194" s="64" t="s">
        <v>134</v>
      </c>
      <c r="AK194" s="68" t="s">
        <v>1101</v>
      </c>
      <c r="AL194" s="65" t="s">
        <v>103</v>
      </c>
      <c r="AM194" s="65" t="s">
        <v>63</v>
      </c>
      <c r="AN194" s="65" t="s">
        <v>64</v>
      </c>
    </row>
    <row r="195" spans="1:40" s="66" customFormat="1" hidden="1" x14ac:dyDescent="0.25">
      <c r="A195" s="64">
        <v>2021</v>
      </c>
      <c r="B195" s="64" t="s">
        <v>1079</v>
      </c>
      <c r="C195" s="64" t="s">
        <v>42</v>
      </c>
      <c r="D195" s="64" t="s">
        <v>1102</v>
      </c>
      <c r="E195" s="64" t="s">
        <v>1024</v>
      </c>
      <c r="F195" s="64" t="s">
        <v>116</v>
      </c>
      <c r="G195" s="64" t="s">
        <v>1103</v>
      </c>
      <c r="H195" s="11">
        <v>44215</v>
      </c>
      <c r="I195" s="64">
        <f t="shared" si="13"/>
        <v>8</v>
      </c>
      <c r="J195" s="78">
        <v>44483</v>
      </c>
      <c r="K195" s="64" t="str">
        <f t="shared" si="12"/>
        <v>NUEVO</v>
      </c>
      <c r="L195" s="64"/>
      <c r="M195" s="64"/>
      <c r="N195" s="64"/>
      <c r="O195" s="64">
        <v>0</v>
      </c>
      <c r="P195" s="64" t="s">
        <v>47</v>
      </c>
      <c r="Q195" s="64"/>
      <c r="R195" s="65"/>
      <c r="S195" s="64" t="s">
        <v>83</v>
      </c>
      <c r="T195" s="64" t="s">
        <v>84</v>
      </c>
      <c r="U195" s="45" t="s">
        <v>741</v>
      </c>
      <c r="V195" s="64" t="s">
        <v>1104</v>
      </c>
      <c r="W195" s="64" t="s">
        <v>71</v>
      </c>
      <c r="X195" s="64" t="s">
        <v>87</v>
      </c>
      <c r="Y195" s="79">
        <v>0.56944444444444442</v>
      </c>
      <c r="Z195" s="64" t="s">
        <v>100</v>
      </c>
      <c r="AA195" s="64" t="s">
        <v>1093</v>
      </c>
      <c r="AB195" s="65" t="s">
        <v>911</v>
      </c>
      <c r="AC195" s="82"/>
      <c r="AD195" s="64" t="s">
        <v>74</v>
      </c>
      <c r="AE195" s="64" t="s">
        <v>91</v>
      </c>
      <c r="AF195" s="64">
        <v>50</v>
      </c>
      <c r="AG195" s="64" t="s">
        <v>559</v>
      </c>
      <c r="AH195" s="64" t="s">
        <v>419</v>
      </c>
      <c r="AI195" s="64" t="s">
        <v>59</v>
      </c>
      <c r="AJ195" s="64" t="s">
        <v>224</v>
      </c>
      <c r="AK195" s="68" t="s">
        <v>1105</v>
      </c>
      <c r="AL195" s="65" t="s">
        <v>62</v>
      </c>
      <c r="AM195" s="65" t="s">
        <v>63</v>
      </c>
      <c r="AN195" s="65" t="s">
        <v>64</v>
      </c>
    </row>
    <row r="196" spans="1:40" s="66" customFormat="1" hidden="1" x14ac:dyDescent="0.25">
      <c r="A196" s="64">
        <v>2021</v>
      </c>
      <c r="B196" s="64" t="s">
        <v>1079</v>
      </c>
      <c r="C196" s="64" t="s">
        <v>42</v>
      </c>
      <c r="D196" s="64" t="s">
        <v>1106</v>
      </c>
      <c r="E196" s="253" t="s">
        <v>253</v>
      </c>
      <c r="F196" s="64" t="s">
        <v>45</v>
      </c>
      <c r="G196" s="241" t="s">
        <v>1107</v>
      </c>
      <c r="H196" s="11">
        <v>43339</v>
      </c>
      <c r="I196" s="64">
        <f t="shared" si="13"/>
        <v>37</v>
      </c>
      <c r="J196" s="78">
        <v>44483</v>
      </c>
      <c r="K196" s="64" t="str">
        <f t="shared" si="12"/>
        <v>ANTIGUO</v>
      </c>
      <c r="L196" s="64"/>
      <c r="M196" s="64"/>
      <c r="N196" s="64"/>
      <c r="O196" s="64">
        <v>0</v>
      </c>
      <c r="P196" s="64" t="s">
        <v>47</v>
      </c>
      <c r="Q196" s="64"/>
      <c r="R196" s="65"/>
      <c r="S196" s="64" t="s">
        <v>118</v>
      </c>
      <c r="T196" s="64" t="s">
        <v>130</v>
      </c>
      <c r="U196" s="45" t="s">
        <v>1108</v>
      </c>
      <c r="V196" s="64" t="s">
        <v>1109</v>
      </c>
      <c r="W196" s="64" t="s">
        <v>1109</v>
      </c>
      <c r="X196" s="64" t="s">
        <v>87</v>
      </c>
      <c r="Y196" s="242">
        <v>0.68055555555555547</v>
      </c>
      <c r="Z196" s="64" t="s">
        <v>100</v>
      </c>
      <c r="AA196" s="64" t="s">
        <v>1093</v>
      </c>
      <c r="AB196" s="65"/>
      <c r="AC196" s="82" t="s">
        <v>1110</v>
      </c>
      <c r="AD196" s="64" t="s">
        <v>783</v>
      </c>
      <c r="AE196" s="64" t="s">
        <v>280</v>
      </c>
      <c r="AF196" s="64">
        <v>34</v>
      </c>
      <c r="AG196" s="64" t="s">
        <v>57</v>
      </c>
      <c r="AH196" s="64" t="s">
        <v>123</v>
      </c>
      <c r="AI196" s="64" t="s">
        <v>94</v>
      </c>
      <c r="AJ196" s="64" t="s">
        <v>60</v>
      </c>
      <c r="AK196" s="68" t="s">
        <v>1111</v>
      </c>
      <c r="AL196" s="65" t="s">
        <v>62</v>
      </c>
      <c r="AM196" s="65" t="s">
        <v>64</v>
      </c>
      <c r="AN196" s="65" t="s">
        <v>63</v>
      </c>
    </row>
    <row r="197" spans="1:40" s="66" customFormat="1" hidden="1" x14ac:dyDescent="0.25">
      <c r="A197" s="64">
        <v>2021</v>
      </c>
      <c r="B197" s="64" t="s">
        <v>1079</v>
      </c>
      <c r="C197" s="64" t="s">
        <v>42</v>
      </c>
      <c r="D197" s="64" t="s">
        <v>1112</v>
      </c>
      <c r="E197" s="64" t="s">
        <v>1113</v>
      </c>
      <c r="F197" s="64" t="s">
        <v>45</v>
      </c>
      <c r="G197" s="64" t="s">
        <v>1114</v>
      </c>
      <c r="H197" s="78">
        <v>44403</v>
      </c>
      <c r="I197" s="64">
        <f t="shared" si="13"/>
        <v>2</v>
      </c>
      <c r="J197" s="78">
        <v>44488</v>
      </c>
      <c r="K197" s="64" t="str">
        <f t="shared" si="12"/>
        <v>NUEVO</v>
      </c>
      <c r="L197" s="78">
        <v>44488</v>
      </c>
      <c r="M197" s="78">
        <v>44493</v>
      </c>
      <c r="N197" s="64"/>
      <c r="O197" s="64">
        <v>6</v>
      </c>
      <c r="P197" s="64" t="s">
        <v>68</v>
      </c>
      <c r="Q197" s="64"/>
      <c r="R197" s="65"/>
      <c r="S197" s="64" t="s">
        <v>165</v>
      </c>
      <c r="T197" s="64" t="s">
        <v>165</v>
      </c>
      <c r="U197" s="64" t="s">
        <v>1115</v>
      </c>
      <c r="V197" s="64" t="s">
        <v>1116</v>
      </c>
      <c r="W197" s="64"/>
      <c r="X197" s="64" t="s">
        <v>52</v>
      </c>
      <c r="Y197" s="79">
        <v>0.29166666666666669</v>
      </c>
      <c r="Z197" s="64" t="s">
        <v>72</v>
      </c>
      <c r="AA197" s="64" t="s">
        <v>1117</v>
      </c>
      <c r="AB197" s="65"/>
      <c r="AC197" s="82" t="s">
        <v>1118</v>
      </c>
      <c r="AD197" s="64" t="s">
        <v>168</v>
      </c>
      <c r="AE197" s="64" t="s">
        <v>1119</v>
      </c>
      <c r="AF197" s="64">
        <v>32</v>
      </c>
      <c r="AG197" s="64" t="s">
        <v>132</v>
      </c>
      <c r="AH197" s="64" t="s">
        <v>102</v>
      </c>
      <c r="AI197" s="64" t="s">
        <v>59</v>
      </c>
      <c r="AJ197" s="64" t="s">
        <v>134</v>
      </c>
      <c r="AK197" s="68" t="s">
        <v>1120</v>
      </c>
      <c r="AL197" s="65" t="s">
        <v>103</v>
      </c>
      <c r="AM197" s="65" t="s">
        <v>63</v>
      </c>
      <c r="AN197" s="65" t="s">
        <v>63</v>
      </c>
    </row>
    <row r="198" spans="1:40" s="66" customFormat="1" hidden="1" x14ac:dyDescent="0.25">
      <c r="A198" s="64">
        <v>2021</v>
      </c>
      <c r="B198" s="64" t="s">
        <v>1079</v>
      </c>
      <c r="C198" s="64" t="s">
        <v>42</v>
      </c>
      <c r="D198" s="64" t="s">
        <v>1121</v>
      </c>
      <c r="E198" s="64" t="s">
        <v>1122</v>
      </c>
      <c r="F198" s="64" t="s">
        <v>116</v>
      </c>
      <c r="G198" s="64" t="s">
        <v>1123</v>
      </c>
      <c r="H198" s="78">
        <v>44441</v>
      </c>
      <c r="I198" s="64">
        <f t="shared" si="13"/>
        <v>1</v>
      </c>
      <c r="J198" s="78">
        <v>44489</v>
      </c>
      <c r="K198" s="64" t="str">
        <f t="shared" si="12"/>
        <v>NUEVO</v>
      </c>
      <c r="L198" s="64"/>
      <c r="M198" s="64"/>
      <c r="N198" s="64"/>
      <c r="O198" s="64">
        <v>0</v>
      </c>
      <c r="P198" s="64" t="s">
        <v>47</v>
      </c>
      <c r="Q198" s="64"/>
      <c r="R198" s="65"/>
      <c r="S198" s="64" t="s">
        <v>118</v>
      </c>
      <c r="T198" s="64" t="s">
        <v>130</v>
      </c>
      <c r="U198" s="64" t="s">
        <v>50</v>
      </c>
      <c r="V198" s="64"/>
      <c r="W198" s="64"/>
      <c r="X198" s="64" t="s">
        <v>52</v>
      </c>
      <c r="Y198" s="79">
        <v>0.35416666666666669</v>
      </c>
      <c r="Z198" s="64" t="s">
        <v>88</v>
      </c>
      <c r="AA198" s="64" t="s">
        <v>1117</v>
      </c>
      <c r="AB198" s="65"/>
      <c r="AC198" s="82"/>
      <c r="AD198" s="64" t="s">
        <v>783</v>
      </c>
      <c r="AE198" s="64" t="s">
        <v>131</v>
      </c>
      <c r="AF198" s="64">
        <v>27</v>
      </c>
      <c r="AG198" s="64" t="s">
        <v>270</v>
      </c>
      <c r="AH198" s="64" t="s">
        <v>123</v>
      </c>
      <c r="AI198" s="64" t="s">
        <v>498</v>
      </c>
      <c r="AJ198" s="64" t="s">
        <v>125</v>
      </c>
      <c r="AK198" s="68" t="s">
        <v>1124</v>
      </c>
      <c r="AL198" s="65" t="s">
        <v>62</v>
      </c>
      <c r="AM198" s="65" t="s">
        <v>63</v>
      </c>
      <c r="AN198" s="65" t="s">
        <v>64</v>
      </c>
    </row>
    <row r="199" spans="1:40" s="66" customFormat="1" hidden="1" x14ac:dyDescent="0.25">
      <c r="A199" s="64">
        <v>2021</v>
      </c>
      <c r="B199" s="64" t="s">
        <v>1079</v>
      </c>
      <c r="C199" s="64" t="s">
        <v>42</v>
      </c>
      <c r="D199" s="64" t="s">
        <v>1125</v>
      </c>
      <c r="E199" s="64" t="s">
        <v>1126</v>
      </c>
      <c r="F199" s="64" t="s">
        <v>45</v>
      </c>
      <c r="G199" s="64" t="s">
        <v>1127</v>
      </c>
      <c r="H199" s="243">
        <v>41309</v>
      </c>
      <c r="I199" s="64">
        <f>DATEDIF(H199,J199,"m")</f>
        <v>104</v>
      </c>
      <c r="J199" s="78">
        <v>44490</v>
      </c>
      <c r="K199" s="64" t="str">
        <f>IF(I199&lt;=18,"NUEVO",IF(I199&lt;=36,"INTERMEDIO","ANTIGUO"))</f>
        <v>ANTIGUO</v>
      </c>
      <c r="L199" s="64"/>
      <c r="M199" s="64"/>
      <c r="N199" s="64"/>
      <c r="O199" s="64">
        <v>0</v>
      </c>
      <c r="P199" s="64" t="s">
        <v>47</v>
      </c>
      <c r="Q199" s="64"/>
      <c r="R199" s="65"/>
      <c r="S199" s="64" t="s">
        <v>118</v>
      </c>
      <c r="T199" s="64" t="s">
        <v>119</v>
      </c>
      <c r="U199" s="36" t="s">
        <v>1128</v>
      </c>
      <c r="V199" s="64" t="s">
        <v>1129</v>
      </c>
      <c r="W199" s="64" t="s">
        <v>1130</v>
      </c>
      <c r="X199" s="64" t="s">
        <v>87</v>
      </c>
      <c r="Y199" s="79">
        <v>0.54166666666666663</v>
      </c>
      <c r="Z199" s="64" t="s">
        <v>100</v>
      </c>
      <c r="AA199" s="64" t="s">
        <v>1117</v>
      </c>
      <c r="AB199" s="65"/>
      <c r="AC199" s="82"/>
      <c r="AD199" s="64" t="s">
        <v>783</v>
      </c>
      <c r="AE199" s="64" t="s">
        <v>131</v>
      </c>
      <c r="AF199" s="64">
        <v>27</v>
      </c>
      <c r="AG199" s="64" t="s">
        <v>1131</v>
      </c>
      <c r="AH199" s="64" t="s">
        <v>58</v>
      </c>
      <c r="AI199" s="64" t="s">
        <v>59</v>
      </c>
      <c r="AJ199" s="64" t="s">
        <v>1132</v>
      </c>
      <c r="AK199" s="68" t="s">
        <v>1133</v>
      </c>
      <c r="AL199" s="65" t="s">
        <v>103</v>
      </c>
      <c r="AM199" s="65" t="s">
        <v>63</v>
      </c>
      <c r="AN199" s="65" t="s">
        <v>64</v>
      </c>
    </row>
    <row r="200" spans="1:40" s="66" customFormat="1" hidden="1" x14ac:dyDescent="0.25">
      <c r="A200" s="64">
        <v>2021</v>
      </c>
      <c r="B200" s="64" t="s">
        <v>1079</v>
      </c>
      <c r="C200" s="64" t="s">
        <v>42</v>
      </c>
      <c r="D200" s="64" t="s">
        <v>1134</v>
      </c>
      <c r="E200" s="64" t="s">
        <v>44</v>
      </c>
      <c r="F200" s="64" t="s">
        <v>45</v>
      </c>
      <c r="G200" s="64" t="s">
        <v>1135</v>
      </c>
      <c r="H200" s="78">
        <v>44222</v>
      </c>
      <c r="I200" s="64">
        <f t="shared" si="13"/>
        <v>8</v>
      </c>
      <c r="J200" s="78">
        <v>44490</v>
      </c>
      <c r="K200" s="64" t="str">
        <f t="shared" si="12"/>
        <v>NUEVO</v>
      </c>
      <c r="L200" s="78">
        <v>44490</v>
      </c>
      <c r="M200" s="78">
        <v>44492</v>
      </c>
      <c r="N200" s="64"/>
      <c r="O200" s="64">
        <v>3</v>
      </c>
      <c r="P200" s="64" t="s">
        <v>68</v>
      </c>
      <c r="Q200" s="64"/>
      <c r="R200" s="65"/>
      <c r="S200" s="64" t="s">
        <v>83</v>
      </c>
      <c r="T200" s="64" t="s">
        <v>472</v>
      </c>
      <c r="U200" s="64" t="s">
        <v>50</v>
      </c>
      <c r="V200" s="64"/>
      <c r="W200" s="64"/>
      <c r="X200" s="64" t="s">
        <v>52</v>
      </c>
      <c r="Y200" s="79">
        <v>0.31597222222222221</v>
      </c>
      <c r="Z200" s="64" t="s">
        <v>100</v>
      </c>
      <c r="AA200" s="64" t="s">
        <v>1117</v>
      </c>
      <c r="AB200" s="65"/>
      <c r="AC200" s="82" t="s">
        <v>1136</v>
      </c>
      <c r="AD200" s="64" t="s">
        <v>74</v>
      </c>
      <c r="AE200" s="64" t="s">
        <v>91</v>
      </c>
      <c r="AF200" s="64">
        <v>21</v>
      </c>
      <c r="AG200" s="64" t="s">
        <v>389</v>
      </c>
      <c r="AH200" s="64" t="s">
        <v>58</v>
      </c>
      <c r="AI200" s="64" t="s">
        <v>94</v>
      </c>
      <c r="AJ200" s="64" t="s">
        <v>199</v>
      </c>
      <c r="AK200" s="68" t="s">
        <v>1137</v>
      </c>
      <c r="AL200" s="65" t="s">
        <v>103</v>
      </c>
      <c r="AM200" s="65" t="s">
        <v>63</v>
      </c>
      <c r="AN200" s="65" t="s">
        <v>63</v>
      </c>
    </row>
    <row r="201" spans="1:40" s="66" customFormat="1" hidden="1" x14ac:dyDescent="0.25">
      <c r="A201" s="64">
        <v>2021</v>
      </c>
      <c r="B201" s="64" t="s">
        <v>1079</v>
      </c>
      <c r="C201" s="64" t="s">
        <v>42</v>
      </c>
      <c r="D201" s="64" t="s">
        <v>682</v>
      </c>
      <c r="E201" s="64" t="s">
        <v>683</v>
      </c>
      <c r="F201" s="64" t="s">
        <v>116</v>
      </c>
      <c r="G201" s="64" t="s">
        <v>684</v>
      </c>
      <c r="H201" s="78">
        <v>41989</v>
      </c>
      <c r="I201" s="64">
        <f t="shared" si="13"/>
        <v>82</v>
      </c>
      <c r="J201" s="78">
        <v>44491</v>
      </c>
      <c r="K201" s="64" t="str">
        <f t="shared" si="12"/>
        <v>ANTIGUO</v>
      </c>
      <c r="L201" s="78">
        <v>44491</v>
      </c>
      <c r="M201" s="78">
        <v>44498</v>
      </c>
      <c r="N201" s="64"/>
      <c r="O201" s="64">
        <v>8</v>
      </c>
      <c r="P201" s="64" t="s">
        <v>68</v>
      </c>
      <c r="Q201" s="64"/>
      <c r="R201" s="65"/>
      <c r="S201" s="64" t="s">
        <v>69</v>
      </c>
      <c r="T201" s="64" t="s">
        <v>119</v>
      </c>
      <c r="U201" s="64" t="s">
        <v>50</v>
      </c>
      <c r="V201" s="64" t="s">
        <v>69</v>
      </c>
      <c r="W201" s="64"/>
      <c r="X201" s="64" t="s">
        <v>52</v>
      </c>
      <c r="Y201" s="79">
        <v>0.22569444444444445</v>
      </c>
      <c r="Z201" s="64" t="s">
        <v>110</v>
      </c>
      <c r="AA201" s="64" t="s">
        <v>1117</v>
      </c>
      <c r="AB201" s="65"/>
      <c r="AC201" s="82" t="s">
        <v>1138</v>
      </c>
      <c r="AD201" s="64" t="s">
        <v>74</v>
      </c>
      <c r="AE201" s="64" t="s">
        <v>75</v>
      </c>
      <c r="AF201" s="64">
        <v>29</v>
      </c>
      <c r="AG201" s="64" t="s">
        <v>328</v>
      </c>
      <c r="AH201" s="64" t="s">
        <v>58</v>
      </c>
      <c r="AI201" s="64" t="s">
        <v>94</v>
      </c>
      <c r="AJ201" s="64" t="s">
        <v>199</v>
      </c>
      <c r="AK201" s="68" t="s">
        <v>1139</v>
      </c>
      <c r="AL201" s="65" t="s">
        <v>62</v>
      </c>
      <c r="AM201" s="65" t="s">
        <v>63</v>
      </c>
      <c r="AN201" s="65" t="s">
        <v>63</v>
      </c>
    </row>
    <row r="202" spans="1:40" s="66" customFormat="1" hidden="1" x14ac:dyDescent="0.25">
      <c r="A202" s="64">
        <v>2021</v>
      </c>
      <c r="B202" s="64" t="s">
        <v>1079</v>
      </c>
      <c r="C202" s="64" t="s">
        <v>42</v>
      </c>
      <c r="D202" s="64" t="s">
        <v>1140</v>
      </c>
      <c r="E202" s="64" t="s">
        <v>1141</v>
      </c>
      <c r="F202" s="64" t="s">
        <v>116</v>
      </c>
      <c r="G202" s="64" t="s">
        <v>1142</v>
      </c>
      <c r="H202" s="243">
        <v>42963</v>
      </c>
      <c r="I202" s="64">
        <f t="shared" si="13"/>
        <v>50</v>
      </c>
      <c r="J202" s="78">
        <v>44495</v>
      </c>
      <c r="K202" s="64" t="str">
        <f t="shared" si="12"/>
        <v>ANTIGUO</v>
      </c>
      <c r="L202" s="78">
        <v>44495</v>
      </c>
      <c r="M202" s="64"/>
      <c r="N202" s="64"/>
      <c r="O202" s="64">
        <v>4</v>
      </c>
      <c r="P202" s="64" t="s">
        <v>68</v>
      </c>
      <c r="Q202" s="64"/>
      <c r="R202" s="65"/>
      <c r="S202" s="64" t="s">
        <v>156</v>
      </c>
      <c r="T202" s="36" t="s">
        <v>539</v>
      </c>
      <c r="U202" s="64" t="s">
        <v>50</v>
      </c>
      <c r="V202" s="64" t="s">
        <v>1143</v>
      </c>
      <c r="W202" s="64" t="s">
        <v>1144</v>
      </c>
      <c r="X202" s="64" t="s">
        <v>52</v>
      </c>
      <c r="Y202" s="79">
        <v>0.47569444444444442</v>
      </c>
      <c r="Z202" s="64" t="s">
        <v>72</v>
      </c>
      <c r="AA202" s="64" t="s">
        <v>1145</v>
      </c>
      <c r="AB202" s="65"/>
      <c r="AC202" s="82" t="s">
        <v>1146</v>
      </c>
      <c r="AD202" s="64" t="s">
        <v>159</v>
      </c>
      <c r="AE202" s="64" t="s">
        <v>541</v>
      </c>
      <c r="AF202" s="64">
        <v>30</v>
      </c>
      <c r="AG202" s="64" t="s">
        <v>652</v>
      </c>
      <c r="AH202" s="64" t="s">
        <v>58</v>
      </c>
      <c r="AI202" s="64" t="s">
        <v>559</v>
      </c>
      <c r="AJ202" s="64" t="s">
        <v>316</v>
      </c>
      <c r="AK202" s="68" t="s">
        <v>1147</v>
      </c>
      <c r="AL202" s="65" t="s">
        <v>103</v>
      </c>
      <c r="AM202" s="65" t="s">
        <v>63</v>
      </c>
      <c r="AN202" s="65" t="s">
        <v>63</v>
      </c>
    </row>
    <row r="203" spans="1:40" s="66" customFormat="1" hidden="1" x14ac:dyDescent="0.25">
      <c r="A203" s="64">
        <v>2021</v>
      </c>
      <c r="B203" s="64" t="s">
        <v>1079</v>
      </c>
      <c r="C203" s="64" t="s">
        <v>42</v>
      </c>
      <c r="D203" s="64" t="s">
        <v>1148</v>
      </c>
      <c r="E203" s="64" t="s">
        <v>1149</v>
      </c>
      <c r="F203" s="64" t="s">
        <v>45</v>
      </c>
      <c r="G203" s="64" t="s">
        <v>646</v>
      </c>
      <c r="H203" s="78">
        <v>40667</v>
      </c>
      <c r="I203" s="64">
        <f t="shared" si="13"/>
        <v>125</v>
      </c>
      <c r="J203" s="78">
        <v>44495</v>
      </c>
      <c r="K203" s="64" t="str">
        <f t="shared" si="12"/>
        <v>ANTIGUO</v>
      </c>
      <c r="L203" s="64"/>
      <c r="M203" s="64"/>
      <c r="N203" s="64"/>
      <c r="O203" s="64">
        <v>0</v>
      </c>
      <c r="P203" s="64" t="s">
        <v>47</v>
      </c>
      <c r="Q203" s="64" t="s">
        <v>195</v>
      </c>
      <c r="R203" s="65" t="s">
        <v>564</v>
      </c>
      <c r="S203" s="64" t="s">
        <v>156</v>
      </c>
      <c r="T203" s="64" t="s">
        <v>130</v>
      </c>
      <c r="U203" s="36" t="s">
        <v>1150</v>
      </c>
      <c r="V203" s="64" t="s">
        <v>130</v>
      </c>
      <c r="W203" s="64" t="s">
        <v>1151</v>
      </c>
      <c r="X203" s="64" t="s">
        <v>52</v>
      </c>
      <c r="Y203" s="64"/>
      <c r="Z203" s="64" t="s">
        <v>72</v>
      </c>
      <c r="AA203" s="64" t="s">
        <v>1145</v>
      </c>
      <c r="AB203" s="65"/>
      <c r="AC203" s="82"/>
      <c r="AD203" s="64" t="s">
        <v>783</v>
      </c>
      <c r="AE203" s="64" t="s">
        <v>198</v>
      </c>
      <c r="AF203" s="64">
        <v>46</v>
      </c>
      <c r="AG203" s="64" t="s">
        <v>57</v>
      </c>
      <c r="AH203" s="64" t="s">
        <v>58</v>
      </c>
      <c r="AI203" s="64" t="s">
        <v>559</v>
      </c>
      <c r="AJ203" s="64" t="s">
        <v>462</v>
      </c>
      <c r="AK203" s="68" t="s">
        <v>1152</v>
      </c>
      <c r="AL203" s="65" t="s">
        <v>103</v>
      </c>
      <c r="AM203" s="65" t="s">
        <v>63</v>
      </c>
      <c r="AN203" s="65" t="s">
        <v>64</v>
      </c>
    </row>
    <row r="204" spans="1:40" s="66" customFormat="1" ht="15.75" hidden="1" x14ac:dyDescent="0.25">
      <c r="A204" s="64">
        <v>2021</v>
      </c>
      <c r="B204" s="64" t="s">
        <v>1079</v>
      </c>
      <c r="C204" s="64" t="s">
        <v>42</v>
      </c>
      <c r="D204" s="103" t="s">
        <v>1153</v>
      </c>
      <c r="E204" s="64" t="s">
        <v>1154</v>
      </c>
      <c r="F204" s="64" t="s">
        <v>116</v>
      </c>
      <c r="G204" s="64" t="s">
        <v>1155</v>
      </c>
      <c r="H204" s="78">
        <v>44386</v>
      </c>
      <c r="I204" s="64">
        <f t="shared" si="13"/>
        <v>3</v>
      </c>
      <c r="J204" s="78">
        <v>44495</v>
      </c>
      <c r="K204" s="64" t="str">
        <f t="shared" si="12"/>
        <v>NUEVO</v>
      </c>
      <c r="L204" s="64"/>
      <c r="M204" s="64"/>
      <c r="N204" s="64"/>
      <c r="O204" s="64">
        <v>0</v>
      </c>
      <c r="P204" s="64" t="s">
        <v>47</v>
      </c>
      <c r="Q204" s="64"/>
      <c r="R204" s="65"/>
      <c r="S204" s="64" t="s">
        <v>118</v>
      </c>
      <c r="T204" s="64" t="s">
        <v>119</v>
      </c>
      <c r="U204" s="36" t="s">
        <v>1156</v>
      </c>
      <c r="V204" s="64" t="s">
        <v>1157</v>
      </c>
      <c r="W204" s="64" t="s">
        <v>71</v>
      </c>
      <c r="X204" s="64" t="s">
        <v>87</v>
      </c>
      <c r="Y204" s="79">
        <v>0.79861111111111116</v>
      </c>
      <c r="Z204" s="64" t="s">
        <v>72</v>
      </c>
      <c r="AA204" s="64" t="s">
        <v>1145</v>
      </c>
      <c r="AB204" s="65"/>
      <c r="AC204" s="82"/>
      <c r="AD204" s="64" t="s">
        <v>783</v>
      </c>
      <c r="AE204" s="64" t="s">
        <v>131</v>
      </c>
      <c r="AF204" s="64">
        <v>19</v>
      </c>
      <c r="AG204" s="64" t="s">
        <v>270</v>
      </c>
      <c r="AH204" s="64" t="s">
        <v>123</v>
      </c>
      <c r="AI204" s="64" t="s">
        <v>498</v>
      </c>
      <c r="AJ204" s="64" t="s">
        <v>125</v>
      </c>
      <c r="AK204" s="68" t="s">
        <v>1158</v>
      </c>
      <c r="AL204" s="65" t="s">
        <v>62</v>
      </c>
      <c r="AM204" s="65" t="s">
        <v>63</v>
      </c>
      <c r="AN204" s="65" t="s">
        <v>64</v>
      </c>
    </row>
    <row r="205" spans="1:40" s="66" customFormat="1" hidden="1" x14ac:dyDescent="0.25">
      <c r="A205" s="64">
        <v>2021</v>
      </c>
      <c r="B205" s="64" t="s">
        <v>1079</v>
      </c>
      <c r="C205" s="64" t="s">
        <v>42</v>
      </c>
      <c r="D205" s="64" t="s">
        <v>1159</v>
      </c>
      <c r="E205" s="64" t="s">
        <v>852</v>
      </c>
      <c r="F205" s="64" t="s">
        <v>45</v>
      </c>
      <c r="G205" s="64" t="s">
        <v>1160</v>
      </c>
      <c r="H205" s="78">
        <v>44466</v>
      </c>
      <c r="I205" s="64">
        <f t="shared" si="13"/>
        <v>0</v>
      </c>
      <c r="J205" s="78">
        <v>44495</v>
      </c>
      <c r="K205" s="64" t="str">
        <f t="shared" si="12"/>
        <v>NUEVO</v>
      </c>
      <c r="L205" s="64"/>
      <c r="M205" s="64"/>
      <c r="N205" s="64"/>
      <c r="O205" s="64">
        <v>0</v>
      </c>
      <c r="P205" s="64" t="s">
        <v>47</v>
      </c>
      <c r="Q205" s="64"/>
      <c r="R205" s="65"/>
      <c r="S205" s="64" t="s">
        <v>255</v>
      </c>
      <c r="T205" s="64" t="s">
        <v>255</v>
      </c>
      <c r="U205" s="64"/>
      <c r="V205" s="64" t="s">
        <v>1161</v>
      </c>
      <c r="W205" s="64" t="s">
        <v>71</v>
      </c>
      <c r="X205" s="64" t="s">
        <v>87</v>
      </c>
      <c r="Y205" s="79">
        <v>0.58333333333333337</v>
      </c>
      <c r="Z205" s="64" t="s">
        <v>88</v>
      </c>
      <c r="AA205" s="64" t="s">
        <v>1162</v>
      </c>
      <c r="AB205" s="65"/>
      <c r="AC205" s="82"/>
      <c r="AD205" s="64" t="s">
        <v>1163</v>
      </c>
      <c r="AE205" s="64" t="s">
        <v>1164</v>
      </c>
      <c r="AF205" s="64">
        <v>23</v>
      </c>
      <c r="AG205" s="64" t="s">
        <v>559</v>
      </c>
      <c r="AH205" s="64" t="s">
        <v>123</v>
      </c>
      <c r="AI205" s="64" t="s">
        <v>559</v>
      </c>
      <c r="AJ205" s="64" t="s">
        <v>125</v>
      </c>
      <c r="AK205" s="68" t="s">
        <v>1165</v>
      </c>
      <c r="AL205" s="65" t="s">
        <v>62</v>
      </c>
      <c r="AM205" s="65" t="s">
        <v>63</v>
      </c>
      <c r="AN205" s="65" t="s">
        <v>64</v>
      </c>
    </row>
    <row r="206" spans="1:40" s="66" customFormat="1" hidden="1" x14ac:dyDescent="0.25">
      <c r="A206" s="64">
        <v>2021</v>
      </c>
      <c r="B206" s="64" t="s">
        <v>1079</v>
      </c>
      <c r="C206" s="64" t="s">
        <v>42</v>
      </c>
      <c r="D206" s="64" t="s">
        <v>1166</v>
      </c>
      <c r="E206" s="64" t="s">
        <v>1167</v>
      </c>
      <c r="F206" s="64" t="s">
        <v>116</v>
      </c>
      <c r="G206" s="64" t="s">
        <v>1168</v>
      </c>
      <c r="H206" s="78">
        <v>43850</v>
      </c>
      <c r="I206" s="64">
        <f t="shared" si="13"/>
        <v>21</v>
      </c>
      <c r="J206" s="78">
        <v>44497</v>
      </c>
      <c r="K206" s="64" t="str">
        <f t="shared" si="12"/>
        <v>INTERMEDIO</v>
      </c>
      <c r="L206" s="64"/>
      <c r="M206" s="64"/>
      <c r="N206" s="64"/>
      <c r="O206" s="64">
        <v>0</v>
      </c>
      <c r="P206" s="64" t="s">
        <v>47</v>
      </c>
      <c r="Q206" s="64"/>
      <c r="R206" s="65"/>
      <c r="S206" s="64" t="s">
        <v>118</v>
      </c>
      <c r="T206" s="64" t="s">
        <v>119</v>
      </c>
      <c r="U206" s="64"/>
      <c r="V206" s="64" t="s">
        <v>119</v>
      </c>
      <c r="W206" s="64" t="s">
        <v>71</v>
      </c>
      <c r="X206" s="64" t="s">
        <v>87</v>
      </c>
      <c r="Y206" s="79">
        <v>0.77083333333333337</v>
      </c>
      <c r="Z206" s="64" t="s">
        <v>100</v>
      </c>
      <c r="AA206" s="64" t="s">
        <v>1162</v>
      </c>
      <c r="AB206" s="65"/>
      <c r="AC206" s="82"/>
      <c r="AD206" s="64" t="s">
        <v>783</v>
      </c>
      <c r="AE206" s="64" t="s">
        <v>131</v>
      </c>
      <c r="AF206" s="64">
        <v>34</v>
      </c>
      <c r="AG206" s="64" t="s">
        <v>413</v>
      </c>
      <c r="AH206" s="64" t="s">
        <v>133</v>
      </c>
      <c r="AI206" s="64" t="s">
        <v>59</v>
      </c>
      <c r="AJ206" s="64" t="s">
        <v>60</v>
      </c>
      <c r="AK206" s="68" t="s">
        <v>1531</v>
      </c>
      <c r="AL206" s="65" t="s">
        <v>62</v>
      </c>
      <c r="AM206" s="65" t="s">
        <v>63</v>
      </c>
      <c r="AN206" s="65" t="s">
        <v>64</v>
      </c>
    </row>
    <row r="207" spans="1:40" s="66" customFormat="1" hidden="1" x14ac:dyDescent="0.25">
      <c r="A207" s="64">
        <v>2021</v>
      </c>
      <c r="B207" s="64" t="s">
        <v>1079</v>
      </c>
      <c r="C207" s="64" t="s">
        <v>42</v>
      </c>
      <c r="D207" s="64" t="s">
        <v>1169</v>
      </c>
      <c r="E207" s="64" t="s">
        <v>208</v>
      </c>
      <c r="F207" s="64" t="s">
        <v>116</v>
      </c>
      <c r="G207" s="64" t="s">
        <v>1170</v>
      </c>
      <c r="H207" s="78">
        <v>41493</v>
      </c>
      <c r="I207" s="64">
        <f t="shared" si="13"/>
        <v>98</v>
      </c>
      <c r="J207" s="78">
        <v>44497</v>
      </c>
      <c r="K207" s="64" t="str">
        <f t="shared" si="12"/>
        <v>ANTIGUO</v>
      </c>
      <c r="L207" s="64"/>
      <c r="M207" s="64"/>
      <c r="N207" s="64"/>
      <c r="O207" s="64">
        <v>0</v>
      </c>
      <c r="P207" s="64" t="s">
        <v>47</v>
      </c>
      <c r="Q207" s="64"/>
      <c r="R207" s="65"/>
      <c r="S207" s="64" t="s">
        <v>118</v>
      </c>
      <c r="T207" s="64" t="s">
        <v>119</v>
      </c>
      <c r="U207" s="64"/>
      <c r="V207" s="64" t="s">
        <v>119</v>
      </c>
      <c r="W207" s="64" t="s">
        <v>71</v>
      </c>
      <c r="X207" s="64" t="s">
        <v>87</v>
      </c>
      <c r="Y207" s="79">
        <v>0.77083333333333337</v>
      </c>
      <c r="Z207" s="64" t="s">
        <v>100</v>
      </c>
      <c r="AA207" s="64" t="s">
        <v>1162</v>
      </c>
      <c r="AB207" s="65"/>
      <c r="AC207" s="82"/>
      <c r="AD207" s="64" t="s">
        <v>783</v>
      </c>
      <c r="AE207" s="64" t="s">
        <v>131</v>
      </c>
      <c r="AF207" s="64">
        <v>62</v>
      </c>
      <c r="AG207" s="64" t="s">
        <v>413</v>
      </c>
      <c r="AH207" s="64" t="s">
        <v>102</v>
      </c>
      <c r="AI207" s="64" t="s">
        <v>59</v>
      </c>
      <c r="AJ207" s="64" t="s">
        <v>60</v>
      </c>
      <c r="AK207" s="68" t="s">
        <v>1532</v>
      </c>
      <c r="AL207" s="65" t="s">
        <v>62</v>
      </c>
      <c r="AM207" s="65" t="s">
        <v>63</v>
      </c>
      <c r="AN207" s="65" t="s">
        <v>64</v>
      </c>
    </row>
    <row r="208" spans="1:40" s="66" customFormat="1" hidden="1" x14ac:dyDescent="0.25">
      <c r="A208" s="64">
        <v>2021</v>
      </c>
      <c r="B208" s="64" t="s">
        <v>1079</v>
      </c>
      <c r="C208" s="64" t="s">
        <v>42</v>
      </c>
      <c r="D208" s="64" t="s">
        <v>1171</v>
      </c>
      <c r="E208" s="64" t="s">
        <v>1029</v>
      </c>
      <c r="F208" s="64" t="s">
        <v>45</v>
      </c>
      <c r="G208" s="64" t="s">
        <v>1172</v>
      </c>
      <c r="H208" s="78">
        <v>41465</v>
      </c>
      <c r="I208" s="64">
        <f t="shared" si="13"/>
        <v>99</v>
      </c>
      <c r="J208" s="78">
        <v>44497</v>
      </c>
      <c r="K208" s="64" t="str">
        <f t="shared" si="12"/>
        <v>ANTIGUO</v>
      </c>
      <c r="L208" s="64"/>
      <c r="M208" s="64"/>
      <c r="N208" s="64"/>
      <c r="O208" s="64">
        <v>0</v>
      </c>
      <c r="P208" s="64" t="s">
        <v>47</v>
      </c>
      <c r="Q208" s="64"/>
      <c r="R208" s="65"/>
      <c r="S208" s="64" t="s">
        <v>118</v>
      </c>
      <c r="T208" s="64" t="s">
        <v>130</v>
      </c>
      <c r="U208" s="64"/>
      <c r="V208" s="64" t="s">
        <v>388</v>
      </c>
      <c r="W208" s="64" t="s">
        <v>71</v>
      </c>
      <c r="X208" s="64" t="s">
        <v>87</v>
      </c>
      <c r="Y208" s="79">
        <v>0.65625</v>
      </c>
      <c r="Z208" s="64" t="s">
        <v>100</v>
      </c>
      <c r="AA208" s="64" t="s">
        <v>1162</v>
      </c>
      <c r="AB208" s="65"/>
      <c r="AC208" s="82"/>
      <c r="AD208" s="64" t="s">
        <v>783</v>
      </c>
      <c r="AE208" s="64" t="s">
        <v>198</v>
      </c>
      <c r="AF208" s="64">
        <v>43</v>
      </c>
      <c r="AG208" s="64" t="s">
        <v>413</v>
      </c>
      <c r="AH208" s="64" t="s">
        <v>149</v>
      </c>
      <c r="AI208" s="64" t="s">
        <v>59</v>
      </c>
      <c r="AJ208" s="64" t="s">
        <v>224</v>
      </c>
      <c r="AK208" s="68" t="s">
        <v>1173</v>
      </c>
      <c r="AL208" s="65" t="s">
        <v>62</v>
      </c>
      <c r="AM208" s="65" t="s">
        <v>63</v>
      </c>
      <c r="AN208" s="65" t="s">
        <v>64</v>
      </c>
    </row>
    <row r="209" spans="1:40" s="66" customFormat="1" hidden="1" x14ac:dyDescent="0.25">
      <c r="A209" s="64">
        <v>2021</v>
      </c>
      <c r="B209" s="64" t="s">
        <v>1079</v>
      </c>
      <c r="C209" s="64" t="s">
        <v>42</v>
      </c>
      <c r="D209" s="64" t="s">
        <v>1174</v>
      </c>
      <c r="E209" s="64" t="s">
        <v>1175</v>
      </c>
      <c r="F209" s="64" t="s">
        <v>116</v>
      </c>
      <c r="G209" s="64" t="s">
        <v>1176</v>
      </c>
      <c r="H209" s="246">
        <v>43445</v>
      </c>
      <c r="I209" s="64">
        <f>DATEDIF(H209,J209,"m")</f>
        <v>34</v>
      </c>
      <c r="J209" s="78">
        <v>44498</v>
      </c>
      <c r="K209" s="64" t="str">
        <f>IF(I209&lt;=18,"NUEVO",IF(I209&lt;=36,"INTERMEDIO","ANTIGUO"))</f>
        <v>INTERMEDIO</v>
      </c>
      <c r="L209" s="78">
        <v>44502</v>
      </c>
      <c r="M209" s="64"/>
      <c r="N209" s="64"/>
      <c r="O209" s="64">
        <v>7</v>
      </c>
      <c r="P209" s="64" t="s">
        <v>68</v>
      </c>
      <c r="Q209" s="64"/>
      <c r="R209" s="65"/>
      <c r="S209" s="64" t="s">
        <v>118</v>
      </c>
      <c r="T209" s="64" t="s">
        <v>119</v>
      </c>
      <c r="U209" s="36" t="s">
        <v>453</v>
      </c>
      <c r="V209" s="64"/>
      <c r="W209" s="64" t="s">
        <v>71</v>
      </c>
      <c r="X209" s="64" t="s">
        <v>87</v>
      </c>
      <c r="Y209" s="79">
        <v>0.61111111111111105</v>
      </c>
      <c r="Z209" s="64" t="s">
        <v>110</v>
      </c>
      <c r="AA209" s="64" t="s">
        <v>1162</v>
      </c>
      <c r="AB209" s="65"/>
      <c r="AC209" s="82" t="s">
        <v>1177</v>
      </c>
      <c r="AD209" s="64" t="s">
        <v>783</v>
      </c>
      <c r="AE209" s="64" t="s">
        <v>131</v>
      </c>
      <c r="AF209" s="64">
        <v>39</v>
      </c>
      <c r="AG209" s="64" t="s">
        <v>122</v>
      </c>
      <c r="AH209" s="64" t="s">
        <v>58</v>
      </c>
      <c r="AI209" s="64" t="s">
        <v>59</v>
      </c>
      <c r="AJ209" s="64" t="s">
        <v>224</v>
      </c>
      <c r="AK209" s="68" t="s">
        <v>1178</v>
      </c>
      <c r="AL209" s="65" t="s">
        <v>62</v>
      </c>
      <c r="AM209" s="65" t="s">
        <v>64</v>
      </c>
      <c r="AN209" s="65" t="s">
        <v>64</v>
      </c>
    </row>
    <row r="210" spans="1:40" s="66" customFormat="1" hidden="1" x14ac:dyDescent="0.25">
      <c r="A210" s="64">
        <v>2021</v>
      </c>
      <c r="B210" s="64" t="s">
        <v>1179</v>
      </c>
      <c r="C210" s="64" t="s">
        <v>42</v>
      </c>
      <c r="D210" s="244" t="s">
        <v>1180</v>
      </c>
      <c r="E210" s="64" t="s">
        <v>527</v>
      </c>
      <c r="F210" s="64" t="s">
        <v>45</v>
      </c>
      <c r="G210" s="64" t="s">
        <v>1181</v>
      </c>
      <c r="H210" s="246">
        <v>41709</v>
      </c>
      <c r="I210" s="64">
        <f>DATEDIF(H210,J210,"m")</f>
        <v>91</v>
      </c>
      <c r="J210" s="78">
        <v>44502</v>
      </c>
      <c r="K210" s="64" t="str">
        <f>IF(I210&lt;=18,"NUEVO",IF(I210&lt;=36,"INTERMEDIO","ANTIGUO"))</f>
        <v>ANTIGUO</v>
      </c>
      <c r="L210" s="78">
        <v>44502</v>
      </c>
      <c r="M210" s="78">
        <v>44508</v>
      </c>
      <c r="N210" s="64"/>
      <c r="O210" s="64">
        <v>7</v>
      </c>
      <c r="P210" s="64" t="s">
        <v>68</v>
      </c>
      <c r="Q210" s="64" t="s">
        <v>211</v>
      </c>
      <c r="R210" s="65"/>
      <c r="S210" s="64" t="s">
        <v>48</v>
      </c>
      <c r="T210" s="64" t="s">
        <v>49</v>
      </c>
      <c r="U210" s="64" t="s">
        <v>468</v>
      </c>
      <c r="V210" s="64" t="s">
        <v>1182</v>
      </c>
      <c r="W210" s="64" t="s">
        <v>1182</v>
      </c>
      <c r="X210" s="64" t="s">
        <v>52</v>
      </c>
      <c r="Y210" s="245">
        <v>0.27083333333333331</v>
      </c>
      <c r="Z210" s="64" t="s">
        <v>72</v>
      </c>
      <c r="AA210" s="64" t="s">
        <v>1162</v>
      </c>
      <c r="AB210" s="65"/>
      <c r="AC210" s="82" t="s">
        <v>1183</v>
      </c>
      <c r="AD210" s="64" t="s">
        <v>55</v>
      </c>
      <c r="AE210" s="244" t="s">
        <v>1184</v>
      </c>
      <c r="AF210" s="64">
        <v>43</v>
      </c>
      <c r="AG210" s="64" t="s">
        <v>140</v>
      </c>
      <c r="AH210" s="64" t="s">
        <v>58</v>
      </c>
      <c r="AI210" s="64" t="s">
        <v>94</v>
      </c>
      <c r="AJ210" s="64" t="s">
        <v>60</v>
      </c>
      <c r="AK210" s="68" t="s">
        <v>1185</v>
      </c>
      <c r="AL210" s="65" t="s">
        <v>62</v>
      </c>
      <c r="AM210" s="65" t="s">
        <v>63</v>
      </c>
      <c r="AN210" s="65" t="s">
        <v>63</v>
      </c>
    </row>
    <row r="211" spans="1:40" s="66" customFormat="1" hidden="1" x14ac:dyDescent="0.25">
      <c r="A211" s="64">
        <v>2021</v>
      </c>
      <c r="B211" s="64" t="s">
        <v>1179</v>
      </c>
      <c r="C211" s="64" t="s">
        <v>42</v>
      </c>
      <c r="D211" s="64" t="s">
        <v>1186</v>
      </c>
      <c r="E211" s="64" t="s">
        <v>1187</v>
      </c>
      <c r="F211" s="64" t="s">
        <v>116</v>
      </c>
      <c r="G211" s="64" t="s">
        <v>1188</v>
      </c>
      <c r="H211" s="78">
        <v>44385</v>
      </c>
      <c r="I211" s="64">
        <f>DATEDIF(H211,J211,"m")</f>
        <v>3</v>
      </c>
      <c r="J211" s="78">
        <v>44505</v>
      </c>
      <c r="K211" s="64" t="str">
        <f>IF(I211&lt;=18,"NUEVO",IF(I211&lt;=36,"INTERMEDIO","ANTIGUO"))</f>
        <v>NUEVO</v>
      </c>
      <c r="L211" s="64"/>
      <c r="M211" s="64"/>
      <c r="N211" s="64"/>
      <c r="O211" s="64">
        <v>0</v>
      </c>
      <c r="P211" s="64" t="s">
        <v>47</v>
      </c>
      <c r="Q211" s="64"/>
      <c r="R211" s="65"/>
      <c r="S211" s="64" t="s">
        <v>118</v>
      </c>
      <c r="T211" s="64" t="s">
        <v>119</v>
      </c>
      <c r="U211" s="64" t="s">
        <v>453</v>
      </c>
      <c r="V211" s="64" t="s">
        <v>130</v>
      </c>
      <c r="W211" s="64" t="s">
        <v>71</v>
      </c>
      <c r="X211" s="64" t="s">
        <v>87</v>
      </c>
      <c r="Y211" s="79">
        <v>0.54166666666666663</v>
      </c>
      <c r="Z211" s="64" t="s">
        <v>110</v>
      </c>
      <c r="AA211" s="64" t="s">
        <v>1162</v>
      </c>
      <c r="AB211" s="65"/>
      <c r="AC211" s="82"/>
      <c r="AD211" s="64" t="s">
        <v>783</v>
      </c>
      <c r="AE211" s="64" t="s">
        <v>280</v>
      </c>
      <c r="AF211" s="64">
        <v>26</v>
      </c>
      <c r="AG211" s="64" t="s">
        <v>559</v>
      </c>
      <c r="AH211" s="64" t="s">
        <v>58</v>
      </c>
      <c r="AI211" s="64" t="s">
        <v>559</v>
      </c>
      <c r="AJ211" s="64" t="s">
        <v>134</v>
      </c>
      <c r="AK211" s="68" t="s">
        <v>1189</v>
      </c>
      <c r="AL211" s="65" t="s">
        <v>62</v>
      </c>
      <c r="AM211" s="65" t="s">
        <v>63</v>
      </c>
      <c r="AN211" s="65" t="s">
        <v>64</v>
      </c>
    </row>
    <row r="212" spans="1:40" s="66" customFormat="1" hidden="1" x14ac:dyDescent="0.25">
      <c r="A212" s="64">
        <v>2021</v>
      </c>
      <c r="B212" s="64" t="s">
        <v>1179</v>
      </c>
      <c r="C212" s="64" t="s">
        <v>42</v>
      </c>
      <c r="D212" s="64" t="s">
        <v>1190</v>
      </c>
      <c r="E212" s="64" t="s">
        <v>1191</v>
      </c>
      <c r="F212" s="64" t="s">
        <v>45</v>
      </c>
      <c r="G212" s="64" t="s">
        <v>1192</v>
      </c>
      <c r="H212" s="78">
        <v>44502</v>
      </c>
      <c r="I212" s="64">
        <f>DATEDIF(H212,J212,"m")</f>
        <v>0</v>
      </c>
      <c r="J212" s="78">
        <v>44509</v>
      </c>
      <c r="K212" s="64" t="str">
        <f>IF(I212&lt;=18,"NUEVO",IF(I212&lt;=36,"INTERMEDIO","ANTIGUO"))</f>
        <v>NUEVO</v>
      </c>
      <c r="L212" s="64"/>
      <c r="M212" s="64"/>
      <c r="N212" s="64"/>
      <c r="O212" s="64">
        <v>0</v>
      </c>
      <c r="P212" s="64" t="s">
        <v>47</v>
      </c>
      <c r="Q212" s="64"/>
      <c r="R212" s="65"/>
      <c r="S212" s="64" t="s">
        <v>48</v>
      </c>
      <c r="T212" s="64"/>
      <c r="U212" s="64"/>
      <c r="V212" s="64" t="s">
        <v>546</v>
      </c>
      <c r="W212" s="64" t="s">
        <v>71</v>
      </c>
      <c r="X212" s="64" t="s">
        <v>52</v>
      </c>
      <c r="Y212" s="79">
        <v>0.36805555555555558</v>
      </c>
      <c r="Z212" s="64" t="s">
        <v>72</v>
      </c>
      <c r="AA212" s="64" t="s">
        <v>1193</v>
      </c>
      <c r="AB212" s="65"/>
      <c r="AC212" s="82"/>
      <c r="AD212" s="64" t="s">
        <v>55</v>
      </c>
      <c r="AE212" s="64" t="s">
        <v>101</v>
      </c>
      <c r="AF212" s="64"/>
      <c r="AG212" s="64" t="s">
        <v>529</v>
      </c>
      <c r="AH212" s="64" t="s">
        <v>58</v>
      </c>
      <c r="AI212" s="64" t="s">
        <v>559</v>
      </c>
      <c r="AJ212" s="64" t="s">
        <v>60</v>
      </c>
      <c r="AK212" s="68" t="s">
        <v>1194</v>
      </c>
      <c r="AL212" s="65" t="s">
        <v>62</v>
      </c>
      <c r="AM212" s="65" t="s">
        <v>63</v>
      </c>
      <c r="AN212" s="65" t="s">
        <v>64</v>
      </c>
    </row>
    <row r="213" spans="1:40" s="66" customFormat="1" hidden="1" x14ac:dyDescent="0.25">
      <c r="A213" s="64">
        <v>2021</v>
      </c>
      <c r="B213" s="64" t="s">
        <v>1179</v>
      </c>
      <c r="C213" s="64" t="s">
        <v>42</v>
      </c>
      <c r="D213" s="65" t="s">
        <v>953</v>
      </c>
      <c r="E213" s="65" t="s">
        <v>1195</v>
      </c>
      <c r="F213" s="65" t="s">
        <v>116</v>
      </c>
      <c r="G213" s="100" t="s">
        <v>955</v>
      </c>
      <c r="H213" s="231">
        <v>44221</v>
      </c>
      <c r="I213" s="64">
        <f t="shared" ref="I213:I236" si="14">DATEDIF(H213,J213,"m")</f>
        <v>10</v>
      </c>
      <c r="J213" s="78">
        <v>44530</v>
      </c>
      <c r="K213" s="64" t="str">
        <f t="shared" ref="K213:K228" si="15">IF(I213&lt;=18,"NUEVO",IF(I213&lt;=36,"INTERMEDIO","ANTIGUO"))</f>
        <v>NUEVO</v>
      </c>
      <c r="L213" s="78">
        <v>44531</v>
      </c>
      <c r="M213" s="78">
        <v>44531</v>
      </c>
      <c r="N213" s="64"/>
      <c r="O213" s="64">
        <v>0</v>
      </c>
      <c r="P213" s="64" t="s">
        <v>47</v>
      </c>
      <c r="Q213" s="64"/>
      <c r="R213" s="65"/>
      <c r="S213" s="65" t="s">
        <v>118</v>
      </c>
      <c r="T213" s="65" t="s">
        <v>130</v>
      </c>
      <c r="U213" s="64" t="s">
        <v>50</v>
      </c>
      <c r="V213" s="65" t="s">
        <v>746</v>
      </c>
      <c r="W213" s="65" t="s">
        <v>71</v>
      </c>
      <c r="X213" s="65" t="s">
        <v>52</v>
      </c>
      <c r="Y213" s="79">
        <v>0.54166666666666663</v>
      </c>
      <c r="Z213" s="64" t="s">
        <v>72</v>
      </c>
      <c r="AA213" s="64" t="s">
        <v>1196</v>
      </c>
      <c r="AB213" s="65"/>
      <c r="AC213" s="82" t="s">
        <v>1197</v>
      </c>
      <c r="AD213" s="64" t="s">
        <v>783</v>
      </c>
      <c r="AE213" s="65" t="s">
        <v>280</v>
      </c>
      <c r="AF213" s="65">
        <v>35</v>
      </c>
      <c r="AG213" s="64" t="s">
        <v>559</v>
      </c>
      <c r="AH213" s="64" t="s">
        <v>205</v>
      </c>
      <c r="AI213" s="64" t="s">
        <v>59</v>
      </c>
      <c r="AJ213" s="64" t="s">
        <v>60</v>
      </c>
      <c r="AK213" s="68" t="s">
        <v>1198</v>
      </c>
      <c r="AL213" s="65" t="s">
        <v>103</v>
      </c>
      <c r="AM213" s="65" t="s">
        <v>63</v>
      </c>
      <c r="AN213" s="65" t="s">
        <v>63</v>
      </c>
    </row>
    <row r="214" spans="1:40" s="66" customFormat="1" hidden="1" x14ac:dyDescent="0.25">
      <c r="A214" s="64">
        <v>2021</v>
      </c>
      <c r="B214" s="64" t="s">
        <v>1179</v>
      </c>
      <c r="C214" s="64" t="s">
        <v>42</v>
      </c>
      <c r="D214" s="64" t="s">
        <v>1199</v>
      </c>
      <c r="E214" s="64" t="s">
        <v>1036</v>
      </c>
      <c r="F214" s="64" t="s">
        <v>45</v>
      </c>
      <c r="G214" s="64" t="s">
        <v>1200</v>
      </c>
      <c r="H214" s="95"/>
      <c r="I214" s="64">
        <f t="shared" si="14"/>
        <v>1462</v>
      </c>
      <c r="J214" s="78">
        <v>44506</v>
      </c>
      <c r="K214" s="64" t="str">
        <f t="shared" si="15"/>
        <v>ANTIGUO</v>
      </c>
      <c r="L214" s="64"/>
      <c r="M214" s="64"/>
      <c r="N214" s="64"/>
      <c r="O214" s="64">
        <v>0</v>
      </c>
      <c r="P214" s="64" t="s">
        <v>47</v>
      </c>
      <c r="Q214" s="64" t="s">
        <v>210</v>
      </c>
      <c r="R214" s="65" t="s">
        <v>211</v>
      </c>
      <c r="S214" s="64" t="s">
        <v>48</v>
      </c>
      <c r="T214" s="64" t="s">
        <v>99</v>
      </c>
      <c r="U214" s="64" t="s">
        <v>50</v>
      </c>
      <c r="V214" s="64" t="s">
        <v>99</v>
      </c>
      <c r="W214" s="64" t="s">
        <v>71</v>
      </c>
      <c r="X214" s="64" t="s">
        <v>109</v>
      </c>
      <c r="Y214" s="79">
        <v>0.11458333333333333</v>
      </c>
      <c r="Z214" s="64" t="s">
        <v>100</v>
      </c>
      <c r="AA214" s="64" t="s">
        <v>1201</v>
      </c>
      <c r="AB214" s="65" t="s">
        <v>911</v>
      </c>
      <c r="AC214" s="82" t="s">
        <v>211</v>
      </c>
      <c r="AD214" s="64" t="s">
        <v>55</v>
      </c>
      <c r="AE214" s="64" t="s">
        <v>101</v>
      </c>
      <c r="AF214" s="64"/>
      <c r="AG214" s="64" t="s">
        <v>132</v>
      </c>
      <c r="AH214" s="64" t="s">
        <v>149</v>
      </c>
      <c r="AI214" s="64" t="s">
        <v>59</v>
      </c>
      <c r="AJ214" s="64" t="s">
        <v>134</v>
      </c>
      <c r="AK214" s="68" t="s">
        <v>1202</v>
      </c>
      <c r="AL214" s="65" t="s">
        <v>103</v>
      </c>
      <c r="AM214" s="65" t="s">
        <v>63</v>
      </c>
      <c r="AN214" s="65" t="s">
        <v>64</v>
      </c>
    </row>
    <row r="215" spans="1:40" s="66" customFormat="1" hidden="1" x14ac:dyDescent="0.25">
      <c r="A215" s="64">
        <v>2021</v>
      </c>
      <c r="B215" s="64" t="s">
        <v>1179</v>
      </c>
      <c r="C215" s="64" t="s">
        <v>42</v>
      </c>
      <c r="D215" s="64" t="s">
        <v>1203</v>
      </c>
      <c r="E215" s="64" t="s">
        <v>1204</v>
      </c>
      <c r="F215" s="64" t="s">
        <v>45</v>
      </c>
      <c r="G215" s="64" t="s">
        <v>1205</v>
      </c>
      <c r="H215" s="78">
        <v>36386</v>
      </c>
      <c r="I215" s="64">
        <f t="shared" si="14"/>
        <v>266</v>
      </c>
      <c r="J215" s="78">
        <v>44510</v>
      </c>
      <c r="K215" s="64" t="str">
        <f t="shared" si="15"/>
        <v>ANTIGUO</v>
      </c>
      <c r="L215" s="64"/>
      <c r="M215" s="64"/>
      <c r="N215" s="64"/>
      <c r="O215" s="64">
        <v>0</v>
      </c>
      <c r="P215" s="64" t="s">
        <v>47</v>
      </c>
      <c r="Q215" s="64"/>
      <c r="R215" s="65"/>
      <c r="S215" s="64" t="s">
        <v>255</v>
      </c>
      <c r="T215" s="64" t="s">
        <v>602</v>
      </c>
      <c r="U215" s="64" t="s">
        <v>50</v>
      </c>
      <c r="V215" s="64"/>
      <c r="W215" s="64" t="s">
        <v>1061</v>
      </c>
      <c r="X215" s="79" t="s">
        <v>52</v>
      </c>
      <c r="Y215" s="79">
        <v>0.27083333333333331</v>
      </c>
      <c r="Z215" s="64" t="s">
        <v>110</v>
      </c>
      <c r="AA215" s="64" t="s">
        <v>1201</v>
      </c>
      <c r="AB215" s="65"/>
      <c r="AC215" s="82"/>
      <c r="AD215" s="64" t="s">
        <v>1163</v>
      </c>
      <c r="AE215" s="64" t="s">
        <v>547</v>
      </c>
      <c r="AF215" s="64"/>
      <c r="AG215" s="64" t="s">
        <v>559</v>
      </c>
      <c r="AH215" s="64" t="s">
        <v>205</v>
      </c>
      <c r="AI215" s="64" t="s">
        <v>59</v>
      </c>
      <c r="AJ215" s="64" t="s">
        <v>78</v>
      </c>
      <c r="AK215" s="68" t="s">
        <v>1206</v>
      </c>
      <c r="AL215" s="65" t="s">
        <v>62</v>
      </c>
      <c r="AM215" s="65" t="s">
        <v>63</v>
      </c>
      <c r="AN215" s="65" t="s">
        <v>64</v>
      </c>
    </row>
    <row r="216" spans="1:40" s="66" customFormat="1" hidden="1" x14ac:dyDescent="0.25">
      <c r="A216" s="64">
        <v>2021</v>
      </c>
      <c r="B216" s="64" t="s">
        <v>1179</v>
      </c>
      <c r="C216" s="64" t="s">
        <v>42</v>
      </c>
      <c r="D216" s="64" t="s">
        <v>1207</v>
      </c>
      <c r="E216" s="64" t="s">
        <v>1036</v>
      </c>
      <c r="F216" s="64" t="s">
        <v>45</v>
      </c>
      <c r="G216" s="64" t="s">
        <v>1208</v>
      </c>
      <c r="H216" s="78">
        <v>43936</v>
      </c>
      <c r="I216" s="64">
        <f t="shared" si="14"/>
        <v>19</v>
      </c>
      <c r="J216" s="78">
        <v>44520</v>
      </c>
      <c r="K216" s="64" t="str">
        <f t="shared" si="15"/>
        <v>INTERMEDIO</v>
      </c>
      <c r="L216" s="64"/>
      <c r="M216" s="64"/>
      <c r="N216" s="64"/>
      <c r="O216" s="64">
        <v>0</v>
      </c>
      <c r="P216" s="64" t="s">
        <v>47</v>
      </c>
      <c r="Q216" s="64"/>
      <c r="R216" s="65"/>
      <c r="S216" s="64" t="s">
        <v>48</v>
      </c>
      <c r="T216" s="64" t="s">
        <v>884</v>
      </c>
      <c r="U216" s="64" t="s">
        <v>50</v>
      </c>
      <c r="V216" s="64" t="s">
        <v>884</v>
      </c>
      <c r="W216" s="64" t="s">
        <v>1209</v>
      </c>
      <c r="X216" s="64" t="s">
        <v>109</v>
      </c>
      <c r="Y216" s="79">
        <v>0.90416666666666667</v>
      </c>
      <c r="Z216" s="64" t="s">
        <v>147</v>
      </c>
      <c r="AA216" s="64" t="s">
        <v>1210</v>
      </c>
      <c r="AB216" s="65"/>
      <c r="AC216" s="82"/>
      <c r="AD216" s="64" t="s">
        <v>55</v>
      </c>
      <c r="AE216" s="64" t="s">
        <v>56</v>
      </c>
      <c r="AF216" s="64">
        <v>29</v>
      </c>
      <c r="AG216" s="64" t="s">
        <v>57</v>
      </c>
      <c r="AH216" s="64" t="s">
        <v>419</v>
      </c>
      <c r="AI216" s="64" t="s">
        <v>59</v>
      </c>
      <c r="AJ216" s="64" t="s">
        <v>78</v>
      </c>
      <c r="AK216" s="68" t="s">
        <v>1211</v>
      </c>
      <c r="AL216" s="65" t="s">
        <v>62</v>
      </c>
      <c r="AM216" s="65" t="s">
        <v>63</v>
      </c>
      <c r="AN216" s="65" t="s">
        <v>64</v>
      </c>
    </row>
    <row r="217" spans="1:40" s="66" customFormat="1" hidden="1" x14ac:dyDescent="0.25">
      <c r="A217" s="64">
        <v>2021</v>
      </c>
      <c r="B217" s="64" t="s">
        <v>1179</v>
      </c>
      <c r="C217" s="64" t="s">
        <v>42</v>
      </c>
      <c r="D217" s="64" t="s">
        <v>751</v>
      </c>
      <c r="E217" s="64" t="s">
        <v>752</v>
      </c>
      <c r="F217" s="64" t="s">
        <v>116</v>
      </c>
      <c r="G217" s="64" t="s">
        <v>753</v>
      </c>
      <c r="H217" s="78">
        <v>41477</v>
      </c>
      <c r="I217" s="64">
        <f t="shared" si="14"/>
        <v>100</v>
      </c>
      <c r="J217" s="78">
        <v>44522</v>
      </c>
      <c r="K217" s="64" t="str">
        <f t="shared" si="15"/>
        <v>ANTIGUO</v>
      </c>
      <c r="L217" s="64"/>
      <c r="M217" s="64"/>
      <c r="N217" s="64"/>
      <c r="O217" s="64">
        <v>0</v>
      </c>
      <c r="P217" s="64" t="s">
        <v>47</v>
      </c>
      <c r="Q217" s="64"/>
      <c r="R217" s="65"/>
      <c r="S217" s="64" t="s">
        <v>48</v>
      </c>
      <c r="T217" s="64" t="s">
        <v>266</v>
      </c>
      <c r="U217" s="64" t="s">
        <v>50</v>
      </c>
      <c r="V217" s="64" t="s">
        <v>266</v>
      </c>
      <c r="W217" s="64" t="s">
        <v>266</v>
      </c>
      <c r="X217" s="64" t="s">
        <v>52</v>
      </c>
      <c r="Y217" s="79">
        <v>0.55555555555555558</v>
      </c>
      <c r="Z217" s="64" t="s">
        <v>53</v>
      </c>
      <c r="AA217" s="64" t="s">
        <v>1212</v>
      </c>
      <c r="AB217" s="65"/>
      <c r="AC217" s="82"/>
      <c r="AD217" s="64" t="s">
        <v>55</v>
      </c>
      <c r="AE217" s="64" t="s">
        <v>101</v>
      </c>
      <c r="AF217" s="64">
        <v>56</v>
      </c>
      <c r="AG217" s="64" t="s">
        <v>140</v>
      </c>
      <c r="AH217" s="64" t="s">
        <v>58</v>
      </c>
      <c r="AI217" s="64" t="s">
        <v>59</v>
      </c>
      <c r="AJ217" s="64" t="s">
        <v>78</v>
      </c>
      <c r="AK217" s="68" t="s">
        <v>1213</v>
      </c>
      <c r="AL217" s="65" t="s">
        <v>62</v>
      </c>
      <c r="AM217" s="65" t="s">
        <v>63</v>
      </c>
      <c r="AN217" s="65" t="s">
        <v>64</v>
      </c>
    </row>
    <row r="218" spans="1:40" s="66" customFormat="1" hidden="1" x14ac:dyDescent="0.25">
      <c r="A218" s="64">
        <v>2021</v>
      </c>
      <c r="B218" s="64" t="s">
        <v>1179</v>
      </c>
      <c r="C218" s="64" t="s">
        <v>42</v>
      </c>
      <c r="D218" s="95" t="s">
        <v>1214</v>
      </c>
      <c r="E218" s="95" t="s">
        <v>1215</v>
      </c>
      <c r="F218" s="64" t="s">
        <v>45</v>
      </c>
      <c r="G218" s="64" t="s">
        <v>1216</v>
      </c>
      <c r="H218" s="95"/>
      <c r="I218" s="64">
        <f t="shared" si="14"/>
        <v>1462</v>
      </c>
      <c r="J218" s="78">
        <v>44523</v>
      </c>
      <c r="K218" s="64" t="str">
        <f t="shared" si="15"/>
        <v>ANTIGUO</v>
      </c>
      <c r="L218" s="64"/>
      <c r="M218" s="64"/>
      <c r="N218" s="64"/>
      <c r="O218" s="64">
        <v>0</v>
      </c>
      <c r="P218" s="64" t="s">
        <v>47</v>
      </c>
      <c r="Q218" s="64"/>
      <c r="R218" s="65"/>
      <c r="S218" s="64" t="s">
        <v>156</v>
      </c>
      <c r="T218" s="64" t="s">
        <v>539</v>
      </c>
      <c r="U218" s="64" t="s">
        <v>50</v>
      </c>
      <c r="V218" s="64"/>
      <c r="W218" s="64" t="s">
        <v>71</v>
      </c>
      <c r="X218" s="64" t="s">
        <v>109</v>
      </c>
      <c r="Y218" s="79">
        <v>0.13194444444444445</v>
      </c>
      <c r="Z218" s="64" t="s">
        <v>72</v>
      </c>
      <c r="AA218" s="64" t="s">
        <v>1212</v>
      </c>
      <c r="AB218" s="65"/>
      <c r="AC218" s="82"/>
      <c r="AD218" s="64" t="s">
        <v>159</v>
      </c>
      <c r="AE218" s="64" t="s">
        <v>541</v>
      </c>
      <c r="AF218" s="64">
        <v>41</v>
      </c>
      <c r="AG218" s="64" t="s">
        <v>389</v>
      </c>
      <c r="AH218" s="64" t="s">
        <v>58</v>
      </c>
      <c r="AI218" s="64" t="s">
        <v>59</v>
      </c>
      <c r="AJ218" s="64" t="s">
        <v>60</v>
      </c>
      <c r="AK218" s="68" t="s">
        <v>1217</v>
      </c>
      <c r="AL218" s="65" t="s">
        <v>62</v>
      </c>
      <c r="AM218" s="65" t="s">
        <v>63</v>
      </c>
      <c r="AN218" s="65" t="s">
        <v>64</v>
      </c>
    </row>
    <row r="219" spans="1:40" s="66" customFormat="1" hidden="1" x14ac:dyDescent="0.25">
      <c r="A219" s="64">
        <v>2021</v>
      </c>
      <c r="B219" s="64" t="s">
        <v>1179</v>
      </c>
      <c r="C219" s="64" t="s">
        <v>42</v>
      </c>
      <c r="D219" s="64" t="s">
        <v>1218</v>
      </c>
      <c r="E219" s="64" t="s">
        <v>1219</v>
      </c>
      <c r="F219" s="64" t="s">
        <v>45</v>
      </c>
      <c r="G219" s="64" t="s">
        <v>1220</v>
      </c>
      <c r="H219" s="95"/>
      <c r="I219" s="64">
        <f t="shared" si="14"/>
        <v>1462</v>
      </c>
      <c r="J219" s="78">
        <v>44519</v>
      </c>
      <c r="K219" s="64" t="str">
        <f t="shared" si="15"/>
        <v>ANTIGUO</v>
      </c>
      <c r="L219" s="78">
        <v>44519</v>
      </c>
      <c r="M219" s="78">
        <v>44527</v>
      </c>
      <c r="N219" s="64"/>
      <c r="O219" s="64">
        <v>9</v>
      </c>
      <c r="P219" s="64" t="s">
        <v>68</v>
      </c>
      <c r="Q219" s="64"/>
      <c r="R219" s="65"/>
      <c r="S219" s="64" t="s">
        <v>83</v>
      </c>
      <c r="T219" s="64" t="s">
        <v>84</v>
      </c>
      <c r="U219" s="64" t="s">
        <v>50</v>
      </c>
      <c r="V219" s="64" t="s">
        <v>84</v>
      </c>
      <c r="W219" s="64" t="s">
        <v>1221</v>
      </c>
      <c r="X219" s="64" t="s">
        <v>52</v>
      </c>
      <c r="Y219" s="79">
        <v>0.57291666666666663</v>
      </c>
      <c r="Z219" s="64" t="s">
        <v>110</v>
      </c>
      <c r="AA219" s="64" t="s">
        <v>1210</v>
      </c>
      <c r="AB219" s="65"/>
      <c r="AC219" s="82" t="s">
        <v>1222</v>
      </c>
      <c r="AD219" s="64" t="s">
        <v>74</v>
      </c>
      <c r="AE219" s="64" t="s">
        <v>356</v>
      </c>
      <c r="AF219" s="64">
        <v>33</v>
      </c>
      <c r="AG219" s="64" t="s">
        <v>140</v>
      </c>
      <c r="AH219" s="64" t="s">
        <v>58</v>
      </c>
      <c r="AI219" s="64" t="s">
        <v>94</v>
      </c>
      <c r="AJ219" s="64" t="s">
        <v>199</v>
      </c>
      <c r="AK219" s="68" t="s">
        <v>1223</v>
      </c>
      <c r="AL219" s="65" t="s">
        <v>62</v>
      </c>
      <c r="AM219" s="65" t="s">
        <v>63</v>
      </c>
      <c r="AN219" s="65" t="s">
        <v>63</v>
      </c>
    </row>
    <row r="220" spans="1:40" s="66" customFormat="1" hidden="1" x14ac:dyDescent="0.25">
      <c r="A220" s="64">
        <v>2021</v>
      </c>
      <c r="B220" s="64" t="s">
        <v>1179</v>
      </c>
      <c r="C220" s="64" t="s">
        <v>42</v>
      </c>
      <c r="D220" s="64" t="s">
        <v>1224</v>
      </c>
      <c r="E220" s="64" t="s">
        <v>1225</v>
      </c>
      <c r="F220" s="64" t="s">
        <v>45</v>
      </c>
      <c r="G220" s="64" t="s">
        <v>1226</v>
      </c>
      <c r="H220" s="95"/>
      <c r="I220" s="64">
        <f t="shared" si="14"/>
        <v>1462</v>
      </c>
      <c r="J220" s="78">
        <v>44518</v>
      </c>
      <c r="K220" s="64" t="str">
        <f t="shared" si="15"/>
        <v>ANTIGUO</v>
      </c>
      <c r="L220" s="64"/>
      <c r="M220" s="64"/>
      <c r="N220" s="64" t="s">
        <v>211</v>
      </c>
      <c r="O220" s="64">
        <v>0</v>
      </c>
      <c r="P220" s="64" t="s">
        <v>47</v>
      </c>
      <c r="Q220" s="64"/>
      <c r="R220" s="65"/>
      <c r="S220" s="64" t="s">
        <v>255</v>
      </c>
      <c r="T220" s="64" t="s">
        <v>546</v>
      </c>
      <c r="U220" s="64" t="s">
        <v>50</v>
      </c>
      <c r="V220" s="64" t="s">
        <v>1227</v>
      </c>
      <c r="W220" s="64" t="s">
        <v>71</v>
      </c>
      <c r="X220" s="64" t="s">
        <v>52</v>
      </c>
      <c r="Y220" s="79">
        <v>0.41666666666666669</v>
      </c>
      <c r="Z220" s="64" t="s">
        <v>100</v>
      </c>
      <c r="AA220" s="64" t="s">
        <v>1210</v>
      </c>
      <c r="AB220" s="65"/>
      <c r="AC220" s="82"/>
      <c r="AD220" s="64" t="s">
        <v>1163</v>
      </c>
      <c r="AE220" s="64" t="s">
        <v>547</v>
      </c>
      <c r="AF220" s="64">
        <v>24</v>
      </c>
      <c r="AG220" s="64" t="s">
        <v>140</v>
      </c>
      <c r="AH220" s="64" t="s">
        <v>58</v>
      </c>
      <c r="AI220" s="64" t="s">
        <v>59</v>
      </c>
      <c r="AJ220" s="64" t="s">
        <v>224</v>
      </c>
      <c r="AK220" s="68" t="s">
        <v>1533</v>
      </c>
      <c r="AL220" s="65" t="s">
        <v>62</v>
      </c>
      <c r="AM220" s="65" t="s">
        <v>63</v>
      </c>
      <c r="AN220" s="65" t="s">
        <v>64</v>
      </c>
    </row>
    <row r="221" spans="1:40" s="66" customFormat="1" hidden="1" x14ac:dyDescent="0.25">
      <c r="A221" s="64">
        <v>2021</v>
      </c>
      <c r="B221" s="64" t="s">
        <v>1179</v>
      </c>
      <c r="C221" s="64" t="s">
        <v>42</v>
      </c>
      <c r="D221" s="64" t="s">
        <v>1228</v>
      </c>
      <c r="E221" s="64" t="s">
        <v>1175</v>
      </c>
      <c r="F221" s="64" t="s">
        <v>116</v>
      </c>
      <c r="G221" s="64" t="s">
        <v>1025</v>
      </c>
      <c r="H221" s="78">
        <v>35871</v>
      </c>
      <c r="I221" s="64">
        <f t="shared" si="14"/>
        <v>284</v>
      </c>
      <c r="J221" s="78">
        <v>44522</v>
      </c>
      <c r="K221" s="64" t="str">
        <f t="shared" si="15"/>
        <v>ANTIGUO</v>
      </c>
      <c r="L221" s="64"/>
      <c r="M221" s="64"/>
      <c r="N221" s="64"/>
      <c r="O221" s="64">
        <v>0</v>
      </c>
      <c r="P221" s="64" t="s">
        <v>47</v>
      </c>
      <c r="Q221" s="64"/>
      <c r="R221" s="65"/>
      <c r="S221" s="64" t="s">
        <v>48</v>
      </c>
      <c r="T221" s="64" t="s">
        <v>70</v>
      </c>
      <c r="U221" s="64" t="s">
        <v>50</v>
      </c>
      <c r="V221" s="64" t="s">
        <v>1229</v>
      </c>
      <c r="W221" s="64" t="s">
        <v>71</v>
      </c>
      <c r="X221" s="64" t="s">
        <v>52</v>
      </c>
      <c r="Y221" s="79">
        <v>0.4375</v>
      </c>
      <c r="Z221" s="64" t="s">
        <v>53</v>
      </c>
      <c r="AA221" s="64" t="s">
        <v>1212</v>
      </c>
      <c r="AB221" s="65"/>
      <c r="AC221" s="82"/>
      <c r="AD221" s="64" t="s">
        <v>55</v>
      </c>
      <c r="AE221" s="64" t="s">
        <v>101</v>
      </c>
      <c r="AF221" s="64">
        <v>51</v>
      </c>
      <c r="AG221" s="64" t="s">
        <v>76</v>
      </c>
      <c r="AH221" s="64" t="s">
        <v>149</v>
      </c>
      <c r="AI221" s="64" t="s">
        <v>59</v>
      </c>
      <c r="AJ221" s="64" t="s">
        <v>60</v>
      </c>
      <c r="AK221" s="68" t="s">
        <v>1230</v>
      </c>
      <c r="AL221" s="65" t="s">
        <v>62</v>
      </c>
      <c r="AM221" s="65" t="s">
        <v>63</v>
      </c>
      <c r="AN221" s="65" t="s">
        <v>64</v>
      </c>
    </row>
    <row r="222" spans="1:40" s="66" customFormat="1" hidden="1" x14ac:dyDescent="0.25">
      <c r="A222" s="64">
        <v>2021</v>
      </c>
      <c r="B222" s="64" t="s">
        <v>1179</v>
      </c>
      <c r="C222" s="64" t="s">
        <v>42</v>
      </c>
      <c r="D222" s="64" t="s">
        <v>202</v>
      </c>
      <c r="E222" s="64" t="s">
        <v>1231</v>
      </c>
      <c r="F222" s="64" t="s">
        <v>116</v>
      </c>
      <c r="G222" s="64" t="s">
        <v>203</v>
      </c>
      <c r="H222" s="78">
        <v>43836</v>
      </c>
      <c r="I222" s="64">
        <f t="shared" si="14"/>
        <v>22</v>
      </c>
      <c r="J222" s="78">
        <v>44525</v>
      </c>
      <c r="K222" s="64" t="str">
        <f t="shared" si="15"/>
        <v>INTERMEDIO</v>
      </c>
      <c r="L222" s="64"/>
      <c r="M222" s="64"/>
      <c r="N222" s="64"/>
      <c r="O222" s="64">
        <v>0</v>
      </c>
      <c r="P222" s="64" t="s">
        <v>47</v>
      </c>
      <c r="Q222" s="64" t="s">
        <v>195</v>
      </c>
      <c r="R222" s="65" t="s">
        <v>467</v>
      </c>
      <c r="S222" s="64" t="s">
        <v>156</v>
      </c>
      <c r="T222" s="64" t="s">
        <v>1091</v>
      </c>
      <c r="U222" s="64" t="s">
        <v>50</v>
      </c>
      <c r="V222" s="64" t="s">
        <v>1232</v>
      </c>
      <c r="W222" s="64" t="s">
        <v>71</v>
      </c>
      <c r="X222" s="64" t="s">
        <v>87</v>
      </c>
      <c r="Y222" s="79">
        <v>0.59375</v>
      </c>
      <c r="Z222" s="64" t="s">
        <v>100</v>
      </c>
      <c r="AA222" s="64" t="s">
        <v>1212</v>
      </c>
      <c r="AB222" s="65"/>
      <c r="AC222" s="82"/>
      <c r="AD222" s="64" t="s">
        <v>159</v>
      </c>
      <c r="AE222" s="64" t="s">
        <v>218</v>
      </c>
      <c r="AF222" s="64">
        <v>50</v>
      </c>
      <c r="AG222" s="64" t="s">
        <v>275</v>
      </c>
      <c r="AH222" s="64" t="s">
        <v>102</v>
      </c>
      <c r="AI222" s="64" t="s">
        <v>59</v>
      </c>
      <c r="AJ222" s="64" t="s">
        <v>60</v>
      </c>
      <c r="AK222" s="68" t="s">
        <v>1534</v>
      </c>
      <c r="AL222" s="65" t="s">
        <v>62</v>
      </c>
      <c r="AM222" s="65" t="s">
        <v>63</v>
      </c>
      <c r="AN222" s="65" t="s">
        <v>64</v>
      </c>
    </row>
    <row r="223" spans="1:40" s="66" customFormat="1" hidden="1" x14ac:dyDescent="0.25">
      <c r="A223" s="64">
        <v>2021</v>
      </c>
      <c r="B223" s="64" t="s">
        <v>1179</v>
      </c>
      <c r="C223" s="64" t="s">
        <v>42</v>
      </c>
      <c r="D223" s="64" t="s">
        <v>1233</v>
      </c>
      <c r="E223" s="64" t="s">
        <v>1234</v>
      </c>
      <c r="F223" s="64" t="s">
        <v>116</v>
      </c>
      <c r="G223" s="64" t="s">
        <v>1235</v>
      </c>
      <c r="H223" s="78">
        <v>42891</v>
      </c>
      <c r="I223" s="64">
        <f t="shared" si="14"/>
        <v>53</v>
      </c>
      <c r="J223" s="78">
        <v>44526</v>
      </c>
      <c r="K223" s="64" t="str">
        <f t="shared" si="15"/>
        <v>ANTIGUO</v>
      </c>
      <c r="L223" s="64"/>
      <c r="M223" s="64"/>
      <c r="N223" s="64"/>
      <c r="O223" s="64">
        <v>0</v>
      </c>
      <c r="P223" s="64" t="s">
        <v>47</v>
      </c>
      <c r="Q223" s="64"/>
      <c r="R223" s="65"/>
      <c r="S223" s="64" t="s">
        <v>118</v>
      </c>
      <c r="T223" s="64" t="s">
        <v>130</v>
      </c>
      <c r="U223" s="64" t="s">
        <v>50</v>
      </c>
      <c r="V223" s="64" t="s">
        <v>130</v>
      </c>
      <c r="W223" s="64" t="s">
        <v>71</v>
      </c>
      <c r="X223" s="64" t="s">
        <v>52</v>
      </c>
      <c r="Y223" s="79">
        <v>0.54166666666666663</v>
      </c>
      <c r="Z223" s="64" t="s">
        <v>110</v>
      </c>
      <c r="AA223" s="64" t="s">
        <v>1212</v>
      </c>
      <c r="AB223" s="65"/>
      <c r="AC223" s="82"/>
      <c r="AD223" s="64" t="s">
        <v>783</v>
      </c>
      <c r="AE223" s="64" t="s">
        <v>198</v>
      </c>
      <c r="AF223" s="64">
        <v>47</v>
      </c>
      <c r="AG223" s="64" t="s">
        <v>413</v>
      </c>
      <c r="AH223" s="64" t="s">
        <v>149</v>
      </c>
      <c r="AI223" s="64" t="s">
        <v>59</v>
      </c>
      <c r="AJ223" s="64" t="s">
        <v>224</v>
      </c>
      <c r="AK223" s="68" t="s">
        <v>1236</v>
      </c>
      <c r="AL223" s="65" t="s">
        <v>62</v>
      </c>
      <c r="AM223" s="65" t="s">
        <v>63</v>
      </c>
      <c r="AN223" s="65" t="s">
        <v>64</v>
      </c>
    </row>
    <row r="224" spans="1:40" s="66" customFormat="1" hidden="1" x14ac:dyDescent="0.25">
      <c r="A224" s="64">
        <v>2021</v>
      </c>
      <c r="B224" s="64" t="s">
        <v>1179</v>
      </c>
      <c r="C224" s="64" t="s">
        <v>42</v>
      </c>
      <c r="D224" s="64" t="s">
        <v>1237</v>
      </c>
      <c r="E224" s="64" t="s">
        <v>863</v>
      </c>
      <c r="F224" s="64" t="s">
        <v>116</v>
      </c>
      <c r="G224" s="64" t="s">
        <v>864</v>
      </c>
      <c r="H224" s="78">
        <v>44364</v>
      </c>
      <c r="I224" s="64">
        <f t="shared" si="14"/>
        <v>4</v>
      </c>
      <c r="J224" s="78">
        <v>44509</v>
      </c>
      <c r="K224" s="64" t="str">
        <f t="shared" si="15"/>
        <v>NUEVO</v>
      </c>
      <c r="L224" s="78">
        <v>44509</v>
      </c>
      <c r="M224" s="78">
        <v>44513</v>
      </c>
      <c r="N224" s="64"/>
      <c r="O224" s="64">
        <v>5</v>
      </c>
      <c r="P224" s="64" t="s">
        <v>68</v>
      </c>
      <c r="Q224" s="64"/>
      <c r="R224" s="65"/>
      <c r="S224" s="64" t="s">
        <v>118</v>
      </c>
      <c r="T224" s="64" t="s">
        <v>1238</v>
      </c>
      <c r="U224" s="64" t="s">
        <v>50</v>
      </c>
      <c r="V224" s="64"/>
      <c r="W224" s="64" t="s">
        <v>1514</v>
      </c>
      <c r="X224" s="64" t="s">
        <v>52</v>
      </c>
      <c r="Y224" s="64"/>
      <c r="Z224" s="64" t="s">
        <v>110</v>
      </c>
      <c r="AA224" s="64" t="s">
        <v>1210</v>
      </c>
      <c r="AB224" s="65"/>
      <c r="AC224" s="82" t="s">
        <v>1239</v>
      </c>
      <c r="AD224" s="64" t="s">
        <v>783</v>
      </c>
      <c r="AE224" s="64" t="s">
        <v>198</v>
      </c>
      <c r="AF224" s="64"/>
      <c r="AG224" s="64" t="s">
        <v>57</v>
      </c>
      <c r="AH224" s="64" t="s">
        <v>419</v>
      </c>
      <c r="AI224" s="64" t="s">
        <v>59</v>
      </c>
      <c r="AJ224" s="64" t="s">
        <v>78</v>
      </c>
      <c r="AK224" s="68" t="s">
        <v>1240</v>
      </c>
      <c r="AL224" s="65" t="s">
        <v>62</v>
      </c>
      <c r="AM224" s="65" t="s">
        <v>63</v>
      </c>
      <c r="AN224" s="65" t="s">
        <v>63</v>
      </c>
    </row>
    <row r="225" spans="1:40" s="66" customFormat="1" hidden="1" x14ac:dyDescent="0.25">
      <c r="A225" s="64">
        <v>2021</v>
      </c>
      <c r="B225" s="64" t="s">
        <v>1179</v>
      </c>
      <c r="C225" s="64" t="s">
        <v>42</v>
      </c>
      <c r="D225" s="64" t="s">
        <v>1241</v>
      </c>
      <c r="E225" s="64" t="s">
        <v>1242</v>
      </c>
      <c r="F225" s="64" t="s">
        <v>45</v>
      </c>
      <c r="G225" s="64" t="s">
        <v>1243</v>
      </c>
      <c r="H225" s="78">
        <v>36258</v>
      </c>
      <c r="I225" s="64">
        <f t="shared" si="14"/>
        <v>271</v>
      </c>
      <c r="J225" s="78">
        <v>44519</v>
      </c>
      <c r="K225" s="64" t="str">
        <f t="shared" si="15"/>
        <v>ANTIGUO</v>
      </c>
      <c r="L225" s="78">
        <v>44519</v>
      </c>
      <c r="M225" s="78">
        <v>44519</v>
      </c>
      <c r="N225" s="64"/>
      <c r="O225" s="64">
        <v>0</v>
      </c>
      <c r="P225" s="64" t="s">
        <v>47</v>
      </c>
      <c r="Q225" s="64"/>
      <c r="R225" s="65"/>
      <c r="S225" s="64" t="s">
        <v>156</v>
      </c>
      <c r="T225" s="64" t="s">
        <v>1091</v>
      </c>
      <c r="U225" s="64" t="s">
        <v>50</v>
      </c>
      <c r="V225" s="64"/>
      <c r="W225" s="64" t="s">
        <v>71</v>
      </c>
      <c r="X225" s="64" t="s">
        <v>87</v>
      </c>
      <c r="Y225" s="64"/>
      <c r="Z225" s="64" t="s">
        <v>110</v>
      </c>
      <c r="AA225" s="64" t="s">
        <v>1210</v>
      </c>
      <c r="AB225" s="65"/>
      <c r="AC225" s="82" t="s">
        <v>1244</v>
      </c>
      <c r="AD225" s="64" t="s">
        <v>159</v>
      </c>
      <c r="AE225" s="64" t="s">
        <v>1072</v>
      </c>
      <c r="AF225" s="64"/>
      <c r="AG225" s="64" t="s">
        <v>270</v>
      </c>
      <c r="AH225" s="64" t="s">
        <v>419</v>
      </c>
      <c r="AI225" s="64" t="s">
        <v>150</v>
      </c>
      <c r="AJ225" s="64" t="s">
        <v>125</v>
      </c>
      <c r="AK225" s="68" t="s">
        <v>1245</v>
      </c>
      <c r="AL225" s="65" t="s">
        <v>62</v>
      </c>
      <c r="AM225" s="65" t="s">
        <v>63</v>
      </c>
      <c r="AN225" s="65" t="s">
        <v>63</v>
      </c>
    </row>
    <row r="226" spans="1:40" s="66" customFormat="1" hidden="1" x14ac:dyDescent="0.25">
      <c r="A226" s="64">
        <v>2021</v>
      </c>
      <c r="B226" s="64" t="s">
        <v>1246</v>
      </c>
      <c r="C226" s="64" t="s">
        <v>42</v>
      </c>
      <c r="D226" s="64" t="s">
        <v>1247</v>
      </c>
      <c r="E226" s="64" t="s">
        <v>1248</v>
      </c>
      <c r="F226" s="64" t="s">
        <v>45</v>
      </c>
      <c r="G226" s="64" t="s">
        <v>1249</v>
      </c>
      <c r="H226" s="64"/>
      <c r="I226" s="64">
        <f t="shared" si="14"/>
        <v>1463</v>
      </c>
      <c r="J226" s="78">
        <v>44539</v>
      </c>
      <c r="K226" s="64" t="str">
        <f t="shared" si="15"/>
        <v>ANTIGUO</v>
      </c>
      <c r="L226" s="64"/>
      <c r="M226" s="64"/>
      <c r="N226" s="64"/>
      <c r="O226" s="64">
        <v>0</v>
      </c>
      <c r="P226" s="64" t="s">
        <v>47</v>
      </c>
      <c r="Q226" s="64"/>
      <c r="R226" s="65"/>
      <c r="S226" s="64" t="s">
        <v>165</v>
      </c>
      <c r="T226" s="64" t="s">
        <v>165</v>
      </c>
      <c r="U226" s="64" t="s">
        <v>712</v>
      </c>
      <c r="V226" s="64" t="s">
        <v>119</v>
      </c>
      <c r="W226" s="64" t="s">
        <v>665</v>
      </c>
      <c r="X226" s="64" t="s">
        <v>52</v>
      </c>
      <c r="Y226" s="79">
        <v>0.28472222222222221</v>
      </c>
      <c r="Z226" s="64" t="s">
        <v>100</v>
      </c>
      <c r="AA226" s="64" t="s">
        <v>1250</v>
      </c>
      <c r="AB226" s="65"/>
      <c r="AC226" s="82"/>
      <c r="AD226" s="64" t="s">
        <v>168</v>
      </c>
      <c r="AE226" s="64" t="s">
        <v>1119</v>
      </c>
      <c r="AF226" s="64"/>
      <c r="AG226" s="64" t="s">
        <v>57</v>
      </c>
      <c r="AH226" s="64" t="s">
        <v>58</v>
      </c>
      <c r="AI226" s="64" t="s">
        <v>94</v>
      </c>
      <c r="AJ226" s="64" t="s">
        <v>78</v>
      </c>
      <c r="AK226" s="68" t="s">
        <v>1251</v>
      </c>
      <c r="AL226" s="65" t="s">
        <v>62</v>
      </c>
      <c r="AM226" s="65" t="s">
        <v>63</v>
      </c>
      <c r="AN226" s="65" t="s">
        <v>64</v>
      </c>
    </row>
    <row r="227" spans="1:40" s="66" customFormat="1" hidden="1" x14ac:dyDescent="0.25">
      <c r="A227" s="64">
        <v>2021</v>
      </c>
      <c r="B227" s="64" t="s">
        <v>1246</v>
      </c>
      <c r="C227" s="64" t="s">
        <v>42</v>
      </c>
      <c r="D227" s="64" t="s">
        <v>1252</v>
      </c>
      <c r="E227" s="64" t="s">
        <v>208</v>
      </c>
      <c r="F227" s="64" t="s">
        <v>116</v>
      </c>
      <c r="G227" s="64" t="s">
        <v>1253</v>
      </c>
      <c r="H227" s="78">
        <v>44296</v>
      </c>
      <c r="I227" s="64">
        <f t="shared" si="14"/>
        <v>8</v>
      </c>
      <c r="J227" s="78">
        <v>44543</v>
      </c>
      <c r="K227" s="64" t="str">
        <f t="shared" si="15"/>
        <v>NUEVO</v>
      </c>
      <c r="L227" s="64"/>
      <c r="M227" s="64"/>
      <c r="N227" s="64"/>
      <c r="O227" s="64">
        <v>0</v>
      </c>
      <c r="P227" s="64" t="s">
        <v>47</v>
      </c>
      <c r="Q227" s="64"/>
      <c r="R227" s="65"/>
      <c r="S227" s="64" t="s">
        <v>156</v>
      </c>
      <c r="T227" s="64" t="s">
        <v>1091</v>
      </c>
      <c r="U227" s="64" t="s">
        <v>50</v>
      </c>
      <c r="V227" s="64" t="s">
        <v>266</v>
      </c>
      <c r="W227" s="64" t="s">
        <v>71</v>
      </c>
      <c r="X227" s="64" t="s">
        <v>109</v>
      </c>
      <c r="Y227" s="79">
        <v>0.19444444444444445</v>
      </c>
      <c r="Z227" s="64" t="s">
        <v>53</v>
      </c>
      <c r="AA227" s="64" t="s">
        <v>1254</v>
      </c>
      <c r="AB227" s="65"/>
      <c r="AC227" s="82"/>
      <c r="AD227" s="64" t="s">
        <v>159</v>
      </c>
      <c r="AE227" s="64" t="s">
        <v>541</v>
      </c>
      <c r="AF227" s="64"/>
      <c r="AG227" s="64" t="s">
        <v>132</v>
      </c>
      <c r="AH227" s="64" t="s">
        <v>58</v>
      </c>
      <c r="AI227" s="64" t="s">
        <v>94</v>
      </c>
      <c r="AJ227" s="64" t="s">
        <v>78</v>
      </c>
      <c r="AK227" s="68" t="s">
        <v>1255</v>
      </c>
      <c r="AL227" s="65" t="s">
        <v>62</v>
      </c>
      <c r="AM227" s="65" t="s">
        <v>63</v>
      </c>
      <c r="AN227" s="65" t="s">
        <v>64</v>
      </c>
    </row>
    <row r="228" spans="1:40" s="66" customFormat="1" ht="30" hidden="1" x14ac:dyDescent="0.25">
      <c r="A228" s="64">
        <v>2021</v>
      </c>
      <c r="B228" s="64" t="s">
        <v>1246</v>
      </c>
      <c r="C228" s="64" t="s">
        <v>42</v>
      </c>
      <c r="D228" s="64" t="s">
        <v>1256</v>
      </c>
      <c r="E228" s="64" t="s">
        <v>154</v>
      </c>
      <c r="F228" s="64" t="s">
        <v>45</v>
      </c>
      <c r="G228" s="64" t="s">
        <v>901</v>
      </c>
      <c r="H228" s="78">
        <v>43998</v>
      </c>
      <c r="I228" s="64">
        <f t="shared" si="14"/>
        <v>17</v>
      </c>
      <c r="J228" s="78">
        <v>44543</v>
      </c>
      <c r="K228" s="64" t="str">
        <f t="shared" si="15"/>
        <v>NUEVO</v>
      </c>
      <c r="L228" s="64"/>
      <c r="M228" s="64"/>
      <c r="N228" s="64"/>
      <c r="O228" s="64">
        <v>0</v>
      </c>
      <c r="P228" s="64" t="s">
        <v>47</v>
      </c>
      <c r="Q228" s="64"/>
      <c r="R228" s="65"/>
      <c r="S228" s="64" t="s">
        <v>83</v>
      </c>
      <c r="T228" s="64" t="s">
        <v>84</v>
      </c>
      <c r="U228" s="64" t="s">
        <v>1257</v>
      </c>
      <c r="V228" s="64" t="s">
        <v>320</v>
      </c>
      <c r="W228" s="64" t="s">
        <v>320</v>
      </c>
      <c r="X228" s="64" t="s">
        <v>87</v>
      </c>
      <c r="Y228" s="79">
        <v>0.72916666666666663</v>
      </c>
      <c r="Z228" s="64" t="s">
        <v>53</v>
      </c>
      <c r="AA228" s="64" t="s">
        <v>1254</v>
      </c>
      <c r="AB228" s="65"/>
      <c r="AC228" s="82"/>
      <c r="AD228" s="64" t="s">
        <v>74</v>
      </c>
      <c r="AE228" s="64" t="s">
        <v>356</v>
      </c>
      <c r="AF228" s="64">
        <v>21</v>
      </c>
      <c r="AG228" s="64" t="s">
        <v>57</v>
      </c>
      <c r="AH228" s="64" t="s">
        <v>58</v>
      </c>
      <c r="AI228" s="64" t="s">
        <v>94</v>
      </c>
      <c r="AJ228" s="64" t="s">
        <v>78</v>
      </c>
      <c r="AK228" s="68" t="s">
        <v>1258</v>
      </c>
      <c r="AL228" s="65" t="s">
        <v>62</v>
      </c>
      <c r="AM228" s="65" t="s">
        <v>63</v>
      </c>
      <c r="AN228" s="65" t="s">
        <v>64</v>
      </c>
    </row>
    <row r="229" spans="1:40" s="66" customFormat="1" hidden="1" x14ac:dyDescent="0.25">
      <c r="A229" s="64">
        <v>2021</v>
      </c>
      <c r="B229" s="64" t="s">
        <v>1246</v>
      </c>
      <c r="C229" s="64" t="s">
        <v>42</v>
      </c>
      <c r="D229" s="64" t="s">
        <v>1259</v>
      </c>
      <c r="E229" s="64" t="s">
        <v>1260</v>
      </c>
      <c r="F229" s="64" t="s">
        <v>45</v>
      </c>
      <c r="G229" s="64" t="s">
        <v>1261</v>
      </c>
      <c r="H229" s="78">
        <v>37764</v>
      </c>
      <c r="I229" s="64">
        <f t="shared" si="14"/>
        <v>222</v>
      </c>
      <c r="J229" s="78">
        <v>44545</v>
      </c>
      <c r="K229" s="64" t="str">
        <f t="shared" ref="K229:K236" si="16">IF(I229&lt;=18,"NUEVO",IF(I229&lt;=36,"INTERMEDIO","ANTIGUO"))</f>
        <v>ANTIGUO</v>
      </c>
      <c r="L229" s="64"/>
      <c r="M229" s="64"/>
      <c r="N229" s="64"/>
      <c r="O229" s="64">
        <v>0</v>
      </c>
      <c r="P229" s="64" t="s">
        <v>47</v>
      </c>
      <c r="Q229" s="64"/>
      <c r="R229" s="65"/>
      <c r="S229" s="64" t="s">
        <v>69</v>
      </c>
      <c r="T229" s="64" t="s">
        <v>69</v>
      </c>
      <c r="U229" s="64" t="s">
        <v>50</v>
      </c>
      <c r="V229" s="64" t="s">
        <v>320</v>
      </c>
      <c r="W229" s="64" t="s">
        <v>320</v>
      </c>
      <c r="X229" s="64" t="s">
        <v>52</v>
      </c>
      <c r="Y229" s="79">
        <v>0.3888888888888889</v>
      </c>
      <c r="Z229" s="64" t="s">
        <v>88</v>
      </c>
      <c r="AA229" s="64" t="s">
        <v>1254</v>
      </c>
      <c r="AB229" s="65"/>
      <c r="AC229" s="82"/>
      <c r="AD229" s="64" t="s">
        <v>74</v>
      </c>
      <c r="AE229" s="64" t="s">
        <v>75</v>
      </c>
      <c r="AF229" s="64">
        <v>40</v>
      </c>
      <c r="AG229" s="64" t="s">
        <v>132</v>
      </c>
      <c r="AH229" s="64" t="s">
        <v>58</v>
      </c>
      <c r="AI229" s="64" t="s">
        <v>94</v>
      </c>
      <c r="AJ229" s="64" t="s">
        <v>134</v>
      </c>
      <c r="AK229" s="68" t="s">
        <v>1262</v>
      </c>
      <c r="AL229" s="65" t="s">
        <v>103</v>
      </c>
      <c r="AM229" s="65" t="s">
        <v>63</v>
      </c>
      <c r="AN229" s="65" t="s">
        <v>64</v>
      </c>
    </row>
    <row r="230" spans="1:40" s="66" customFormat="1" hidden="1" x14ac:dyDescent="0.25">
      <c r="A230" s="64">
        <v>2021</v>
      </c>
      <c r="B230" s="64" t="s">
        <v>1246</v>
      </c>
      <c r="C230" s="64" t="s">
        <v>42</v>
      </c>
      <c r="D230" s="64" t="s">
        <v>1263</v>
      </c>
      <c r="E230" s="64" t="s">
        <v>1264</v>
      </c>
      <c r="F230" s="64" t="s">
        <v>45</v>
      </c>
      <c r="G230" s="64" t="s">
        <v>1265</v>
      </c>
      <c r="H230" s="78">
        <v>38457</v>
      </c>
      <c r="I230" s="64">
        <f t="shared" si="14"/>
        <v>200</v>
      </c>
      <c r="J230" s="78">
        <v>44545</v>
      </c>
      <c r="K230" s="64" t="str">
        <f t="shared" si="16"/>
        <v>ANTIGUO</v>
      </c>
      <c r="L230" s="64"/>
      <c r="M230" s="64"/>
      <c r="N230" s="64"/>
      <c r="O230" s="64">
        <v>0</v>
      </c>
      <c r="P230" s="64" t="s">
        <v>47</v>
      </c>
      <c r="Q230" s="64"/>
      <c r="R230" s="65"/>
      <c r="S230" s="64" t="s">
        <v>165</v>
      </c>
      <c r="T230" s="64" t="s">
        <v>165</v>
      </c>
      <c r="U230" s="64" t="s">
        <v>50</v>
      </c>
      <c r="V230" s="64" t="s">
        <v>1116</v>
      </c>
      <c r="W230" s="64" t="s">
        <v>71</v>
      </c>
      <c r="X230" s="64" t="s">
        <v>52</v>
      </c>
      <c r="Y230" s="79">
        <v>0.47222222222222227</v>
      </c>
      <c r="Z230" s="64" t="s">
        <v>88</v>
      </c>
      <c r="AA230" s="64" t="s">
        <v>1254</v>
      </c>
      <c r="AB230" s="65"/>
      <c r="AC230" s="82"/>
      <c r="AD230" s="64" t="s">
        <v>168</v>
      </c>
      <c r="AE230" s="64" t="s">
        <v>223</v>
      </c>
      <c r="AF230" s="64">
        <v>48</v>
      </c>
      <c r="AG230" s="64" t="s">
        <v>132</v>
      </c>
      <c r="AH230" s="64" t="s">
        <v>102</v>
      </c>
      <c r="AI230" s="64" t="s">
        <v>59</v>
      </c>
      <c r="AJ230" s="64" t="s">
        <v>134</v>
      </c>
      <c r="AK230" s="68" t="s">
        <v>1266</v>
      </c>
      <c r="AL230" s="65" t="s">
        <v>103</v>
      </c>
      <c r="AM230" s="65" t="s">
        <v>63</v>
      </c>
      <c r="AN230" s="65" t="s">
        <v>64</v>
      </c>
    </row>
    <row r="231" spans="1:40" s="66" customFormat="1" hidden="1" x14ac:dyDescent="0.25">
      <c r="A231" s="64">
        <v>2021</v>
      </c>
      <c r="B231" s="64" t="s">
        <v>1246</v>
      </c>
      <c r="C231" s="64" t="s">
        <v>42</v>
      </c>
      <c r="D231" s="64" t="s">
        <v>1267</v>
      </c>
      <c r="E231" s="64" t="s">
        <v>1268</v>
      </c>
      <c r="F231" s="64" t="s">
        <v>45</v>
      </c>
      <c r="G231" s="64" t="s">
        <v>1269</v>
      </c>
      <c r="H231" s="78">
        <v>44487</v>
      </c>
      <c r="I231" s="64">
        <f t="shared" si="14"/>
        <v>2</v>
      </c>
      <c r="J231" s="78">
        <v>44551</v>
      </c>
      <c r="K231" s="64" t="str">
        <f t="shared" si="16"/>
        <v>NUEVO</v>
      </c>
      <c r="L231" s="78">
        <v>44551</v>
      </c>
      <c r="M231" s="78">
        <v>44553</v>
      </c>
      <c r="N231" s="64"/>
      <c r="O231" s="64">
        <v>3</v>
      </c>
      <c r="P231" s="64" t="s">
        <v>68</v>
      </c>
      <c r="Q231" s="64" t="s">
        <v>1544</v>
      </c>
      <c r="R231" s="65" t="s">
        <v>564</v>
      </c>
      <c r="S231" s="64" t="s">
        <v>48</v>
      </c>
      <c r="T231" s="64" t="s">
        <v>49</v>
      </c>
      <c r="U231" s="64" t="s">
        <v>50</v>
      </c>
      <c r="V231" s="64" t="s">
        <v>49</v>
      </c>
      <c r="W231" s="64" t="s">
        <v>1270</v>
      </c>
      <c r="X231" s="64" t="s">
        <v>52</v>
      </c>
      <c r="Y231" s="79">
        <v>0.40972222222222227</v>
      </c>
      <c r="Z231" s="64" t="s">
        <v>72</v>
      </c>
      <c r="AA231" s="64" t="s">
        <v>1271</v>
      </c>
      <c r="AB231" s="65"/>
      <c r="AC231" s="82"/>
      <c r="AD231" s="64" t="s">
        <v>55</v>
      </c>
      <c r="AE231" s="64" t="s">
        <v>56</v>
      </c>
      <c r="AF231" s="64">
        <v>25</v>
      </c>
      <c r="AG231" s="64" t="s">
        <v>57</v>
      </c>
      <c r="AH231" s="64" t="s">
        <v>58</v>
      </c>
      <c r="AI231" s="64" t="s">
        <v>59</v>
      </c>
      <c r="AJ231" s="64" t="s">
        <v>462</v>
      </c>
      <c r="AK231" s="68" t="s">
        <v>1272</v>
      </c>
      <c r="AL231" s="65" t="s">
        <v>62</v>
      </c>
      <c r="AM231" s="65" t="s">
        <v>63</v>
      </c>
      <c r="AN231" s="65" t="s">
        <v>63</v>
      </c>
    </row>
    <row r="232" spans="1:40" s="66" customFormat="1" hidden="1" x14ac:dyDescent="0.25">
      <c r="A232" s="64">
        <v>2021</v>
      </c>
      <c r="B232" s="64" t="s">
        <v>1246</v>
      </c>
      <c r="C232" s="64" t="s">
        <v>42</v>
      </c>
      <c r="D232" s="64" t="s">
        <v>1273</v>
      </c>
      <c r="E232" s="64" t="s">
        <v>1274</v>
      </c>
      <c r="F232" s="64" t="s">
        <v>45</v>
      </c>
      <c r="G232" s="64" t="s">
        <v>1275</v>
      </c>
      <c r="H232" s="78">
        <v>34142</v>
      </c>
      <c r="I232" s="64">
        <f t="shared" si="14"/>
        <v>341</v>
      </c>
      <c r="J232" s="78">
        <v>44551</v>
      </c>
      <c r="K232" s="64" t="str">
        <f t="shared" si="16"/>
        <v>ANTIGUO</v>
      </c>
      <c r="L232" s="64"/>
      <c r="M232" s="64"/>
      <c r="N232" s="64"/>
      <c r="O232" s="64">
        <v>0</v>
      </c>
      <c r="P232" s="64" t="s">
        <v>47</v>
      </c>
      <c r="Q232" s="64"/>
      <c r="R232" s="65"/>
      <c r="S232" s="64" t="s">
        <v>48</v>
      </c>
      <c r="T232" s="64" t="s">
        <v>99</v>
      </c>
      <c r="U232" s="64" t="s">
        <v>50</v>
      </c>
      <c r="V232" s="64" t="s">
        <v>99</v>
      </c>
      <c r="W232" s="64" t="s">
        <v>71</v>
      </c>
      <c r="X232" s="64" t="s">
        <v>52</v>
      </c>
      <c r="Y232" s="79">
        <v>0.44444444444444442</v>
      </c>
      <c r="Z232" s="64" t="s">
        <v>72</v>
      </c>
      <c r="AA232" s="64" t="s">
        <v>1271</v>
      </c>
      <c r="AB232" s="65"/>
      <c r="AC232" s="82"/>
      <c r="AD232" s="64" t="s">
        <v>55</v>
      </c>
      <c r="AE232" s="64" t="s">
        <v>101</v>
      </c>
      <c r="AF232" s="64">
        <v>28</v>
      </c>
      <c r="AG232" s="64" t="s">
        <v>529</v>
      </c>
      <c r="AH232" s="64" t="s">
        <v>58</v>
      </c>
      <c r="AI232" s="64" t="s">
        <v>59</v>
      </c>
      <c r="AJ232" s="64" t="s">
        <v>224</v>
      </c>
      <c r="AK232" s="68" t="s">
        <v>1276</v>
      </c>
      <c r="AL232" s="65" t="s">
        <v>62</v>
      </c>
      <c r="AM232" s="65" t="s">
        <v>63</v>
      </c>
      <c r="AN232" s="65" t="s">
        <v>64</v>
      </c>
    </row>
    <row r="233" spans="1:40" s="66" customFormat="1" hidden="1" x14ac:dyDescent="0.25">
      <c r="A233" s="64">
        <v>2021</v>
      </c>
      <c r="B233" s="64" t="s">
        <v>1246</v>
      </c>
      <c r="C233" s="64" t="s">
        <v>42</v>
      </c>
      <c r="D233" s="64" t="s">
        <v>1277</v>
      </c>
      <c r="E233" s="64" t="s">
        <v>283</v>
      </c>
      <c r="F233" s="64" t="s">
        <v>45</v>
      </c>
      <c r="G233" s="64" t="s">
        <v>1278</v>
      </c>
      <c r="H233" s="78">
        <v>37095</v>
      </c>
      <c r="I233" s="64">
        <f t="shared" si="14"/>
        <v>244</v>
      </c>
      <c r="J233" s="78">
        <v>44551</v>
      </c>
      <c r="K233" s="64" t="str">
        <f t="shared" si="16"/>
        <v>ANTIGUO</v>
      </c>
      <c r="L233" s="64"/>
      <c r="M233" s="64"/>
      <c r="N233" s="64"/>
      <c r="O233" s="64">
        <v>0</v>
      </c>
      <c r="P233" s="64" t="s">
        <v>47</v>
      </c>
      <c r="Q233" s="64" t="s">
        <v>195</v>
      </c>
      <c r="R233" s="65" t="s">
        <v>196</v>
      </c>
      <c r="S233" s="64" t="s">
        <v>107</v>
      </c>
      <c r="T233" s="64" t="s">
        <v>1238</v>
      </c>
      <c r="U233" s="64" t="s">
        <v>490</v>
      </c>
      <c r="V233" s="64" t="s">
        <v>1238</v>
      </c>
      <c r="W233" s="64" t="s">
        <v>1279</v>
      </c>
      <c r="X233" s="64" t="s">
        <v>87</v>
      </c>
      <c r="Y233" s="79">
        <v>0.58333333333333337</v>
      </c>
      <c r="Z233" s="64" t="s">
        <v>72</v>
      </c>
      <c r="AA233" s="64" t="s">
        <v>1271</v>
      </c>
      <c r="AB233" s="65"/>
      <c r="AC233" s="82"/>
      <c r="AD233" s="64" t="s">
        <v>111</v>
      </c>
      <c r="AE233" s="64" t="s">
        <v>178</v>
      </c>
      <c r="AF233" s="64">
        <v>59</v>
      </c>
      <c r="AG233" s="64" t="s">
        <v>57</v>
      </c>
      <c r="AH233" s="64" t="s">
        <v>58</v>
      </c>
      <c r="AI233" s="64" t="s">
        <v>94</v>
      </c>
      <c r="AJ233" s="64" t="s">
        <v>199</v>
      </c>
      <c r="AK233" s="68" t="s">
        <v>1280</v>
      </c>
      <c r="AL233" s="65" t="s">
        <v>62</v>
      </c>
      <c r="AM233" s="65" t="s">
        <v>64</v>
      </c>
      <c r="AN233" s="65" t="s">
        <v>63</v>
      </c>
    </row>
    <row r="234" spans="1:40" s="66" customFormat="1" hidden="1" x14ac:dyDescent="0.25">
      <c r="A234" s="64">
        <v>2021</v>
      </c>
      <c r="B234" s="64" t="s">
        <v>1246</v>
      </c>
      <c r="C234" s="64" t="s">
        <v>42</v>
      </c>
      <c r="D234" s="64" t="s">
        <v>1281</v>
      </c>
      <c r="E234" s="64" t="s">
        <v>1282</v>
      </c>
      <c r="F234" s="64" t="s">
        <v>45</v>
      </c>
      <c r="G234" s="64" t="s">
        <v>1283</v>
      </c>
      <c r="H234" s="78">
        <v>43633</v>
      </c>
      <c r="I234" s="64">
        <f t="shared" si="14"/>
        <v>30</v>
      </c>
      <c r="J234" s="78">
        <v>44551</v>
      </c>
      <c r="K234" s="64" t="str">
        <f t="shared" si="16"/>
        <v>INTERMEDIO</v>
      </c>
      <c r="L234" s="78">
        <v>44551</v>
      </c>
      <c r="M234" s="78">
        <v>44551</v>
      </c>
      <c r="N234" s="64"/>
      <c r="O234" s="64">
        <v>0</v>
      </c>
      <c r="P234" s="64" t="s">
        <v>47</v>
      </c>
      <c r="Q234" s="64"/>
      <c r="R234" s="65"/>
      <c r="S234" s="64" t="s">
        <v>107</v>
      </c>
      <c r="T234" s="64" t="s">
        <v>374</v>
      </c>
      <c r="U234" s="64" t="s">
        <v>50</v>
      </c>
      <c r="V234" s="64" t="s">
        <v>1284</v>
      </c>
      <c r="W234" s="64" t="s">
        <v>71</v>
      </c>
      <c r="X234" s="64" t="s">
        <v>52</v>
      </c>
      <c r="Y234" s="79">
        <v>0.30208333333333331</v>
      </c>
      <c r="Z234" s="64" t="s">
        <v>72</v>
      </c>
      <c r="AA234" s="64" t="s">
        <v>1271</v>
      </c>
      <c r="AB234" s="65"/>
      <c r="AC234" s="82"/>
      <c r="AD234" s="64" t="s">
        <v>111</v>
      </c>
      <c r="AE234" s="64" t="s">
        <v>178</v>
      </c>
      <c r="AF234" s="64">
        <v>23</v>
      </c>
      <c r="AG234" s="64" t="s">
        <v>652</v>
      </c>
      <c r="AH234" s="64" t="s">
        <v>123</v>
      </c>
      <c r="AI234" s="64" t="s">
        <v>498</v>
      </c>
      <c r="AJ234" s="64" t="s">
        <v>125</v>
      </c>
      <c r="AK234" s="68" t="s">
        <v>1285</v>
      </c>
      <c r="AL234" s="65" t="s">
        <v>62</v>
      </c>
      <c r="AM234" s="65" t="s">
        <v>63</v>
      </c>
      <c r="AN234" s="65" t="s">
        <v>64</v>
      </c>
    </row>
    <row r="235" spans="1:40" s="66" customFormat="1" hidden="1" x14ac:dyDescent="0.25">
      <c r="A235" s="64">
        <v>2021</v>
      </c>
      <c r="B235" s="64" t="s">
        <v>1246</v>
      </c>
      <c r="C235" s="64" t="s">
        <v>42</v>
      </c>
      <c r="D235" s="64" t="s">
        <v>1286</v>
      </c>
      <c r="E235" s="64" t="s">
        <v>1081</v>
      </c>
      <c r="F235" s="64" t="s">
        <v>45</v>
      </c>
      <c r="G235" s="64" t="s">
        <v>1287</v>
      </c>
      <c r="H235" s="78">
        <v>43906</v>
      </c>
      <c r="I235" s="64">
        <f t="shared" si="14"/>
        <v>21</v>
      </c>
      <c r="J235" s="78">
        <v>44551</v>
      </c>
      <c r="K235" s="64" t="str">
        <f t="shared" si="16"/>
        <v>INTERMEDIO</v>
      </c>
      <c r="L235" s="64"/>
      <c r="M235" s="64"/>
      <c r="N235" s="64"/>
      <c r="O235" s="64">
        <v>0</v>
      </c>
      <c r="P235" s="64" t="s">
        <v>47</v>
      </c>
      <c r="Q235" s="64"/>
      <c r="R235" s="65"/>
      <c r="S235" s="64" t="s">
        <v>165</v>
      </c>
      <c r="T235" s="64" t="s">
        <v>1238</v>
      </c>
      <c r="U235" s="64" t="s">
        <v>712</v>
      </c>
      <c r="V235" s="64" t="s">
        <v>1238</v>
      </c>
      <c r="W235" s="64" t="s">
        <v>370</v>
      </c>
      <c r="X235" s="64" t="s">
        <v>109</v>
      </c>
      <c r="Y235" s="79">
        <v>0.14583333333333334</v>
      </c>
      <c r="Z235" s="64" t="s">
        <v>72</v>
      </c>
      <c r="AA235" s="64" t="s">
        <v>1271</v>
      </c>
      <c r="AB235" s="65"/>
      <c r="AC235" s="82"/>
      <c r="AD235" s="64" t="s">
        <v>168</v>
      </c>
      <c r="AE235" s="64" t="s">
        <v>1288</v>
      </c>
      <c r="AF235" s="64">
        <v>23</v>
      </c>
      <c r="AG235" s="64" t="s">
        <v>57</v>
      </c>
      <c r="AH235" s="64" t="s">
        <v>58</v>
      </c>
      <c r="AI235" s="64" t="s">
        <v>59</v>
      </c>
      <c r="AJ235" s="64" t="s">
        <v>60</v>
      </c>
      <c r="AK235" s="68" t="s">
        <v>1289</v>
      </c>
      <c r="AL235" s="65" t="s">
        <v>62</v>
      </c>
      <c r="AM235" s="65" t="s">
        <v>64</v>
      </c>
      <c r="AN235" s="65" t="s">
        <v>64</v>
      </c>
    </row>
    <row r="236" spans="1:40" s="66" customFormat="1" hidden="1" x14ac:dyDescent="0.25">
      <c r="A236" s="64">
        <v>2021</v>
      </c>
      <c r="B236" s="64" t="s">
        <v>1246</v>
      </c>
      <c r="C236" s="64" t="s">
        <v>42</v>
      </c>
      <c r="D236" s="64" t="s">
        <v>1506</v>
      </c>
      <c r="E236" s="64" t="s">
        <v>1507</v>
      </c>
      <c r="F236" s="64"/>
      <c r="G236" s="64" t="s">
        <v>1505</v>
      </c>
      <c r="H236" s="78">
        <v>39252</v>
      </c>
      <c r="I236" s="64">
        <f t="shared" si="14"/>
        <v>174</v>
      </c>
      <c r="J236" s="78">
        <v>44552</v>
      </c>
      <c r="K236" s="64" t="str">
        <f t="shared" si="16"/>
        <v>ANTIGUO</v>
      </c>
      <c r="L236" s="64"/>
      <c r="M236" s="64"/>
      <c r="N236" s="64"/>
      <c r="O236" s="64">
        <v>0</v>
      </c>
      <c r="P236" s="64" t="s">
        <v>47</v>
      </c>
      <c r="Q236" s="64"/>
      <c r="R236" s="65"/>
      <c r="S236" s="64" t="s">
        <v>48</v>
      </c>
      <c r="T236" s="64" t="s">
        <v>99</v>
      </c>
      <c r="U236" s="64" t="s">
        <v>50</v>
      </c>
      <c r="V236" s="64" t="s">
        <v>99</v>
      </c>
      <c r="W236" s="64" t="s">
        <v>71</v>
      </c>
      <c r="X236" s="64" t="s">
        <v>52</v>
      </c>
      <c r="Y236" s="79">
        <v>0.38194444444444442</v>
      </c>
      <c r="Z236" s="64" t="s">
        <v>88</v>
      </c>
      <c r="AA236" s="64" t="s">
        <v>1271</v>
      </c>
      <c r="AB236" s="65"/>
      <c r="AC236" s="82"/>
      <c r="AD236" s="64" t="s">
        <v>55</v>
      </c>
      <c r="AE236" s="64" t="s">
        <v>101</v>
      </c>
      <c r="AF236" s="64">
        <v>33</v>
      </c>
      <c r="AG236" s="64" t="s">
        <v>122</v>
      </c>
      <c r="AH236" s="64" t="s">
        <v>123</v>
      </c>
      <c r="AI236" s="64" t="s">
        <v>498</v>
      </c>
      <c r="AJ236" s="64" t="s">
        <v>125</v>
      </c>
      <c r="AK236" s="68" t="s">
        <v>1508</v>
      </c>
      <c r="AL236" s="65" t="s">
        <v>62</v>
      </c>
      <c r="AM236" s="65" t="s">
        <v>63</v>
      </c>
      <c r="AN236" s="65" t="s">
        <v>64</v>
      </c>
    </row>
    <row r="237" spans="1:40" s="66" customFormat="1" hidden="1" x14ac:dyDescent="0.25">
      <c r="A237" s="64"/>
      <c r="B237" s="64"/>
      <c r="C237" s="64"/>
      <c r="D237" s="64"/>
      <c r="E237" s="64"/>
      <c r="F237" s="64"/>
      <c r="G237" s="64"/>
      <c r="H237" s="64"/>
      <c r="I237" s="64" t="s">
        <v>211</v>
      </c>
      <c r="J237" s="64"/>
      <c r="K237" s="64"/>
      <c r="L237" s="64"/>
      <c r="M237" s="64"/>
      <c r="N237" s="64"/>
      <c r="O237" s="64"/>
      <c r="P237" s="64"/>
      <c r="Q237" s="64"/>
      <c r="R237" s="65"/>
      <c r="S237" s="64"/>
      <c r="T237" s="64"/>
      <c r="U237" s="64"/>
      <c r="V237" s="64"/>
      <c r="W237" s="64"/>
      <c r="X237" s="64"/>
      <c r="Y237" s="64"/>
      <c r="Z237" s="64"/>
      <c r="AA237" s="64"/>
      <c r="AB237" s="65"/>
      <c r="AC237" s="82"/>
      <c r="AD237" s="64"/>
      <c r="AE237" s="64"/>
      <c r="AF237" s="64"/>
      <c r="AG237" s="64"/>
      <c r="AH237" s="64"/>
      <c r="AI237" s="64"/>
      <c r="AJ237" s="64"/>
      <c r="AK237" s="68"/>
      <c r="AL237" s="65"/>
      <c r="AM237" s="65"/>
      <c r="AN237" s="65"/>
    </row>
    <row r="238" spans="1:40" s="66" customFormat="1" hidden="1" x14ac:dyDescent="0.25">
      <c r="A238" s="64"/>
      <c r="B238" s="64"/>
      <c r="C238" s="64"/>
      <c r="D238" s="64"/>
      <c r="E238" s="64"/>
      <c r="F238" s="64"/>
      <c r="G238" s="64"/>
      <c r="H238" s="64"/>
      <c r="I238" s="64" t="s">
        <v>211</v>
      </c>
      <c r="J238" s="64"/>
      <c r="K238" s="64"/>
      <c r="L238" s="64"/>
      <c r="M238" s="64"/>
      <c r="N238" s="64"/>
      <c r="O238" s="64"/>
      <c r="P238" s="64"/>
      <c r="Q238" s="64"/>
      <c r="R238" s="65"/>
      <c r="S238" s="64"/>
      <c r="T238" s="64"/>
      <c r="U238" s="64"/>
      <c r="V238" s="64"/>
      <c r="W238" s="64"/>
      <c r="X238" s="64"/>
      <c r="Y238" s="64"/>
      <c r="Z238" s="64"/>
      <c r="AA238" s="64"/>
      <c r="AB238" s="65"/>
      <c r="AC238" s="82"/>
      <c r="AD238" s="64"/>
      <c r="AE238" s="64"/>
      <c r="AF238" s="64"/>
      <c r="AG238" s="64"/>
      <c r="AH238" s="64"/>
      <c r="AI238" s="64"/>
      <c r="AJ238" s="64"/>
      <c r="AK238" s="68"/>
      <c r="AL238" s="65"/>
      <c r="AM238" s="65"/>
      <c r="AN238" s="65"/>
    </row>
    <row r="239" spans="1:40" s="66" customFormat="1" hidden="1" x14ac:dyDescent="0.25">
      <c r="A239" s="64"/>
      <c r="B239" s="64"/>
      <c r="C239" s="64"/>
      <c r="D239" s="64"/>
      <c r="E239" s="64"/>
      <c r="F239" s="64"/>
      <c r="G239" s="64"/>
      <c r="H239" s="64"/>
      <c r="I239" s="64" t="s">
        <v>211</v>
      </c>
      <c r="J239" s="64"/>
      <c r="K239" s="64"/>
      <c r="L239" s="64"/>
      <c r="M239" s="64"/>
      <c r="N239" s="64"/>
      <c r="O239" s="64"/>
      <c r="P239" s="64"/>
      <c r="Q239" s="64"/>
      <c r="R239" s="65"/>
      <c r="S239" s="64"/>
      <c r="T239" s="64"/>
      <c r="U239" s="64"/>
      <c r="V239" s="64"/>
      <c r="W239" s="64"/>
      <c r="X239" s="64"/>
      <c r="Y239" s="64"/>
      <c r="Z239" s="64"/>
      <c r="AA239" s="64"/>
      <c r="AB239" s="65"/>
      <c r="AC239" s="82"/>
      <c r="AD239" s="64"/>
      <c r="AE239" s="64"/>
      <c r="AF239" s="64"/>
      <c r="AG239" s="64"/>
      <c r="AH239" s="64"/>
      <c r="AI239" s="64"/>
      <c r="AJ239" s="64"/>
      <c r="AK239" s="68"/>
      <c r="AL239" s="65"/>
      <c r="AM239" s="65"/>
      <c r="AN239" s="65"/>
    </row>
    <row r="240" spans="1:40" s="66" customFormat="1" hidden="1" x14ac:dyDescent="0.25">
      <c r="A240" s="64"/>
      <c r="B240" s="64"/>
      <c r="C240" s="64"/>
      <c r="D240" s="64"/>
      <c r="E240" s="64"/>
      <c r="F240" s="64"/>
      <c r="G240" s="64"/>
      <c r="H240" s="64"/>
      <c r="I240" s="64" t="s">
        <v>211</v>
      </c>
      <c r="J240" s="64"/>
      <c r="K240" s="64"/>
      <c r="L240" s="64"/>
      <c r="M240" s="64"/>
      <c r="N240" s="64"/>
      <c r="O240" s="64"/>
      <c r="P240" s="64"/>
      <c r="Q240" s="64"/>
      <c r="R240" s="65"/>
      <c r="S240" s="64"/>
      <c r="T240" s="64"/>
      <c r="U240" s="64"/>
      <c r="V240" s="64"/>
      <c r="W240" s="64"/>
      <c r="X240" s="64"/>
      <c r="Y240" s="64"/>
      <c r="Z240" s="64"/>
      <c r="AA240" s="64"/>
      <c r="AB240" s="65"/>
      <c r="AC240" s="82"/>
      <c r="AD240" s="64"/>
      <c r="AE240" s="64"/>
      <c r="AF240" s="64"/>
      <c r="AG240" s="64"/>
      <c r="AH240" s="64"/>
      <c r="AI240" s="64"/>
      <c r="AJ240" s="64"/>
      <c r="AK240" s="68"/>
      <c r="AL240" s="65"/>
      <c r="AM240" s="65"/>
      <c r="AN240" s="65"/>
    </row>
    <row r="241" spans="1:40" s="66" customFormat="1" hidden="1" x14ac:dyDescent="0.25">
      <c r="A241" s="64"/>
      <c r="B241" s="64"/>
      <c r="C241" s="64"/>
      <c r="D241" s="64"/>
      <c r="E241" s="64"/>
      <c r="F241" s="64"/>
      <c r="G241" s="64"/>
      <c r="H241" s="64"/>
      <c r="I241" s="64" t="s">
        <v>211</v>
      </c>
      <c r="J241" s="64"/>
      <c r="K241" s="64"/>
      <c r="L241" s="64"/>
      <c r="M241" s="64"/>
      <c r="N241" s="64"/>
      <c r="O241" s="64"/>
      <c r="P241" s="64"/>
      <c r="Q241" s="64"/>
      <c r="R241" s="65"/>
      <c r="S241" s="64"/>
      <c r="T241" s="64"/>
      <c r="U241" s="64"/>
      <c r="V241" s="64"/>
      <c r="W241" s="64"/>
      <c r="X241" s="64"/>
      <c r="Y241" s="64"/>
      <c r="Z241" s="64"/>
      <c r="AA241" s="64"/>
      <c r="AB241" s="65"/>
      <c r="AC241" s="82"/>
      <c r="AD241" s="64"/>
      <c r="AE241" s="64"/>
      <c r="AF241" s="64"/>
      <c r="AG241" s="64"/>
      <c r="AH241" s="64"/>
      <c r="AI241" s="64"/>
      <c r="AJ241" s="64"/>
      <c r="AK241" s="68"/>
      <c r="AL241" s="65"/>
      <c r="AM241" s="65"/>
      <c r="AN241" s="65"/>
    </row>
    <row r="242" spans="1:40" s="66" customFormat="1" hidden="1" x14ac:dyDescent="0.25">
      <c r="A242" s="64"/>
      <c r="B242" s="64"/>
      <c r="C242" s="64"/>
      <c r="D242" s="64"/>
      <c r="E242" s="64"/>
      <c r="F242" s="64"/>
      <c r="G242" s="64"/>
      <c r="H242" s="64"/>
      <c r="I242" s="64" t="s">
        <v>211</v>
      </c>
      <c r="J242" s="64"/>
      <c r="K242" s="64"/>
      <c r="L242" s="64"/>
      <c r="M242" s="64"/>
      <c r="N242" s="64"/>
      <c r="O242" s="64"/>
      <c r="P242" s="64"/>
      <c r="Q242" s="64"/>
      <c r="R242" s="65"/>
      <c r="S242" s="64"/>
      <c r="T242" s="64"/>
      <c r="U242" s="64"/>
      <c r="V242" s="64"/>
      <c r="W242" s="64"/>
      <c r="X242" s="64"/>
      <c r="Y242" s="64"/>
      <c r="Z242" s="64"/>
      <c r="AA242" s="64"/>
      <c r="AB242" s="65"/>
      <c r="AC242" s="82"/>
      <c r="AD242" s="64"/>
      <c r="AE242" s="64"/>
      <c r="AF242" s="64"/>
      <c r="AG242" s="64"/>
      <c r="AH242" s="64"/>
      <c r="AI242" s="64"/>
      <c r="AJ242" s="64"/>
      <c r="AK242" s="68"/>
      <c r="AL242" s="65"/>
      <c r="AM242" s="65"/>
      <c r="AN242" s="65"/>
    </row>
    <row r="243" spans="1:40" s="66" customFormat="1" hidden="1" x14ac:dyDescent="0.25">
      <c r="A243" s="64"/>
      <c r="B243" s="64"/>
      <c r="C243" s="64"/>
      <c r="D243" s="64"/>
      <c r="E243" s="64"/>
      <c r="F243" s="64"/>
      <c r="G243" s="64"/>
      <c r="H243" s="64"/>
      <c r="I243" s="64" t="s">
        <v>211</v>
      </c>
      <c r="J243" s="64"/>
      <c r="K243" s="64"/>
      <c r="L243" s="64"/>
      <c r="M243" s="64"/>
      <c r="N243" s="64"/>
      <c r="O243" s="64"/>
      <c r="P243" s="64"/>
      <c r="Q243" s="64"/>
      <c r="R243" s="65"/>
      <c r="S243" s="64"/>
      <c r="T243" s="64"/>
      <c r="U243" s="64"/>
      <c r="V243" s="64"/>
      <c r="W243" s="64"/>
      <c r="X243" s="64"/>
      <c r="Y243" s="64"/>
      <c r="Z243" s="64"/>
      <c r="AA243" s="64"/>
      <c r="AB243" s="65"/>
      <c r="AC243" s="82"/>
      <c r="AD243" s="64"/>
      <c r="AE243" s="64"/>
      <c r="AF243" s="64"/>
      <c r="AG243" s="64"/>
      <c r="AH243" s="64"/>
      <c r="AI243" s="64"/>
      <c r="AJ243" s="64"/>
      <c r="AK243" s="68"/>
      <c r="AL243" s="65"/>
      <c r="AM243" s="65"/>
      <c r="AN243" s="65"/>
    </row>
    <row r="244" spans="1:40" s="66" customFormat="1" hidden="1" x14ac:dyDescent="0.25">
      <c r="A244" s="64"/>
      <c r="B244" s="64"/>
      <c r="C244" s="64"/>
      <c r="D244" s="64"/>
      <c r="E244" s="64"/>
      <c r="F244" s="64"/>
      <c r="G244" s="64"/>
      <c r="H244" s="64"/>
      <c r="I244" s="64" t="s">
        <v>211</v>
      </c>
      <c r="J244" s="64"/>
      <c r="K244" s="64"/>
      <c r="L244" s="64"/>
      <c r="M244" s="64"/>
      <c r="N244" s="64"/>
      <c r="O244" s="64"/>
      <c r="P244" s="64"/>
      <c r="Q244" s="64"/>
      <c r="R244" s="65"/>
      <c r="S244" s="64"/>
      <c r="T244" s="64"/>
      <c r="U244" s="64"/>
      <c r="V244" s="64"/>
      <c r="W244" s="64"/>
      <c r="X244" s="64"/>
      <c r="Y244" s="64"/>
      <c r="Z244" s="64"/>
      <c r="AA244" s="64"/>
      <c r="AB244" s="65"/>
      <c r="AC244" s="82"/>
      <c r="AD244" s="64"/>
      <c r="AE244" s="64"/>
      <c r="AF244" s="64"/>
      <c r="AG244" s="64"/>
      <c r="AH244" s="64"/>
      <c r="AI244" s="64"/>
      <c r="AJ244" s="64"/>
      <c r="AK244" s="68"/>
      <c r="AL244" s="65"/>
      <c r="AM244" s="65"/>
      <c r="AN244" s="65"/>
    </row>
    <row r="245" spans="1:40" s="66" customFormat="1" hidden="1" x14ac:dyDescent="0.25">
      <c r="A245" s="64"/>
      <c r="B245" s="64"/>
      <c r="C245" s="64"/>
      <c r="D245" s="64"/>
      <c r="E245" s="64"/>
      <c r="F245" s="64"/>
      <c r="G245" s="64"/>
      <c r="H245" s="64"/>
      <c r="I245" s="64" t="s">
        <v>211</v>
      </c>
      <c r="J245" s="64"/>
      <c r="K245" s="64"/>
      <c r="L245" s="64"/>
      <c r="M245" s="64"/>
      <c r="N245" s="64"/>
      <c r="O245" s="64"/>
      <c r="P245" s="64"/>
      <c r="Q245" s="64"/>
      <c r="R245" s="65"/>
      <c r="S245" s="64"/>
      <c r="T245" s="64"/>
      <c r="U245" s="64"/>
      <c r="V245" s="64"/>
      <c r="W245" s="64"/>
      <c r="X245" s="64"/>
      <c r="Y245" s="64"/>
      <c r="Z245" s="64"/>
      <c r="AA245" s="64"/>
      <c r="AB245" s="65"/>
      <c r="AC245" s="82"/>
      <c r="AD245" s="64"/>
      <c r="AE245" s="64"/>
      <c r="AF245" s="64"/>
      <c r="AG245" s="64"/>
      <c r="AH245" s="64"/>
      <c r="AI245" s="64"/>
      <c r="AJ245" s="64"/>
      <c r="AK245" s="68"/>
      <c r="AL245" s="65"/>
      <c r="AM245" s="65"/>
      <c r="AN245" s="65"/>
    </row>
    <row r="246" spans="1:40" s="66" customFormat="1" hidden="1" x14ac:dyDescent="0.25">
      <c r="A246" s="64"/>
      <c r="B246" s="64"/>
      <c r="C246" s="64"/>
      <c r="D246" s="64"/>
      <c r="E246" s="64"/>
      <c r="F246" s="64"/>
      <c r="G246" s="64"/>
      <c r="H246" s="64"/>
      <c r="I246" s="64" t="s">
        <v>211</v>
      </c>
      <c r="J246" s="64"/>
      <c r="K246" s="64"/>
      <c r="L246" s="64"/>
      <c r="M246" s="64"/>
      <c r="N246" s="64"/>
      <c r="O246" s="64"/>
      <c r="P246" s="64"/>
      <c r="Q246" s="64"/>
      <c r="R246" s="65"/>
      <c r="S246" s="64"/>
      <c r="T246" s="64"/>
      <c r="U246" s="64"/>
      <c r="V246" s="64"/>
      <c r="W246" s="64"/>
      <c r="X246" s="64"/>
      <c r="Y246" s="64"/>
      <c r="Z246" s="64"/>
      <c r="AA246" s="64"/>
      <c r="AB246" s="65"/>
      <c r="AC246" s="82"/>
      <c r="AD246" s="64"/>
      <c r="AE246" s="64"/>
      <c r="AF246" s="64"/>
      <c r="AG246" s="64"/>
      <c r="AH246" s="64"/>
      <c r="AI246" s="64"/>
      <c r="AJ246" s="64"/>
      <c r="AK246" s="68"/>
      <c r="AL246" s="65"/>
      <c r="AM246" s="65"/>
      <c r="AN246" s="65"/>
    </row>
    <row r="247" spans="1:40" s="66" customFormat="1" hidden="1" x14ac:dyDescent="0.25">
      <c r="A247" s="64"/>
      <c r="B247" s="64"/>
      <c r="C247" s="64"/>
      <c r="D247" s="64"/>
      <c r="E247" s="64"/>
      <c r="F247" s="64"/>
      <c r="G247" s="64"/>
      <c r="H247" s="64"/>
      <c r="I247" s="64" t="s">
        <v>211</v>
      </c>
      <c r="J247" s="64"/>
      <c r="K247" s="64"/>
      <c r="L247" s="64"/>
      <c r="M247" s="64"/>
      <c r="N247" s="64"/>
      <c r="O247" s="64"/>
      <c r="P247" s="64"/>
      <c r="Q247" s="64"/>
      <c r="R247" s="65"/>
      <c r="S247" s="64"/>
      <c r="T247" s="64"/>
      <c r="U247" s="64"/>
      <c r="V247" s="64"/>
      <c r="W247" s="64"/>
      <c r="X247" s="64"/>
      <c r="Y247" s="64"/>
      <c r="Z247" s="64"/>
      <c r="AA247" s="64"/>
      <c r="AB247" s="65"/>
      <c r="AC247" s="82"/>
      <c r="AD247" s="64"/>
      <c r="AE247" s="64"/>
      <c r="AF247" s="64"/>
      <c r="AG247" s="64"/>
      <c r="AH247" s="64"/>
      <c r="AI247" s="64"/>
      <c r="AJ247" s="64"/>
      <c r="AK247" s="68"/>
      <c r="AL247" s="65"/>
      <c r="AM247" s="65"/>
      <c r="AN247" s="65"/>
    </row>
    <row r="248" spans="1:40" s="66" customFormat="1" hidden="1" x14ac:dyDescent="0.25">
      <c r="A248" s="64"/>
      <c r="B248" s="64"/>
      <c r="C248" s="64"/>
      <c r="D248" s="64"/>
      <c r="E248" s="64"/>
      <c r="F248" s="64"/>
      <c r="G248" s="64"/>
      <c r="H248" s="64"/>
      <c r="I248" s="64" t="s">
        <v>211</v>
      </c>
      <c r="J248" s="64"/>
      <c r="K248" s="64"/>
      <c r="L248" s="64"/>
      <c r="M248" s="64"/>
      <c r="N248" s="64"/>
      <c r="O248" s="64"/>
      <c r="P248" s="64"/>
      <c r="Q248" s="64"/>
      <c r="R248" s="65"/>
      <c r="S248" s="64"/>
      <c r="T248" s="64"/>
      <c r="U248" s="64"/>
      <c r="V248" s="64"/>
      <c r="W248" s="64"/>
      <c r="X248" s="64"/>
      <c r="Y248" s="64"/>
      <c r="Z248" s="64"/>
      <c r="AA248" s="64"/>
      <c r="AB248" s="65"/>
      <c r="AC248" s="82"/>
      <c r="AD248" s="64"/>
      <c r="AE248" s="64"/>
      <c r="AF248" s="64"/>
      <c r="AG248" s="64"/>
      <c r="AH248" s="64"/>
      <c r="AI248" s="64"/>
      <c r="AJ248" s="64"/>
      <c r="AK248" s="68"/>
      <c r="AL248" s="65"/>
      <c r="AM248" s="65"/>
      <c r="AN248" s="65"/>
    </row>
    <row r="249" spans="1:40" s="66" customFormat="1" hidden="1" x14ac:dyDescent="0.25">
      <c r="A249" s="64"/>
      <c r="B249" s="64"/>
      <c r="C249" s="64"/>
      <c r="D249" s="64"/>
      <c r="E249" s="64"/>
      <c r="F249" s="64"/>
      <c r="G249" s="64"/>
      <c r="H249" s="64"/>
      <c r="I249" s="64" t="s">
        <v>211</v>
      </c>
      <c r="J249" s="64"/>
      <c r="K249" s="64"/>
      <c r="L249" s="64"/>
      <c r="M249" s="64"/>
      <c r="N249" s="64"/>
      <c r="O249" s="64"/>
      <c r="P249" s="64"/>
      <c r="Q249" s="64"/>
      <c r="R249" s="65"/>
      <c r="S249" s="64"/>
      <c r="T249" s="64"/>
      <c r="U249" s="64"/>
      <c r="V249" s="64"/>
      <c r="W249" s="64"/>
      <c r="X249" s="64"/>
      <c r="Y249" s="64"/>
      <c r="Z249" s="64"/>
      <c r="AA249" s="64"/>
      <c r="AB249" s="65"/>
      <c r="AC249" s="82"/>
      <c r="AD249" s="64"/>
      <c r="AE249" s="64"/>
      <c r="AF249" s="64"/>
      <c r="AG249" s="64"/>
      <c r="AH249" s="64"/>
      <c r="AI249" s="64"/>
      <c r="AJ249" s="64"/>
      <c r="AK249" s="68"/>
      <c r="AL249" s="65"/>
      <c r="AM249" s="65"/>
      <c r="AN249" s="65"/>
    </row>
    <row r="250" spans="1:40" s="66" customFormat="1" hidden="1" x14ac:dyDescent="0.25">
      <c r="A250" s="64"/>
      <c r="B250" s="64"/>
      <c r="C250" s="64"/>
      <c r="D250" s="64"/>
      <c r="E250" s="64"/>
      <c r="F250" s="64"/>
      <c r="G250" s="64"/>
      <c r="H250" s="64"/>
      <c r="I250" s="64" t="s">
        <v>211</v>
      </c>
      <c r="J250" s="64"/>
      <c r="K250" s="64"/>
      <c r="L250" s="64"/>
      <c r="M250" s="64"/>
      <c r="N250" s="64"/>
      <c r="O250" s="64"/>
      <c r="P250" s="64"/>
      <c r="Q250" s="64"/>
      <c r="R250" s="65"/>
      <c r="S250" s="64"/>
      <c r="T250" s="64"/>
      <c r="U250" s="64"/>
      <c r="V250" s="64"/>
      <c r="W250" s="64"/>
      <c r="X250" s="64"/>
      <c r="Y250" s="64"/>
      <c r="Z250" s="64"/>
      <c r="AA250" s="64"/>
      <c r="AB250" s="65"/>
      <c r="AC250" s="82"/>
      <c r="AD250" s="64"/>
      <c r="AE250" s="64"/>
      <c r="AF250" s="64"/>
      <c r="AG250" s="64"/>
      <c r="AH250" s="64"/>
      <c r="AI250" s="64"/>
      <c r="AJ250" s="64"/>
      <c r="AK250" s="68"/>
      <c r="AL250" s="65"/>
      <c r="AM250" s="65"/>
      <c r="AN250" s="65"/>
    </row>
    <row r="251" spans="1:40" s="66" customFormat="1" hidden="1" x14ac:dyDescent="0.25">
      <c r="A251" s="64"/>
      <c r="B251" s="64"/>
      <c r="C251" s="64"/>
      <c r="D251" s="64"/>
      <c r="E251" s="64"/>
      <c r="F251" s="64"/>
      <c r="G251" s="64"/>
      <c r="H251" s="64"/>
      <c r="I251" s="64" t="s">
        <v>211</v>
      </c>
      <c r="J251" s="64"/>
      <c r="K251" s="64"/>
      <c r="L251" s="64"/>
      <c r="M251" s="64"/>
      <c r="N251" s="64"/>
      <c r="O251" s="64"/>
      <c r="P251" s="64"/>
      <c r="Q251" s="64"/>
      <c r="R251" s="65"/>
      <c r="S251" s="64"/>
      <c r="T251" s="64"/>
      <c r="U251" s="64"/>
      <c r="V251" s="64"/>
      <c r="W251" s="64"/>
      <c r="X251" s="64"/>
      <c r="Y251" s="64"/>
      <c r="Z251" s="64"/>
      <c r="AA251" s="64"/>
      <c r="AB251" s="65"/>
      <c r="AC251" s="82"/>
      <c r="AD251" s="64"/>
      <c r="AE251" s="64"/>
      <c r="AF251" s="64"/>
      <c r="AG251" s="64"/>
      <c r="AH251" s="64"/>
      <c r="AI251" s="64"/>
      <c r="AJ251" s="64"/>
      <c r="AK251" s="68"/>
      <c r="AL251" s="65"/>
      <c r="AM251" s="65"/>
      <c r="AN251" s="65"/>
    </row>
    <row r="252" spans="1:40" s="66" customFormat="1" hidden="1" x14ac:dyDescent="0.25">
      <c r="A252" s="64"/>
      <c r="B252" s="64"/>
      <c r="C252" s="64"/>
      <c r="D252" s="64"/>
      <c r="E252" s="64"/>
      <c r="F252" s="64"/>
      <c r="G252" s="64"/>
      <c r="H252" s="64"/>
      <c r="I252" s="64" t="s">
        <v>211</v>
      </c>
      <c r="J252" s="64"/>
      <c r="K252" s="64"/>
      <c r="L252" s="64"/>
      <c r="M252" s="64"/>
      <c r="N252" s="64"/>
      <c r="O252" s="64"/>
      <c r="P252" s="64"/>
      <c r="Q252" s="64"/>
      <c r="R252" s="65"/>
      <c r="S252" s="64"/>
      <c r="T252" s="64"/>
      <c r="U252" s="64"/>
      <c r="V252" s="64"/>
      <c r="W252" s="64"/>
      <c r="X252" s="64"/>
      <c r="Y252" s="64"/>
      <c r="Z252" s="64"/>
      <c r="AA252" s="64"/>
      <c r="AB252" s="65"/>
      <c r="AC252" s="82"/>
      <c r="AD252" s="64"/>
      <c r="AE252" s="64"/>
      <c r="AF252" s="64"/>
      <c r="AG252" s="64"/>
      <c r="AH252" s="64"/>
      <c r="AI252" s="64"/>
      <c r="AJ252" s="64"/>
      <c r="AK252" s="68"/>
      <c r="AL252" s="65"/>
      <c r="AM252" s="65"/>
      <c r="AN252" s="65"/>
    </row>
    <row r="253" spans="1:40" s="66" customFormat="1" hidden="1" x14ac:dyDescent="0.25">
      <c r="A253" s="64"/>
      <c r="B253" s="64"/>
      <c r="C253" s="64"/>
      <c r="D253" s="64"/>
      <c r="E253" s="64"/>
      <c r="F253" s="64"/>
      <c r="G253" s="64"/>
      <c r="H253" s="64"/>
      <c r="I253" s="64" t="s">
        <v>211</v>
      </c>
      <c r="J253" s="64"/>
      <c r="K253" s="64"/>
      <c r="L253" s="64"/>
      <c r="M253" s="64"/>
      <c r="N253" s="64"/>
      <c r="O253" s="64"/>
      <c r="P253" s="64"/>
      <c r="Q253" s="64"/>
      <c r="R253" s="65"/>
      <c r="S253" s="64"/>
      <c r="T253" s="64"/>
      <c r="U253" s="64"/>
      <c r="V253" s="64"/>
      <c r="W253" s="64"/>
      <c r="X253" s="64"/>
      <c r="Y253" s="64"/>
      <c r="Z253" s="64"/>
      <c r="AA253" s="64"/>
      <c r="AB253" s="65"/>
      <c r="AC253" s="82"/>
      <c r="AD253" s="64"/>
      <c r="AE253" s="64"/>
      <c r="AF253" s="64"/>
      <c r="AG253" s="64"/>
      <c r="AH253" s="64"/>
      <c r="AI253" s="64"/>
      <c r="AJ253" s="64"/>
      <c r="AK253" s="68"/>
      <c r="AL253" s="65"/>
      <c r="AM253" s="65"/>
      <c r="AN253" s="65"/>
    </row>
    <row r="254" spans="1:40" s="66" customFormat="1" hidden="1" x14ac:dyDescent="0.25">
      <c r="A254" s="64"/>
      <c r="B254" s="64"/>
      <c r="C254" s="64"/>
      <c r="D254" s="64"/>
      <c r="E254" s="64"/>
      <c r="F254" s="64"/>
      <c r="G254" s="64"/>
      <c r="H254" s="64"/>
      <c r="I254" s="64" t="s">
        <v>211</v>
      </c>
      <c r="J254" s="64"/>
      <c r="K254" s="64"/>
      <c r="L254" s="64"/>
      <c r="M254" s="64"/>
      <c r="N254" s="64"/>
      <c r="O254" s="64"/>
      <c r="P254" s="64"/>
      <c r="Q254" s="64"/>
      <c r="R254" s="65"/>
      <c r="S254" s="64"/>
      <c r="T254" s="64"/>
      <c r="U254" s="64"/>
      <c r="V254" s="64"/>
      <c r="W254" s="64"/>
      <c r="X254" s="64"/>
      <c r="Y254" s="64"/>
      <c r="Z254" s="64"/>
      <c r="AA254" s="64"/>
      <c r="AB254" s="65"/>
      <c r="AC254" s="82"/>
      <c r="AD254" s="64"/>
      <c r="AE254" s="64"/>
      <c r="AF254" s="64"/>
      <c r="AG254" s="64"/>
      <c r="AH254" s="64"/>
      <c r="AI254" s="64"/>
      <c r="AJ254" s="64"/>
      <c r="AK254" s="68"/>
      <c r="AL254" s="65"/>
      <c r="AM254" s="65"/>
      <c r="AN254" s="65"/>
    </row>
    <row r="255" spans="1:40" s="66" customFormat="1" hidden="1" x14ac:dyDescent="0.25">
      <c r="A255" s="64"/>
      <c r="B255" s="64"/>
      <c r="C255" s="64"/>
      <c r="D255" s="64"/>
      <c r="E255" s="64"/>
      <c r="F255" s="64"/>
      <c r="G255" s="64"/>
      <c r="H255" s="64"/>
      <c r="I255" s="64" t="s">
        <v>211</v>
      </c>
      <c r="J255" s="64"/>
      <c r="K255" s="64"/>
      <c r="L255" s="64"/>
      <c r="M255" s="64"/>
      <c r="N255" s="64"/>
      <c r="O255" s="64"/>
      <c r="P255" s="64"/>
      <c r="Q255" s="64"/>
      <c r="R255" s="65"/>
      <c r="S255" s="64"/>
      <c r="T255" s="64"/>
      <c r="U255" s="64"/>
      <c r="V255" s="64"/>
      <c r="W255" s="64"/>
      <c r="X255" s="64"/>
      <c r="Y255" s="64"/>
      <c r="Z255" s="64"/>
      <c r="AA255" s="64"/>
      <c r="AB255" s="65"/>
      <c r="AC255" s="82"/>
      <c r="AD255" s="64"/>
      <c r="AE255" s="64"/>
      <c r="AF255" s="64"/>
      <c r="AG255" s="64"/>
      <c r="AH255" s="64"/>
      <c r="AI255" s="64"/>
      <c r="AJ255" s="64"/>
      <c r="AK255" s="68"/>
      <c r="AL255" s="65"/>
      <c r="AM255" s="65"/>
      <c r="AN255" s="65"/>
    </row>
    <row r="256" spans="1:40" s="66" customFormat="1" hidden="1" x14ac:dyDescent="0.25">
      <c r="A256" s="64"/>
      <c r="B256" s="64"/>
      <c r="C256" s="64"/>
      <c r="D256" s="64"/>
      <c r="E256" s="64"/>
      <c r="F256" s="64"/>
      <c r="G256" s="64"/>
      <c r="H256" s="64"/>
      <c r="I256" s="64" t="s">
        <v>211</v>
      </c>
      <c r="J256" s="64"/>
      <c r="K256" s="64"/>
      <c r="L256" s="64"/>
      <c r="M256" s="64"/>
      <c r="N256" s="64"/>
      <c r="O256" s="64"/>
      <c r="P256" s="64"/>
      <c r="Q256" s="64"/>
      <c r="R256" s="65"/>
      <c r="S256" s="64"/>
      <c r="T256" s="64"/>
      <c r="U256" s="64"/>
      <c r="V256" s="64"/>
      <c r="W256" s="64"/>
      <c r="X256" s="64"/>
      <c r="Y256" s="64"/>
      <c r="Z256" s="64"/>
      <c r="AA256" s="64"/>
      <c r="AB256" s="65"/>
      <c r="AC256" s="82"/>
      <c r="AD256" s="64"/>
      <c r="AE256" s="64"/>
      <c r="AF256" s="64"/>
      <c r="AG256" s="64"/>
      <c r="AH256" s="64"/>
      <c r="AI256" s="64"/>
      <c r="AJ256" s="64"/>
      <c r="AK256" s="68"/>
      <c r="AL256" s="65"/>
      <c r="AM256" s="65"/>
      <c r="AN256" s="65"/>
    </row>
    <row r="257" spans="1:40" s="66" customFormat="1" hidden="1" x14ac:dyDescent="0.25">
      <c r="A257" s="64"/>
      <c r="B257" s="64"/>
      <c r="C257" s="64"/>
      <c r="D257" s="64"/>
      <c r="E257" s="64"/>
      <c r="F257" s="64"/>
      <c r="G257" s="64"/>
      <c r="H257" s="64"/>
      <c r="I257" s="64" t="s">
        <v>211</v>
      </c>
      <c r="J257" s="64"/>
      <c r="K257" s="64"/>
      <c r="L257" s="64"/>
      <c r="M257" s="64"/>
      <c r="N257" s="64"/>
      <c r="O257" s="64"/>
      <c r="P257" s="64"/>
      <c r="Q257" s="64"/>
      <c r="R257" s="65"/>
      <c r="S257" s="64"/>
      <c r="T257" s="64"/>
      <c r="U257" s="64"/>
      <c r="V257" s="64"/>
      <c r="W257" s="64"/>
      <c r="X257" s="64"/>
      <c r="Y257" s="64"/>
      <c r="Z257" s="64"/>
      <c r="AA257" s="64"/>
      <c r="AB257" s="65"/>
      <c r="AC257" s="82"/>
      <c r="AD257" s="64"/>
      <c r="AE257" s="64"/>
      <c r="AF257" s="64"/>
      <c r="AG257" s="64"/>
      <c r="AH257" s="64"/>
      <c r="AI257" s="64"/>
      <c r="AJ257" s="64"/>
      <c r="AK257" s="68"/>
      <c r="AL257" s="65"/>
      <c r="AM257" s="65"/>
      <c r="AN257" s="65"/>
    </row>
    <row r="258" spans="1:40" s="66" customFormat="1" hidden="1" x14ac:dyDescent="0.25">
      <c r="A258" s="64"/>
      <c r="B258" s="64"/>
      <c r="C258" s="64"/>
      <c r="D258" s="64"/>
      <c r="E258" s="64"/>
      <c r="F258" s="64"/>
      <c r="G258" s="64"/>
      <c r="H258" s="64"/>
      <c r="I258" s="64" t="s">
        <v>211</v>
      </c>
      <c r="J258" s="64"/>
      <c r="K258" s="64"/>
      <c r="L258" s="64"/>
      <c r="M258" s="64"/>
      <c r="N258" s="64"/>
      <c r="O258" s="64"/>
      <c r="P258" s="64"/>
      <c r="Q258" s="64"/>
      <c r="R258" s="65"/>
      <c r="S258" s="64"/>
      <c r="T258" s="64"/>
      <c r="U258" s="64"/>
      <c r="V258" s="64"/>
      <c r="W258" s="64"/>
      <c r="X258" s="64"/>
      <c r="Y258" s="64"/>
      <c r="Z258" s="64"/>
      <c r="AA258" s="64"/>
      <c r="AB258" s="65"/>
      <c r="AC258" s="82"/>
      <c r="AD258" s="64"/>
      <c r="AE258" s="64"/>
      <c r="AF258" s="64"/>
      <c r="AG258" s="64"/>
      <c r="AH258" s="64"/>
      <c r="AI258" s="64"/>
      <c r="AJ258" s="64"/>
      <c r="AK258" s="68"/>
      <c r="AL258" s="65"/>
      <c r="AM258" s="65"/>
      <c r="AN258" s="65"/>
    </row>
    <row r="259" spans="1:40" s="66" customFormat="1" hidden="1" x14ac:dyDescent="0.25">
      <c r="A259" s="64"/>
      <c r="B259" s="64"/>
      <c r="C259" s="64"/>
      <c r="D259" s="64"/>
      <c r="E259" s="64"/>
      <c r="F259" s="64"/>
      <c r="G259" s="64"/>
      <c r="H259" s="64"/>
      <c r="I259" s="64" t="s">
        <v>211</v>
      </c>
      <c r="J259" s="64"/>
      <c r="K259" s="64"/>
      <c r="L259" s="64"/>
      <c r="M259" s="64"/>
      <c r="N259" s="64"/>
      <c r="O259" s="64"/>
      <c r="P259" s="64"/>
      <c r="Q259" s="64"/>
      <c r="R259" s="65"/>
      <c r="S259" s="64"/>
      <c r="T259" s="64"/>
      <c r="U259" s="64"/>
      <c r="V259" s="64"/>
      <c r="W259" s="64"/>
      <c r="X259" s="64"/>
      <c r="Y259" s="64"/>
      <c r="Z259" s="64"/>
      <c r="AA259" s="64"/>
      <c r="AB259" s="65"/>
      <c r="AC259" s="82"/>
      <c r="AD259" s="64"/>
      <c r="AE259" s="64"/>
      <c r="AF259" s="64"/>
      <c r="AG259" s="64"/>
      <c r="AH259" s="64"/>
      <c r="AI259" s="64"/>
      <c r="AJ259" s="64"/>
      <c r="AK259" s="68"/>
      <c r="AL259" s="65"/>
      <c r="AM259" s="65"/>
      <c r="AN259" s="65"/>
    </row>
    <row r="260" spans="1:40" s="66" customFormat="1" hidden="1" x14ac:dyDescent="0.25">
      <c r="A260" s="64"/>
      <c r="B260" s="64"/>
      <c r="C260" s="64"/>
      <c r="D260" s="64"/>
      <c r="E260" s="64"/>
      <c r="F260" s="64"/>
      <c r="G260" s="64"/>
      <c r="H260" s="64"/>
      <c r="I260" s="64" t="s">
        <v>211</v>
      </c>
      <c r="J260" s="64"/>
      <c r="K260" s="64"/>
      <c r="L260" s="64"/>
      <c r="M260" s="64"/>
      <c r="N260" s="64"/>
      <c r="O260" s="64"/>
      <c r="P260" s="64"/>
      <c r="Q260" s="64"/>
      <c r="R260" s="65"/>
      <c r="S260" s="64"/>
      <c r="T260" s="64"/>
      <c r="U260" s="64"/>
      <c r="V260" s="64"/>
      <c r="W260" s="64"/>
      <c r="X260" s="64"/>
      <c r="Y260" s="64"/>
      <c r="Z260" s="64"/>
      <c r="AA260" s="64"/>
      <c r="AB260" s="65"/>
      <c r="AC260" s="82"/>
      <c r="AD260" s="64"/>
      <c r="AE260" s="64"/>
      <c r="AF260" s="64"/>
      <c r="AG260" s="64"/>
      <c r="AH260" s="64"/>
      <c r="AI260" s="64"/>
      <c r="AJ260" s="64"/>
      <c r="AK260" s="68"/>
      <c r="AL260" s="65"/>
      <c r="AM260" s="65"/>
      <c r="AN260" s="65"/>
    </row>
    <row r="261" spans="1:40" s="66" customFormat="1" hidden="1" x14ac:dyDescent="0.25">
      <c r="A261" s="64"/>
      <c r="B261" s="64"/>
      <c r="C261" s="64"/>
      <c r="D261" s="64"/>
      <c r="E261" s="64"/>
      <c r="F261" s="64"/>
      <c r="G261" s="64"/>
      <c r="H261" s="64"/>
      <c r="I261" s="64" t="s">
        <v>211</v>
      </c>
      <c r="J261" s="64"/>
      <c r="K261" s="64"/>
      <c r="L261" s="64"/>
      <c r="M261" s="64"/>
      <c r="N261" s="64"/>
      <c r="O261" s="64"/>
      <c r="P261" s="64"/>
      <c r="Q261" s="64"/>
      <c r="R261" s="65"/>
      <c r="S261" s="64"/>
      <c r="T261" s="64"/>
      <c r="U261" s="64"/>
      <c r="V261" s="64"/>
      <c r="W261" s="64"/>
      <c r="X261" s="64"/>
      <c r="Y261" s="64"/>
      <c r="Z261" s="64"/>
      <c r="AA261" s="64"/>
      <c r="AB261" s="65"/>
      <c r="AC261" s="82"/>
      <c r="AD261" s="64"/>
      <c r="AE261" s="64"/>
      <c r="AF261" s="64"/>
      <c r="AG261" s="64"/>
      <c r="AH261" s="64"/>
      <c r="AI261" s="64"/>
      <c r="AJ261" s="64"/>
      <c r="AK261" s="68"/>
      <c r="AL261" s="65"/>
      <c r="AM261" s="65"/>
      <c r="AN261" s="65"/>
    </row>
    <row r="262" spans="1:40" s="66" customFormat="1" hidden="1" x14ac:dyDescent="0.25">
      <c r="A262" s="64"/>
      <c r="B262" s="64"/>
      <c r="C262" s="64"/>
      <c r="D262" s="64"/>
      <c r="E262" s="64"/>
      <c r="F262" s="64"/>
      <c r="G262" s="64"/>
      <c r="H262" s="64"/>
      <c r="I262" s="64" t="s">
        <v>211</v>
      </c>
      <c r="J262" s="64"/>
      <c r="K262" s="64"/>
      <c r="L262" s="64"/>
      <c r="M262" s="64"/>
      <c r="N262" s="64"/>
      <c r="O262" s="64"/>
      <c r="P262" s="64"/>
      <c r="Q262" s="64"/>
      <c r="R262" s="65"/>
      <c r="S262" s="64"/>
      <c r="T262" s="64"/>
      <c r="U262" s="64"/>
      <c r="V262" s="64"/>
      <c r="W262" s="64"/>
      <c r="X262" s="64"/>
      <c r="Y262" s="64"/>
      <c r="Z262" s="64"/>
      <c r="AA262" s="64"/>
      <c r="AB262" s="65"/>
      <c r="AC262" s="82"/>
      <c r="AD262" s="64"/>
      <c r="AE262" s="64"/>
      <c r="AF262" s="64"/>
      <c r="AG262" s="64"/>
      <c r="AH262" s="64"/>
      <c r="AI262" s="64"/>
      <c r="AJ262" s="64"/>
      <c r="AK262" s="68"/>
      <c r="AL262" s="65"/>
      <c r="AM262" s="65"/>
      <c r="AN262" s="65"/>
    </row>
    <row r="263" spans="1:40" s="66" customFormat="1" hidden="1" x14ac:dyDescent="0.25">
      <c r="A263" s="64"/>
      <c r="B263" s="64"/>
      <c r="C263" s="64"/>
      <c r="D263" s="64"/>
      <c r="E263" s="64"/>
      <c r="F263" s="64"/>
      <c r="G263" s="64"/>
      <c r="H263" s="64"/>
      <c r="I263" s="64" t="s">
        <v>211</v>
      </c>
      <c r="J263" s="64"/>
      <c r="K263" s="64"/>
      <c r="L263" s="64"/>
      <c r="M263" s="64"/>
      <c r="N263" s="64"/>
      <c r="O263" s="64"/>
      <c r="P263" s="64"/>
      <c r="Q263" s="64"/>
      <c r="R263" s="65"/>
      <c r="S263" s="64"/>
      <c r="T263" s="64"/>
      <c r="U263" s="64"/>
      <c r="V263" s="64"/>
      <c r="W263" s="64"/>
      <c r="X263" s="64"/>
      <c r="Y263" s="64"/>
      <c r="Z263" s="64"/>
      <c r="AA263" s="64"/>
      <c r="AB263" s="65"/>
      <c r="AC263" s="82"/>
      <c r="AD263" s="64"/>
      <c r="AE263" s="64"/>
      <c r="AF263" s="64"/>
      <c r="AG263" s="64"/>
      <c r="AH263" s="64"/>
      <c r="AI263" s="64"/>
      <c r="AJ263" s="64"/>
      <c r="AK263" s="68"/>
      <c r="AL263" s="65"/>
      <c r="AM263" s="65"/>
      <c r="AN263" s="65"/>
    </row>
    <row r="264" spans="1:40" s="66" customFormat="1" hidden="1" x14ac:dyDescent="0.25">
      <c r="A264" s="64"/>
      <c r="B264" s="64"/>
      <c r="C264" s="64"/>
      <c r="D264" s="64"/>
      <c r="E264" s="64"/>
      <c r="F264" s="64"/>
      <c r="G264" s="64"/>
      <c r="H264" s="64"/>
      <c r="I264" s="64" t="s">
        <v>211</v>
      </c>
      <c r="J264" s="64"/>
      <c r="K264" s="64"/>
      <c r="L264" s="64"/>
      <c r="M264" s="64"/>
      <c r="N264" s="64"/>
      <c r="O264" s="64"/>
      <c r="P264" s="64"/>
      <c r="Q264" s="64"/>
      <c r="R264" s="65"/>
      <c r="S264" s="64"/>
      <c r="T264" s="64"/>
      <c r="U264" s="64"/>
      <c r="V264" s="64"/>
      <c r="W264" s="64"/>
      <c r="X264" s="64"/>
      <c r="Y264" s="64"/>
      <c r="Z264" s="64"/>
      <c r="AA264" s="64"/>
      <c r="AB264" s="65"/>
      <c r="AC264" s="82"/>
      <c r="AD264" s="64"/>
      <c r="AE264" s="64"/>
      <c r="AF264" s="64"/>
      <c r="AG264" s="64"/>
      <c r="AH264" s="64"/>
      <c r="AI264" s="64"/>
      <c r="AJ264" s="64"/>
      <c r="AK264" s="68"/>
      <c r="AL264" s="65"/>
      <c r="AM264" s="65"/>
      <c r="AN264" s="65"/>
    </row>
    <row r="265" spans="1:40" s="66" customFormat="1" hidden="1" x14ac:dyDescent="0.25">
      <c r="A265" s="64"/>
      <c r="B265" s="64"/>
      <c r="C265" s="64"/>
      <c r="D265" s="64"/>
      <c r="E265" s="64"/>
      <c r="F265" s="64"/>
      <c r="G265" s="64"/>
      <c r="H265" s="64"/>
      <c r="I265" s="64" t="s">
        <v>211</v>
      </c>
      <c r="J265" s="64"/>
      <c r="K265" s="64"/>
      <c r="L265" s="64"/>
      <c r="M265" s="64"/>
      <c r="N265" s="64"/>
      <c r="O265" s="64"/>
      <c r="P265" s="64"/>
      <c r="Q265" s="64"/>
      <c r="R265" s="65"/>
      <c r="S265" s="64"/>
      <c r="T265" s="64"/>
      <c r="U265" s="64"/>
      <c r="V265" s="64"/>
      <c r="W265" s="64"/>
      <c r="X265" s="64"/>
      <c r="Y265" s="64"/>
      <c r="Z265" s="64"/>
      <c r="AA265" s="64"/>
      <c r="AB265" s="65"/>
      <c r="AC265" s="82"/>
      <c r="AD265" s="64"/>
      <c r="AE265" s="64"/>
      <c r="AF265" s="64"/>
      <c r="AG265" s="64"/>
      <c r="AH265" s="64"/>
      <c r="AI265" s="64"/>
      <c r="AJ265" s="64"/>
      <c r="AK265" s="68"/>
      <c r="AL265" s="65"/>
      <c r="AM265" s="65"/>
      <c r="AN265" s="65"/>
    </row>
    <row r="266" spans="1:40" s="66" customFormat="1" hidden="1" x14ac:dyDescent="0.25">
      <c r="A266" s="64"/>
      <c r="B266" s="64"/>
      <c r="C266" s="64"/>
      <c r="D266" s="64"/>
      <c r="E266" s="64"/>
      <c r="F266" s="64"/>
      <c r="G266" s="64"/>
      <c r="H266" s="64"/>
      <c r="I266" s="64" t="s">
        <v>211</v>
      </c>
      <c r="J266" s="64"/>
      <c r="K266" s="64"/>
      <c r="L266" s="64"/>
      <c r="M266" s="64"/>
      <c r="N266" s="64"/>
      <c r="O266" s="64"/>
      <c r="P266" s="64"/>
      <c r="Q266" s="64"/>
      <c r="R266" s="65"/>
      <c r="S266" s="64"/>
      <c r="T266" s="64"/>
      <c r="U266" s="64"/>
      <c r="V266" s="64"/>
      <c r="W266" s="64"/>
      <c r="X266" s="64"/>
      <c r="Y266" s="64"/>
      <c r="Z266" s="64"/>
      <c r="AA266" s="64"/>
      <c r="AB266" s="65"/>
      <c r="AC266" s="82"/>
      <c r="AD266" s="64"/>
      <c r="AE266" s="64"/>
      <c r="AF266" s="64"/>
      <c r="AG266" s="64"/>
      <c r="AH266" s="64"/>
      <c r="AI266" s="64"/>
      <c r="AJ266" s="64"/>
      <c r="AK266" s="68"/>
      <c r="AL266" s="65"/>
      <c r="AM266" s="65"/>
      <c r="AN266" s="65"/>
    </row>
    <row r="267" spans="1:40" s="66" customFormat="1" hidden="1" x14ac:dyDescent="0.25">
      <c r="A267" s="64"/>
      <c r="B267" s="64"/>
      <c r="C267" s="64"/>
      <c r="D267" s="64"/>
      <c r="E267" s="64"/>
      <c r="F267" s="64"/>
      <c r="G267" s="64"/>
      <c r="H267" s="64"/>
      <c r="I267" s="64" t="s">
        <v>211</v>
      </c>
      <c r="J267" s="64"/>
      <c r="K267" s="64"/>
      <c r="L267" s="64"/>
      <c r="M267" s="64"/>
      <c r="N267" s="64"/>
      <c r="O267" s="64"/>
      <c r="P267" s="64"/>
      <c r="Q267" s="64"/>
      <c r="R267" s="65"/>
      <c r="S267" s="64"/>
      <c r="T267" s="64"/>
      <c r="U267" s="64"/>
      <c r="V267" s="64"/>
      <c r="W267" s="64"/>
      <c r="X267" s="64"/>
      <c r="Y267" s="64"/>
      <c r="Z267" s="64"/>
      <c r="AA267" s="64"/>
      <c r="AB267" s="65"/>
      <c r="AC267" s="82"/>
      <c r="AD267" s="64"/>
      <c r="AE267" s="64"/>
      <c r="AF267" s="64"/>
      <c r="AG267" s="64"/>
      <c r="AH267" s="64"/>
      <c r="AI267" s="64"/>
      <c r="AJ267" s="64"/>
      <c r="AK267" s="68"/>
      <c r="AL267" s="65"/>
      <c r="AM267" s="65"/>
      <c r="AN267" s="65"/>
    </row>
    <row r="268" spans="1:40" s="66" customFormat="1" hidden="1" x14ac:dyDescent="0.25">
      <c r="A268" s="64"/>
      <c r="B268" s="64"/>
      <c r="C268" s="64"/>
      <c r="D268" s="64"/>
      <c r="E268" s="64"/>
      <c r="F268" s="64"/>
      <c r="G268" s="64"/>
      <c r="H268" s="64"/>
      <c r="I268" s="64" t="s">
        <v>211</v>
      </c>
      <c r="J268" s="64"/>
      <c r="K268" s="64"/>
      <c r="L268" s="64"/>
      <c r="M268" s="64"/>
      <c r="N268" s="64"/>
      <c r="O268" s="64"/>
      <c r="P268" s="64"/>
      <c r="Q268" s="64"/>
      <c r="R268" s="65"/>
      <c r="S268" s="64"/>
      <c r="T268" s="64"/>
      <c r="U268" s="64"/>
      <c r="V268" s="64"/>
      <c r="W268" s="64"/>
      <c r="X268" s="64"/>
      <c r="Y268" s="64"/>
      <c r="Z268" s="64"/>
      <c r="AA268" s="64"/>
      <c r="AB268" s="65"/>
      <c r="AC268" s="82"/>
      <c r="AD268" s="64"/>
      <c r="AE268" s="64"/>
      <c r="AF268" s="64"/>
      <c r="AG268" s="64"/>
      <c r="AH268" s="64"/>
      <c r="AI268" s="64"/>
      <c r="AJ268" s="64"/>
      <c r="AK268" s="68"/>
      <c r="AL268" s="65"/>
      <c r="AM268" s="65"/>
      <c r="AN268" s="65"/>
    </row>
    <row r="269" spans="1:40" s="66" customFormat="1" hidden="1" x14ac:dyDescent="0.25">
      <c r="A269" s="64"/>
      <c r="B269" s="64"/>
      <c r="C269" s="64"/>
      <c r="D269" s="64"/>
      <c r="E269" s="64"/>
      <c r="F269" s="64"/>
      <c r="G269" s="64"/>
      <c r="H269" s="64"/>
      <c r="I269" s="64" t="s">
        <v>211</v>
      </c>
      <c r="J269" s="64"/>
      <c r="K269" s="64"/>
      <c r="L269" s="64"/>
      <c r="M269" s="64"/>
      <c r="N269" s="64"/>
      <c r="O269" s="64"/>
      <c r="P269" s="64"/>
      <c r="Q269" s="64"/>
      <c r="R269" s="65"/>
      <c r="S269" s="64"/>
      <c r="T269" s="64"/>
      <c r="U269" s="64"/>
      <c r="V269" s="64"/>
      <c r="W269" s="64"/>
      <c r="X269" s="64"/>
      <c r="Y269" s="64"/>
      <c r="Z269" s="64"/>
      <c r="AA269" s="64"/>
      <c r="AB269" s="65"/>
      <c r="AC269" s="82"/>
      <c r="AD269" s="64"/>
      <c r="AE269" s="64"/>
      <c r="AF269" s="64"/>
      <c r="AG269" s="64"/>
      <c r="AH269" s="64"/>
      <c r="AI269" s="64"/>
      <c r="AJ269" s="64"/>
      <c r="AK269" s="68"/>
      <c r="AL269" s="65"/>
      <c r="AM269" s="65"/>
      <c r="AN269" s="65"/>
    </row>
    <row r="270" spans="1:40" s="66" customFormat="1" hidden="1" x14ac:dyDescent="0.25">
      <c r="A270" s="64"/>
      <c r="B270" s="64"/>
      <c r="C270" s="64"/>
      <c r="D270" s="64"/>
      <c r="E270" s="64"/>
      <c r="F270" s="64"/>
      <c r="G270" s="64"/>
      <c r="H270" s="64"/>
      <c r="I270" s="64" t="s">
        <v>211</v>
      </c>
      <c r="J270" s="64"/>
      <c r="K270" s="64"/>
      <c r="L270" s="64"/>
      <c r="M270" s="64"/>
      <c r="N270" s="64"/>
      <c r="O270" s="64"/>
      <c r="P270" s="64"/>
      <c r="Q270" s="64"/>
      <c r="R270" s="65"/>
      <c r="S270" s="64"/>
      <c r="T270" s="64"/>
      <c r="U270" s="64"/>
      <c r="V270" s="64"/>
      <c r="W270" s="64"/>
      <c r="X270" s="64"/>
      <c r="Y270" s="64"/>
      <c r="Z270" s="64"/>
      <c r="AA270" s="64"/>
      <c r="AB270" s="65"/>
      <c r="AC270" s="82"/>
      <c r="AD270" s="64"/>
      <c r="AE270" s="64"/>
      <c r="AF270" s="64"/>
      <c r="AG270" s="64"/>
      <c r="AH270" s="64"/>
      <c r="AI270" s="64"/>
      <c r="AJ270" s="64"/>
      <c r="AK270" s="68"/>
      <c r="AL270" s="65"/>
      <c r="AM270" s="65"/>
      <c r="AN270" s="65"/>
    </row>
    <row r="271" spans="1:40" s="66" customFormat="1" hidden="1" x14ac:dyDescent="0.25">
      <c r="A271" s="64"/>
      <c r="B271" s="64"/>
      <c r="C271" s="64"/>
      <c r="D271" s="64"/>
      <c r="E271" s="64"/>
      <c r="F271" s="64"/>
      <c r="G271" s="64"/>
      <c r="H271" s="64"/>
      <c r="I271" s="64" t="s">
        <v>211</v>
      </c>
      <c r="J271" s="64"/>
      <c r="K271" s="64"/>
      <c r="L271" s="64"/>
      <c r="M271" s="64"/>
      <c r="N271" s="64"/>
      <c r="O271" s="64"/>
      <c r="P271" s="64"/>
      <c r="Q271" s="64"/>
      <c r="R271" s="65"/>
      <c r="S271" s="64"/>
      <c r="T271" s="64"/>
      <c r="U271" s="64"/>
      <c r="V271" s="64"/>
      <c r="W271" s="64"/>
      <c r="X271" s="64"/>
      <c r="Y271" s="64"/>
      <c r="Z271" s="64"/>
      <c r="AA271" s="64"/>
      <c r="AB271" s="65"/>
      <c r="AC271" s="82"/>
      <c r="AD271" s="64"/>
      <c r="AE271" s="64"/>
      <c r="AF271" s="64"/>
      <c r="AG271" s="64"/>
      <c r="AH271" s="64"/>
      <c r="AI271" s="64"/>
      <c r="AJ271" s="64"/>
      <c r="AK271" s="68"/>
      <c r="AL271" s="65"/>
      <c r="AM271" s="65"/>
      <c r="AN271" s="65"/>
    </row>
    <row r="272" spans="1:40" s="66" customFormat="1" hidden="1" x14ac:dyDescent="0.25">
      <c r="A272" s="64"/>
      <c r="B272" s="64"/>
      <c r="C272" s="64"/>
      <c r="D272" s="64"/>
      <c r="E272" s="64"/>
      <c r="F272" s="64"/>
      <c r="G272" s="64"/>
      <c r="H272" s="64"/>
      <c r="I272" s="64" t="s">
        <v>211</v>
      </c>
      <c r="J272" s="64"/>
      <c r="K272" s="64"/>
      <c r="L272" s="64"/>
      <c r="M272" s="64"/>
      <c r="N272" s="64"/>
      <c r="O272" s="64"/>
      <c r="P272" s="64"/>
      <c r="Q272" s="64"/>
      <c r="R272" s="65"/>
      <c r="S272" s="64"/>
      <c r="T272" s="64"/>
      <c r="U272" s="64"/>
      <c r="V272" s="64"/>
      <c r="W272" s="64"/>
      <c r="X272" s="64"/>
      <c r="Y272" s="64"/>
      <c r="Z272" s="64"/>
      <c r="AA272" s="64"/>
      <c r="AB272" s="65"/>
      <c r="AC272" s="82"/>
      <c r="AD272" s="64"/>
      <c r="AE272" s="64"/>
      <c r="AF272" s="64"/>
      <c r="AG272" s="64"/>
      <c r="AH272" s="64"/>
      <c r="AI272" s="64"/>
      <c r="AJ272" s="64"/>
      <c r="AK272" s="68"/>
      <c r="AL272" s="65"/>
      <c r="AM272" s="65"/>
      <c r="AN272" s="65"/>
    </row>
    <row r="273" spans="1:40" s="66" customFormat="1" hidden="1" x14ac:dyDescent="0.25">
      <c r="A273" s="64"/>
      <c r="B273" s="64"/>
      <c r="C273" s="64"/>
      <c r="D273" s="64"/>
      <c r="E273" s="64"/>
      <c r="F273" s="64"/>
      <c r="G273" s="64"/>
      <c r="H273" s="64"/>
      <c r="I273" s="64" t="s">
        <v>211</v>
      </c>
      <c r="J273" s="64"/>
      <c r="K273" s="64"/>
      <c r="L273" s="64"/>
      <c r="M273" s="64"/>
      <c r="N273" s="64"/>
      <c r="O273" s="64"/>
      <c r="P273" s="64"/>
      <c r="Q273" s="64"/>
      <c r="R273" s="65"/>
      <c r="S273" s="64"/>
      <c r="T273" s="64"/>
      <c r="U273" s="64"/>
      <c r="V273" s="64"/>
      <c r="W273" s="64"/>
      <c r="X273" s="64"/>
      <c r="Y273" s="64"/>
      <c r="Z273" s="64"/>
      <c r="AA273" s="64"/>
      <c r="AB273" s="65"/>
      <c r="AC273" s="82"/>
      <c r="AD273" s="64"/>
      <c r="AE273" s="64"/>
      <c r="AF273" s="64"/>
      <c r="AG273" s="64"/>
      <c r="AH273" s="64"/>
      <c r="AI273" s="64"/>
      <c r="AJ273" s="64"/>
      <c r="AK273" s="68"/>
      <c r="AL273" s="65"/>
      <c r="AM273" s="65"/>
      <c r="AN273" s="65"/>
    </row>
    <row r="274" spans="1:40" s="66" customFormat="1" hidden="1" x14ac:dyDescent="0.25">
      <c r="A274" s="64"/>
      <c r="B274" s="64"/>
      <c r="C274" s="64"/>
      <c r="D274" s="64"/>
      <c r="E274" s="64"/>
      <c r="F274" s="64"/>
      <c r="G274" s="64"/>
      <c r="H274" s="64"/>
      <c r="I274" s="64" t="s">
        <v>211</v>
      </c>
      <c r="J274" s="64"/>
      <c r="K274" s="64"/>
      <c r="L274" s="64"/>
      <c r="M274" s="64"/>
      <c r="N274" s="64"/>
      <c r="O274" s="64"/>
      <c r="P274" s="64"/>
      <c r="Q274" s="64"/>
      <c r="R274" s="65"/>
      <c r="S274" s="64"/>
      <c r="T274" s="64"/>
      <c r="U274" s="64"/>
      <c r="V274" s="64"/>
      <c r="W274" s="64"/>
      <c r="X274" s="64"/>
      <c r="Y274" s="64"/>
      <c r="Z274" s="64"/>
      <c r="AA274" s="64"/>
      <c r="AB274" s="65"/>
      <c r="AC274" s="82"/>
      <c r="AD274" s="64"/>
      <c r="AE274" s="64"/>
      <c r="AF274" s="64"/>
      <c r="AG274" s="64"/>
      <c r="AH274" s="64"/>
      <c r="AI274" s="64"/>
      <c r="AJ274" s="64"/>
      <c r="AK274" s="68"/>
      <c r="AL274" s="65"/>
      <c r="AM274" s="65"/>
      <c r="AN274" s="65"/>
    </row>
    <row r="275" spans="1:40" s="66" customFormat="1" hidden="1" x14ac:dyDescent="0.25">
      <c r="A275" s="64"/>
      <c r="B275" s="64"/>
      <c r="C275" s="64"/>
      <c r="D275" s="64"/>
      <c r="E275" s="64"/>
      <c r="F275" s="64"/>
      <c r="G275" s="64"/>
      <c r="H275" s="64"/>
      <c r="I275" s="64" t="s">
        <v>211</v>
      </c>
      <c r="J275" s="64"/>
      <c r="K275" s="64"/>
      <c r="L275" s="64"/>
      <c r="M275" s="64"/>
      <c r="N275" s="64"/>
      <c r="O275" s="64"/>
      <c r="P275" s="64"/>
      <c r="Q275" s="64"/>
      <c r="R275" s="65"/>
      <c r="S275" s="64"/>
      <c r="T275" s="64"/>
      <c r="U275" s="64"/>
      <c r="V275" s="64"/>
      <c r="W275" s="64"/>
      <c r="X275" s="64"/>
      <c r="Y275" s="64"/>
      <c r="Z275" s="64"/>
      <c r="AA275" s="64"/>
      <c r="AB275" s="65"/>
      <c r="AC275" s="82"/>
      <c r="AD275" s="64"/>
      <c r="AE275" s="64"/>
      <c r="AF275" s="64"/>
      <c r="AG275" s="64"/>
      <c r="AH275" s="64"/>
      <c r="AI275" s="64"/>
      <c r="AJ275" s="64"/>
      <c r="AK275" s="68"/>
      <c r="AL275" s="65"/>
      <c r="AM275" s="65"/>
      <c r="AN275" s="65"/>
    </row>
    <row r="276" spans="1:40" s="66" customFormat="1" hidden="1" x14ac:dyDescent="0.25">
      <c r="A276" s="64"/>
      <c r="B276" s="64"/>
      <c r="C276" s="64"/>
      <c r="D276" s="64"/>
      <c r="E276" s="64"/>
      <c r="F276" s="64"/>
      <c r="G276" s="64"/>
      <c r="H276" s="64"/>
      <c r="I276" s="64" t="s">
        <v>211</v>
      </c>
      <c r="J276" s="64"/>
      <c r="K276" s="64"/>
      <c r="L276" s="64"/>
      <c r="M276" s="64"/>
      <c r="N276" s="64"/>
      <c r="O276" s="64"/>
      <c r="P276" s="64"/>
      <c r="Q276" s="64"/>
      <c r="R276" s="65"/>
      <c r="S276" s="64"/>
      <c r="T276" s="64"/>
      <c r="U276" s="64"/>
      <c r="V276" s="64"/>
      <c r="W276" s="64"/>
      <c r="X276" s="64"/>
      <c r="Y276" s="64"/>
      <c r="Z276" s="64"/>
      <c r="AA276" s="64"/>
      <c r="AB276" s="65"/>
      <c r="AC276" s="82"/>
      <c r="AD276" s="64"/>
      <c r="AE276" s="64"/>
      <c r="AF276" s="64"/>
      <c r="AG276" s="64"/>
      <c r="AH276" s="64"/>
      <c r="AI276" s="64"/>
      <c r="AJ276" s="64"/>
      <c r="AK276" s="68"/>
      <c r="AL276" s="65"/>
      <c r="AM276" s="65"/>
      <c r="AN276" s="65"/>
    </row>
    <row r="277" spans="1:40" s="66" customFormat="1" hidden="1" x14ac:dyDescent="0.25">
      <c r="A277" s="64"/>
      <c r="B277" s="64"/>
      <c r="C277" s="64"/>
      <c r="D277" s="64"/>
      <c r="E277" s="64"/>
      <c r="F277" s="64"/>
      <c r="G277" s="64"/>
      <c r="H277" s="64"/>
      <c r="I277" s="64" t="s">
        <v>211</v>
      </c>
      <c r="J277" s="64"/>
      <c r="K277" s="64"/>
      <c r="L277" s="64"/>
      <c r="M277" s="64"/>
      <c r="N277" s="64"/>
      <c r="O277" s="64"/>
      <c r="P277" s="64"/>
      <c r="Q277" s="64"/>
      <c r="R277" s="65"/>
      <c r="S277" s="64"/>
      <c r="T277" s="64"/>
      <c r="U277" s="64"/>
      <c r="V277" s="64"/>
      <c r="W277" s="64"/>
      <c r="X277" s="64"/>
      <c r="Y277" s="64"/>
      <c r="Z277" s="64"/>
      <c r="AA277" s="64"/>
      <c r="AB277" s="65"/>
      <c r="AC277" s="82"/>
      <c r="AD277" s="64"/>
      <c r="AE277" s="64"/>
      <c r="AF277" s="64"/>
      <c r="AG277" s="64"/>
      <c r="AH277" s="64"/>
      <c r="AI277" s="64"/>
      <c r="AJ277" s="64"/>
      <c r="AK277" s="68"/>
      <c r="AL277" s="65"/>
      <c r="AM277" s="65"/>
      <c r="AN277" s="65"/>
    </row>
    <row r="278" spans="1:40" s="66" customFormat="1" hidden="1" x14ac:dyDescent="0.25">
      <c r="A278" s="64"/>
      <c r="B278" s="64"/>
      <c r="C278" s="64"/>
      <c r="D278" s="64"/>
      <c r="E278" s="64"/>
      <c r="F278" s="64"/>
      <c r="G278" s="64"/>
      <c r="H278" s="64"/>
      <c r="I278" s="64" t="s">
        <v>211</v>
      </c>
      <c r="J278" s="64"/>
      <c r="K278" s="64"/>
      <c r="L278" s="64"/>
      <c r="M278" s="64"/>
      <c r="N278" s="64"/>
      <c r="O278" s="64"/>
      <c r="P278" s="64"/>
      <c r="Q278" s="64"/>
      <c r="R278" s="65"/>
      <c r="S278" s="64"/>
      <c r="T278" s="64"/>
      <c r="U278" s="64"/>
      <c r="V278" s="64"/>
      <c r="W278" s="64"/>
      <c r="X278" s="64"/>
      <c r="Y278" s="64"/>
      <c r="Z278" s="64"/>
      <c r="AA278" s="64"/>
      <c r="AB278" s="65"/>
      <c r="AC278" s="82"/>
      <c r="AD278" s="64"/>
      <c r="AE278" s="64"/>
      <c r="AF278" s="64"/>
      <c r="AG278" s="64"/>
      <c r="AH278" s="64"/>
      <c r="AI278" s="64"/>
      <c r="AJ278" s="64"/>
      <c r="AK278" s="68"/>
      <c r="AL278" s="65"/>
      <c r="AM278" s="65"/>
      <c r="AN278" s="65"/>
    </row>
    <row r="279" spans="1:40" s="66" customFormat="1" hidden="1" x14ac:dyDescent="0.25">
      <c r="A279" s="64"/>
      <c r="B279" s="64"/>
      <c r="C279" s="64"/>
      <c r="D279" s="64"/>
      <c r="E279" s="64"/>
      <c r="F279" s="64"/>
      <c r="G279" s="64"/>
      <c r="H279" s="64"/>
      <c r="I279" s="64" t="s">
        <v>211</v>
      </c>
      <c r="J279" s="64"/>
      <c r="K279" s="64"/>
      <c r="L279" s="64"/>
      <c r="M279" s="64"/>
      <c r="N279" s="64"/>
      <c r="O279" s="64"/>
      <c r="P279" s="64"/>
      <c r="Q279" s="64"/>
      <c r="R279" s="65"/>
      <c r="S279" s="64"/>
      <c r="T279" s="64"/>
      <c r="U279" s="64"/>
      <c r="V279" s="64"/>
      <c r="W279" s="64"/>
      <c r="X279" s="64"/>
      <c r="Y279" s="64"/>
      <c r="Z279" s="64"/>
      <c r="AA279" s="64"/>
      <c r="AB279" s="65"/>
      <c r="AC279" s="82"/>
      <c r="AD279" s="64"/>
      <c r="AE279" s="64"/>
      <c r="AF279" s="64"/>
      <c r="AG279" s="64"/>
      <c r="AH279" s="64"/>
      <c r="AI279" s="64"/>
      <c r="AJ279" s="64"/>
      <c r="AK279" s="68"/>
      <c r="AL279" s="65"/>
      <c r="AM279" s="65"/>
      <c r="AN279" s="65"/>
    </row>
    <row r="280" spans="1:40" s="66" customFormat="1" hidden="1" x14ac:dyDescent="0.25">
      <c r="A280" s="64"/>
      <c r="B280" s="64"/>
      <c r="C280" s="64"/>
      <c r="D280" s="64"/>
      <c r="E280" s="64"/>
      <c r="F280" s="64"/>
      <c r="G280" s="64"/>
      <c r="H280" s="64"/>
      <c r="I280" s="64" t="s">
        <v>211</v>
      </c>
      <c r="J280" s="64"/>
      <c r="K280" s="64"/>
      <c r="L280" s="64"/>
      <c r="M280" s="64"/>
      <c r="N280" s="64"/>
      <c r="O280" s="64"/>
      <c r="P280" s="64"/>
      <c r="Q280" s="64"/>
      <c r="R280" s="65"/>
      <c r="S280" s="64"/>
      <c r="T280" s="64"/>
      <c r="U280" s="64"/>
      <c r="V280" s="64"/>
      <c r="W280" s="64"/>
      <c r="X280" s="64"/>
      <c r="Y280" s="64"/>
      <c r="Z280" s="64"/>
      <c r="AA280" s="64"/>
      <c r="AB280" s="65"/>
      <c r="AC280" s="82"/>
      <c r="AD280" s="64"/>
      <c r="AE280" s="64"/>
      <c r="AF280" s="64"/>
      <c r="AG280" s="64"/>
      <c r="AH280" s="64"/>
      <c r="AI280" s="64"/>
      <c r="AJ280" s="64"/>
      <c r="AK280" s="68"/>
      <c r="AL280" s="65"/>
      <c r="AM280" s="65"/>
      <c r="AN280" s="65"/>
    </row>
    <row r="281" spans="1:40" s="66" customFormat="1" hidden="1" x14ac:dyDescent="0.25">
      <c r="A281" s="64"/>
      <c r="B281" s="64"/>
      <c r="C281" s="64"/>
      <c r="D281" s="64"/>
      <c r="E281" s="64"/>
      <c r="F281" s="64"/>
      <c r="G281" s="64"/>
      <c r="H281" s="64"/>
      <c r="I281" s="64" t="s">
        <v>211</v>
      </c>
      <c r="J281" s="64"/>
      <c r="K281" s="64"/>
      <c r="L281" s="64"/>
      <c r="M281" s="64"/>
      <c r="N281" s="64"/>
      <c r="O281" s="64"/>
      <c r="P281" s="64"/>
      <c r="Q281" s="64"/>
      <c r="R281" s="65"/>
      <c r="S281" s="64"/>
      <c r="T281" s="64"/>
      <c r="U281" s="64"/>
      <c r="V281" s="64"/>
      <c r="W281" s="64"/>
      <c r="X281" s="64"/>
      <c r="Y281" s="64"/>
      <c r="Z281" s="64"/>
      <c r="AA281" s="64"/>
      <c r="AB281" s="65"/>
      <c r="AC281" s="82"/>
      <c r="AD281" s="64"/>
      <c r="AE281" s="64"/>
      <c r="AF281" s="64"/>
      <c r="AG281" s="64"/>
      <c r="AH281" s="64"/>
      <c r="AI281" s="64"/>
      <c r="AJ281" s="64"/>
      <c r="AK281" s="68"/>
      <c r="AL281" s="65"/>
      <c r="AM281" s="65"/>
      <c r="AN281" s="65"/>
    </row>
    <row r="282" spans="1:40" s="66" customFormat="1" hidden="1" x14ac:dyDescent="0.25">
      <c r="A282" s="64"/>
      <c r="B282" s="64"/>
      <c r="C282" s="64"/>
      <c r="D282" s="64"/>
      <c r="E282" s="64"/>
      <c r="F282" s="64"/>
      <c r="G282" s="64"/>
      <c r="H282" s="64"/>
      <c r="I282" s="64" t="s">
        <v>211</v>
      </c>
      <c r="J282" s="64"/>
      <c r="K282" s="64"/>
      <c r="L282" s="64"/>
      <c r="M282" s="64"/>
      <c r="N282" s="64"/>
      <c r="O282" s="64"/>
      <c r="P282" s="64"/>
      <c r="Q282" s="64"/>
      <c r="R282" s="65"/>
      <c r="S282" s="64"/>
      <c r="T282" s="64"/>
      <c r="U282" s="64"/>
      <c r="V282" s="64"/>
      <c r="W282" s="64"/>
      <c r="X282" s="64"/>
      <c r="Y282" s="64"/>
      <c r="Z282" s="64"/>
      <c r="AA282" s="64"/>
      <c r="AB282" s="65"/>
      <c r="AC282" s="82"/>
      <c r="AD282" s="64"/>
      <c r="AE282" s="64"/>
      <c r="AF282" s="64"/>
      <c r="AG282" s="64"/>
      <c r="AH282" s="64"/>
      <c r="AI282" s="64"/>
      <c r="AJ282" s="64"/>
      <c r="AK282" s="68"/>
      <c r="AL282" s="65"/>
      <c r="AM282" s="65"/>
      <c r="AN282" s="65"/>
    </row>
    <row r="283" spans="1:40" s="66" customFormat="1" hidden="1" x14ac:dyDescent="0.25">
      <c r="A283" s="64"/>
      <c r="B283" s="64"/>
      <c r="C283" s="64"/>
      <c r="D283" s="64"/>
      <c r="E283" s="64"/>
      <c r="F283" s="64"/>
      <c r="G283" s="64"/>
      <c r="H283" s="64"/>
      <c r="I283" s="64" t="s">
        <v>211</v>
      </c>
      <c r="J283" s="64"/>
      <c r="K283" s="64"/>
      <c r="L283" s="64"/>
      <c r="M283" s="64"/>
      <c r="N283" s="64"/>
      <c r="O283" s="64"/>
      <c r="P283" s="64"/>
      <c r="Q283" s="64"/>
      <c r="R283" s="65"/>
      <c r="S283" s="64"/>
      <c r="T283" s="64"/>
      <c r="U283" s="64"/>
      <c r="V283" s="64"/>
      <c r="W283" s="64"/>
      <c r="X283" s="64"/>
      <c r="Y283" s="64"/>
      <c r="Z283" s="64"/>
      <c r="AA283" s="64"/>
      <c r="AB283" s="65"/>
      <c r="AC283" s="82"/>
      <c r="AD283" s="64"/>
      <c r="AE283" s="64"/>
      <c r="AF283" s="64"/>
      <c r="AG283" s="64"/>
      <c r="AH283" s="64"/>
      <c r="AI283" s="64"/>
      <c r="AJ283" s="64"/>
      <c r="AK283" s="68"/>
      <c r="AL283" s="65"/>
      <c r="AM283" s="65"/>
      <c r="AN283" s="65"/>
    </row>
    <row r="284" spans="1:40" s="66" customFormat="1" hidden="1" x14ac:dyDescent="0.25">
      <c r="A284" s="64"/>
      <c r="B284" s="64"/>
      <c r="C284" s="64"/>
      <c r="D284" s="64"/>
      <c r="E284" s="64"/>
      <c r="F284" s="64"/>
      <c r="G284" s="64"/>
      <c r="H284" s="64"/>
      <c r="I284" s="64" t="s">
        <v>211</v>
      </c>
      <c r="J284" s="64"/>
      <c r="K284" s="64"/>
      <c r="L284" s="64"/>
      <c r="M284" s="64"/>
      <c r="N284" s="64"/>
      <c r="O284" s="64"/>
      <c r="P284" s="64"/>
      <c r="Q284" s="64"/>
      <c r="R284" s="65"/>
      <c r="S284" s="64"/>
      <c r="T284" s="64"/>
      <c r="U284" s="64"/>
      <c r="V284" s="64"/>
      <c r="W284" s="64"/>
      <c r="X284" s="64"/>
      <c r="Y284" s="64"/>
      <c r="Z284" s="64"/>
      <c r="AA284" s="64"/>
      <c r="AB284" s="65"/>
      <c r="AC284" s="82"/>
      <c r="AD284" s="64"/>
      <c r="AE284" s="64"/>
      <c r="AF284" s="64"/>
      <c r="AG284" s="64"/>
      <c r="AH284" s="64"/>
      <c r="AI284" s="64"/>
      <c r="AJ284" s="64"/>
      <c r="AK284" s="68"/>
      <c r="AL284" s="65"/>
      <c r="AM284" s="65"/>
      <c r="AN284" s="65"/>
    </row>
    <row r="285" spans="1:40" s="66" customFormat="1" hidden="1" x14ac:dyDescent="0.25">
      <c r="A285" s="64"/>
      <c r="B285" s="64"/>
      <c r="C285" s="64"/>
      <c r="D285" s="64"/>
      <c r="E285" s="64"/>
      <c r="F285" s="64"/>
      <c r="G285" s="64"/>
      <c r="H285" s="64"/>
      <c r="I285" s="64" t="s">
        <v>211</v>
      </c>
      <c r="J285" s="64"/>
      <c r="K285" s="64"/>
      <c r="L285" s="64"/>
      <c r="M285" s="64"/>
      <c r="N285" s="64"/>
      <c r="O285" s="64"/>
      <c r="P285" s="64"/>
      <c r="Q285" s="64"/>
      <c r="R285" s="65"/>
      <c r="S285" s="64"/>
      <c r="T285" s="64"/>
      <c r="U285" s="64"/>
      <c r="V285" s="64"/>
      <c r="W285" s="64"/>
      <c r="X285" s="64"/>
      <c r="Y285" s="64"/>
      <c r="Z285" s="64"/>
      <c r="AA285" s="64"/>
      <c r="AB285" s="65"/>
      <c r="AC285" s="82"/>
      <c r="AD285" s="64"/>
      <c r="AE285" s="64"/>
      <c r="AF285" s="64"/>
      <c r="AG285" s="64"/>
      <c r="AH285" s="64"/>
      <c r="AI285" s="64"/>
      <c r="AJ285" s="64"/>
      <c r="AK285" s="68"/>
      <c r="AL285" s="65"/>
      <c r="AM285" s="65"/>
      <c r="AN285" s="65"/>
    </row>
    <row r="286" spans="1:40" s="66" customFormat="1" hidden="1" x14ac:dyDescent="0.25">
      <c r="A286" s="64"/>
      <c r="B286" s="64"/>
      <c r="C286" s="64"/>
      <c r="D286" s="64"/>
      <c r="E286" s="64"/>
      <c r="F286" s="64"/>
      <c r="G286" s="64"/>
      <c r="H286" s="64"/>
      <c r="I286" s="64" t="s">
        <v>211</v>
      </c>
      <c r="J286" s="64"/>
      <c r="K286" s="64"/>
      <c r="L286" s="64"/>
      <c r="M286" s="64"/>
      <c r="N286" s="64"/>
      <c r="O286" s="64"/>
      <c r="P286" s="64"/>
      <c r="Q286" s="64"/>
      <c r="R286" s="65"/>
      <c r="S286" s="64"/>
      <c r="T286" s="64"/>
      <c r="U286" s="64"/>
      <c r="V286" s="64"/>
      <c r="W286" s="64"/>
      <c r="X286" s="64"/>
      <c r="Y286" s="64"/>
      <c r="Z286" s="64"/>
      <c r="AA286" s="64"/>
      <c r="AB286" s="65"/>
      <c r="AC286" s="82"/>
      <c r="AD286" s="64"/>
      <c r="AE286" s="64"/>
      <c r="AF286" s="64"/>
      <c r="AG286" s="64"/>
      <c r="AH286" s="64"/>
      <c r="AI286" s="64"/>
      <c r="AJ286" s="64"/>
      <c r="AK286" s="68"/>
      <c r="AL286" s="65"/>
      <c r="AM286" s="65"/>
      <c r="AN286" s="65"/>
    </row>
    <row r="287" spans="1:40" s="66" customFormat="1" hidden="1" x14ac:dyDescent="0.25">
      <c r="A287" s="64"/>
      <c r="B287" s="64"/>
      <c r="C287" s="64"/>
      <c r="D287" s="64"/>
      <c r="E287" s="64"/>
      <c r="F287" s="64"/>
      <c r="G287" s="64"/>
      <c r="H287" s="64"/>
      <c r="I287" s="64" t="s">
        <v>211</v>
      </c>
      <c r="J287" s="64"/>
      <c r="K287" s="64"/>
      <c r="L287" s="64"/>
      <c r="M287" s="64"/>
      <c r="N287" s="64"/>
      <c r="O287" s="64"/>
      <c r="P287" s="64"/>
      <c r="Q287" s="64"/>
      <c r="R287" s="65"/>
      <c r="S287" s="64"/>
      <c r="T287" s="64"/>
      <c r="U287" s="64"/>
      <c r="V287" s="64"/>
      <c r="W287" s="64"/>
      <c r="X287" s="64"/>
      <c r="Y287" s="64"/>
      <c r="Z287" s="64"/>
      <c r="AA287" s="64"/>
      <c r="AB287" s="65"/>
      <c r="AC287" s="82"/>
      <c r="AD287" s="64"/>
      <c r="AE287" s="64"/>
      <c r="AF287" s="64"/>
      <c r="AG287" s="64"/>
      <c r="AH287" s="64"/>
      <c r="AI287" s="64"/>
      <c r="AJ287" s="64"/>
      <c r="AK287" s="68"/>
      <c r="AL287" s="65"/>
      <c r="AM287" s="65"/>
      <c r="AN287" s="65"/>
    </row>
    <row r="288" spans="1:40" s="66" customFormat="1" hidden="1" x14ac:dyDescent="0.25">
      <c r="A288" s="64"/>
      <c r="B288" s="64"/>
      <c r="C288" s="64"/>
      <c r="D288" s="64"/>
      <c r="E288" s="64"/>
      <c r="F288" s="64"/>
      <c r="G288" s="64"/>
      <c r="H288" s="64"/>
      <c r="I288" s="64" t="s">
        <v>211</v>
      </c>
      <c r="J288" s="64"/>
      <c r="K288" s="64"/>
      <c r="L288" s="64"/>
      <c r="M288" s="64"/>
      <c r="N288" s="64"/>
      <c r="O288" s="64"/>
      <c r="P288" s="64"/>
      <c r="Q288" s="64"/>
      <c r="R288" s="65"/>
      <c r="S288" s="64"/>
      <c r="T288" s="64"/>
      <c r="U288" s="64"/>
      <c r="V288" s="64"/>
      <c r="W288" s="64"/>
      <c r="X288" s="64"/>
      <c r="Y288" s="64"/>
      <c r="Z288" s="64"/>
      <c r="AA288" s="64"/>
      <c r="AB288" s="65"/>
      <c r="AC288" s="82"/>
      <c r="AD288" s="64"/>
      <c r="AE288" s="64"/>
      <c r="AF288" s="64"/>
      <c r="AG288" s="64"/>
      <c r="AH288" s="64"/>
      <c r="AI288" s="64"/>
      <c r="AJ288" s="64"/>
      <c r="AK288" s="68"/>
      <c r="AL288" s="65"/>
      <c r="AM288" s="65"/>
      <c r="AN288" s="65"/>
    </row>
    <row r="289" spans="1:40" s="66" customFormat="1" hidden="1" x14ac:dyDescent="0.25">
      <c r="A289" s="64"/>
      <c r="B289" s="64"/>
      <c r="C289" s="64"/>
      <c r="D289" s="64"/>
      <c r="E289" s="64"/>
      <c r="F289" s="64"/>
      <c r="G289" s="64"/>
      <c r="H289" s="64"/>
      <c r="I289" s="64" t="s">
        <v>211</v>
      </c>
      <c r="J289" s="64"/>
      <c r="K289" s="64"/>
      <c r="L289" s="64"/>
      <c r="M289" s="64"/>
      <c r="N289" s="64"/>
      <c r="O289" s="64"/>
      <c r="P289" s="64"/>
      <c r="Q289" s="64"/>
      <c r="R289" s="65"/>
      <c r="S289" s="64"/>
      <c r="T289" s="64"/>
      <c r="U289" s="64"/>
      <c r="V289" s="64"/>
      <c r="W289" s="64"/>
      <c r="X289" s="64"/>
      <c r="Y289" s="64"/>
      <c r="Z289" s="64"/>
      <c r="AA289" s="64"/>
      <c r="AB289" s="65"/>
      <c r="AC289" s="82"/>
      <c r="AD289" s="64"/>
      <c r="AE289" s="64"/>
      <c r="AF289" s="64"/>
      <c r="AG289" s="64"/>
      <c r="AH289" s="64"/>
      <c r="AI289" s="64"/>
      <c r="AJ289" s="64"/>
      <c r="AK289" s="68"/>
      <c r="AL289" s="65"/>
      <c r="AM289" s="65"/>
      <c r="AN289" s="65"/>
    </row>
    <row r="290" spans="1:40" s="66" customFormat="1" hidden="1" x14ac:dyDescent="0.25">
      <c r="A290" s="64"/>
      <c r="B290" s="64"/>
      <c r="C290" s="64"/>
      <c r="D290" s="64"/>
      <c r="E290" s="64"/>
      <c r="F290" s="64"/>
      <c r="G290" s="64"/>
      <c r="H290" s="64"/>
      <c r="I290" s="64" t="s">
        <v>211</v>
      </c>
      <c r="J290" s="64"/>
      <c r="K290" s="64"/>
      <c r="L290" s="64"/>
      <c r="M290" s="64"/>
      <c r="N290" s="64"/>
      <c r="O290" s="64"/>
      <c r="P290" s="64"/>
      <c r="Q290" s="64"/>
      <c r="R290" s="65"/>
      <c r="S290" s="64"/>
      <c r="T290" s="64"/>
      <c r="U290" s="64"/>
      <c r="V290" s="64"/>
      <c r="W290" s="64"/>
      <c r="X290" s="64"/>
      <c r="Y290" s="64"/>
      <c r="Z290" s="64"/>
      <c r="AA290" s="64"/>
      <c r="AB290" s="65"/>
      <c r="AC290" s="82"/>
      <c r="AD290" s="64"/>
      <c r="AE290" s="64"/>
      <c r="AF290" s="64"/>
      <c r="AG290" s="64"/>
      <c r="AH290" s="64"/>
      <c r="AI290" s="64"/>
      <c r="AJ290" s="64"/>
      <c r="AK290" s="68"/>
      <c r="AL290" s="65"/>
      <c r="AM290" s="65"/>
      <c r="AN290" s="65"/>
    </row>
    <row r="291" spans="1:40" s="66" customFormat="1" hidden="1" x14ac:dyDescent="0.25">
      <c r="A291" s="64"/>
      <c r="B291" s="64"/>
      <c r="C291" s="64"/>
      <c r="D291" s="64"/>
      <c r="E291" s="64"/>
      <c r="F291" s="64"/>
      <c r="G291" s="64"/>
      <c r="H291" s="64"/>
      <c r="I291" s="64" t="s">
        <v>211</v>
      </c>
      <c r="J291" s="64"/>
      <c r="K291" s="64"/>
      <c r="L291" s="64"/>
      <c r="M291" s="64"/>
      <c r="N291" s="64"/>
      <c r="O291" s="64"/>
      <c r="P291" s="64"/>
      <c r="Q291" s="64"/>
      <c r="R291" s="65"/>
      <c r="S291" s="64"/>
      <c r="T291" s="64"/>
      <c r="U291" s="64"/>
      <c r="V291" s="64"/>
      <c r="W291" s="64"/>
      <c r="X291" s="64"/>
      <c r="Y291" s="64"/>
      <c r="Z291" s="64"/>
      <c r="AA291" s="64"/>
      <c r="AB291" s="65"/>
      <c r="AC291" s="82"/>
      <c r="AD291" s="64"/>
      <c r="AE291" s="64"/>
      <c r="AF291" s="64"/>
      <c r="AG291" s="64"/>
      <c r="AH291" s="64"/>
      <c r="AI291" s="64"/>
      <c r="AJ291" s="64"/>
      <c r="AK291" s="68"/>
      <c r="AL291" s="65"/>
      <c r="AM291" s="65"/>
      <c r="AN291" s="65"/>
    </row>
    <row r="292" spans="1:40" s="66" customFormat="1" hidden="1" x14ac:dyDescent="0.25">
      <c r="A292" s="64"/>
      <c r="B292" s="64"/>
      <c r="C292" s="64"/>
      <c r="D292" s="64"/>
      <c r="E292" s="64"/>
      <c r="F292" s="64"/>
      <c r="G292" s="64"/>
      <c r="H292" s="64"/>
      <c r="I292" s="64" t="s">
        <v>211</v>
      </c>
      <c r="J292" s="64"/>
      <c r="K292" s="64"/>
      <c r="L292" s="64"/>
      <c r="M292" s="64"/>
      <c r="N292" s="64"/>
      <c r="O292" s="64"/>
      <c r="P292" s="64"/>
      <c r="Q292" s="64"/>
      <c r="R292" s="65"/>
      <c r="S292" s="64"/>
      <c r="T292" s="64"/>
      <c r="U292" s="64"/>
      <c r="V292" s="64"/>
      <c r="W292" s="64"/>
      <c r="X292" s="64"/>
      <c r="Y292" s="64"/>
      <c r="Z292" s="64"/>
      <c r="AA292" s="64"/>
      <c r="AB292" s="65"/>
      <c r="AC292" s="82"/>
      <c r="AD292" s="64"/>
      <c r="AE292" s="64"/>
      <c r="AF292" s="64"/>
      <c r="AG292" s="64"/>
      <c r="AH292" s="64"/>
      <c r="AI292" s="64"/>
      <c r="AJ292" s="64"/>
      <c r="AK292" s="68"/>
      <c r="AL292" s="65"/>
      <c r="AM292" s="65"/>
      <c r="AN292" s="65"/>
    </row>
    <row r="293" spans="1:40" s="66" customFormat="1" hidden="1" x14ac:dyDescent="0.25">
      <c r="A293" s="64"/>
      <c r="B293" s="64"/>
      <c r="C293" s="64"/>
      <c r="D293" s="64"/>
      <c r="E293" s="64"/>
      <c r="F293" s="64"/>
      <c r="G293" s="64"/>
      <c r="H293" s="64"/>
      <c r="I293" s="64" t="s">
        <v>211</v>
      </c>
      <c r="J293" s="64"/>
      <c r="K293" s="64"/>
      <c r="L293" s="64"/>
      <c r="M293" s="64"/>
      <c r="N293" s="64"/>
      <c r="O293" s="64"/>
      <c r="P293" s="64"/>
      <c r="Q293" s="64"/>
      <c r="R293" s="65"/>
      <c r="S293" s="64"/>
      <c r="T293" s="64"/>
      <c r="U293" s="64"/>
      <c r="V293" s="64"/>
      <c r="W293" s="64"/>
      <c r="X293" s="64"/>
      <c r="Y293" s="64"/>
      <c r="Z293" s="64"/>
      <c r="AA293" s="64"/>
      <c r="AB293" s="65"/>
      <c r="AC293" s="82"/>
      <c r="AD293" s="64"/>
      <c r="AE293" s="64"/>
      <c r="AF293" s="64"/>
      <c r="AG293" s="64"/>
      <c r="AH293" s="64"/>
      <c r="AI293" s="64"/>
      <c r="AJ293" s="64"/>
      <c r="AK293" s="68"/>
      <c r="AL293" s="65"/>
      <c r="AM293" s="65"/>
      <c r="AN293" s="65"/>
    </row>
    <row r="294" spans="1:40" s="66" customFormat="1" hidden="1" x14ac:dyDescent="0.25">
      <c r="A294" s="64"/>
      <c r="B294" s="64"/>
      <c r="C294" s="64"/>
      <c r="D294" s="64"/>
      <c r="E294" s="64"/>
      <c r="F294" s="64"/>
      <c r="G294" s="64"/>
      <c r="H294" s="64"/>
      <c r="I294" s="64" t="s">
        <v>211</v>
      </c>
      <c r="J294" s="64"/>
      <c r="K294" s="64"/>
      <c r="L294" s="64"/>
      <c r="M294" s="64"/>
      <c r="N294" s="64"/>
      <c r="O294" s="64"/>
      <c r="P294" s="64"/>
      <c r="Q294" s="64"/>
      <c r="R294" s="65"/>
      <c r="S294" s="64"/>
      <c r="T294" s="64"/>
      <c r="U294" s="64"/>
      <c r="V294" s="64"/>
      <c r="W294" s="64"/>
      <c r="X294" s="64"/>
      <c r="Y294" s="64"/>
      <c r="Z294" s="64"/>
      <c r="AA294" s="64"/>
      <c r="AB294" s="65"/>
      <c r="AC294" s="82"/>
      <c r="AD294" s="64"/>
      <c r="AE294" s="64"/>
      <c r="AF294" s="64"/>
      <c r="AG294" s="64"/>
      <c r="AH294" s="64"/>
      <c r="AI294" s="64"/>
      <c r="AJ294" s="64"/>
      <c r="AK294" s="68"/>
      <c r="AL294" s="65"/>
      <c r="AM294" s="65"/>
      <c r="AN294" s="65"/>
    </row>
    <row r="295" spans="1:40" s="66" customFormat="1" hidden="1" x14ac:dyDescent="0.25">
      <c r="A295" s="64"/>
      <c r="B295" s="64"/>
      <c r="C295" s="64"/>
      <c r="D295" s="64"/>
      <c r="E295" s="64"/>
      <c r="F295" s="64"/>
      <c r="G295" s="64"/>
      <c r="H295" s="64"/>
      <c r="I295" s="64" t="s">
        <v>211</v>
      </c>
      <c r="J295" s="64"/>
      <c r="K295" s="64"/>
      <c r="L295" s="64"/>
      <c r="M295" s="64"/>
      <c r="N295" s="64"/>
      <c r="O295" s="64"/>
      <c r="P295" s="64"/>
      <c r="Q295" s="64"/>
      <c r="R295" s="65"/>
      <c r="S295" s="64"/>
      <c r="T295" s="64"/>
      <c r="U295" s="64"/>
      <c r="V295" s="64"/>
      <c r="W295" s="64"/>
      <c r="X295" s="64"/>
      <c r="Y295" s="64"/>
      <c r="Z295" s="64"/>
      <c r="AA295" s="64"/>
      <c r="AB295" s="65"/>
      <c r="AC295" s="82"/>
      <c r="AD295" s="64"/>
      <c r="AE295" s="64"/>
      <c r="AF295" s="64"/>
      <c r="AG295" s="64"/>
      <c r="AH295" s="64"/>
      <c r="AI295" s="64"/>
      <c r="AJ295" s="64"/>
      <c r="AK295" s="68"/>
      <c r="AL295" s="65"/>
      <c r="AM295" s="65"/>
      <c r="AN295" s="65"/>
    </row>
    <row r="296" spans="1:40" s="66" customFormat="1" hidden="1" x14ac:dyDescent="0.25">
      <c r="A296" s="64"/>
      <c r="B296" s="64"/>
      <c r="C296" s="64"/>
      <c r="D296" s="64"/>
      <c r="E296" s="64"/>
      <c r="F296" s="64"/>
      <c r="G296" s="64"/>
      <c r="H296" s="64"/>
      <c r="I296" s="64" t="s">
        <v>211</v>
      </c>
      <c r="J296" s="64"/>
      <c r="K296" s="64"/>
      <c r="L296" s="64"/>
      <c r="M296" s="64"/>
      <c r="N296" s="64"/>
      <c r="O296" s="64"/>
      <c r="P296" s="64"/>
      <c r="Q296" s="64"/>
      <c r="R296" s="65"/>
      <c r="S296" s="64"/>
      <c r="T296" s="64"/>
      <c r="U296" s="64"/>
      <c r="V296" s="64"/>
      <c r="W296" s="64"/>
      <c r="X296" s="64"/>
      <c r="Y296" s="64"/>
      <c r="Z296" s="64"/>
      <c r="AA296" s="64"/>
      <c r="AB296" s="65"/>
      <c r="AC296" s="82"/>
      <c r="AD296" s="64"/>
      <c r="AE296" s="64"/>
      <c r="AF296" s="64"/>
      <c r="AG296" s="64"/>
      <c r="AH296" s="64"/>
      <c r="AI296" s="64"/>
      <c r="AJ296" s="64"/>
      <c r="AK296" s="68"/>
      <c r="AL296" s="65"/>
      <c r="AM296" s="65"/>
      <c r="AN296" s="65"/>
    </row>
    <row r="297" spans="1:40" s="66" customFormat="1" hidden="1" x14ac:dyDescent="0.25">
      <c r="A297" s="64"/>
      <c r="B297" s="64"/>
      <c r="C297" s="64"/>
      <c r="D297" s="64"/>
      <c r="E297" s="64"/>
      <c r="F297" s="64"/>
      <c r="G297" s="64"/>
      <c r="H297" s="64"/>
      <c r="I297" s="64" t="s">
        <v>211</v>
      </c>
      <c r="J297" s="64"/>
      <c r="K297" s="64"/>
      <c r="L297" s="64"/>
      <c r="M297" s="64"/>
      <c r="N297" s="64"/>
      <c r="O297" s="64"/>
      <c r="P297" s="64"/>
      <c r="Q297" s="64"/>
      <c r="R297" s="65"/>
      <c r="S297" s="64"/>
      <c r="T297" s="64"/>
      <c r="U297" s="64"/>
      <c r="V297" s="64"/>
      <c r="W297" s="64"/>
      <c r="X297" s="64"/>
      <c r="Y297" s="64"/>
      <c r="Z297" s="64"/>
      <c r="AA297" s="64"/>
      <c r="AB297" s="65"/>
      <c r="AC297" s="82"/>
      <c r="AD297" s="64"/>
      <c r="AE297" s="64"/>
      <c r="AF297" s="64"/>
      <c r="AG297" s="64"/>
      <c r="AH297" s="64"/>
      <c r="AI297" s="64"/>
      <c r="AJ297" s="64"/>
      <c r="AK297" s="68"/>
      <c r="AL297" s="65"/>
      <c r="AM297" s="65"/>
      <c r="AN297" s="65"/>
    </row>
    <row r="298" spans="1:40" s="66" customFormat="1" hidden="1" x14ac:dyDescent="0.25">
      <c r="A298" s="64"/>
      <c r="B298" s="64"/>
      <c r="C298" s="64"/>
      <c r="D298" s="64"/>
      <c r="E298" s="64"/>
      <c r="F298" s="64"/>
      <c r="G298" s="64"/>
      <c r="H298" s="64"/>
      <c r="I298" s="64" t="s">
        <v>211</v>
      </c>
      <c r="J298" s="64"/>
      <c r="K298" s="64"/>
      <c r="L298" s="64"/>
      <c r="M298" s="64"/>
      <c r="N298" s="64"/>
      <c r="O298" s="64"/>
      <c r="P298" s="64"/>
      <c r="Q298" s="64"/>
      <c r="R298" s="65"/>
      <c r="S298" s="64"/>
      <c r="T298" s="64"/>
      <c r="U298" s="64"/>
      <c r="V298" s="64"/>
      <c r="W298" s="64"/>
      <c r="X298" s="64"/>
      <c r="Y298" s="64"/>
      <c r="Z298" s="64"/>
      <c r="AA298" s="64"/>
      <c r="AB298" s="65"/>
      <c r="AC298" s="82"/>
      <c r="AD298" s="64"/>
      <c r="AE298" s="64"/>
      <c r="AF298" s="64"/>
      <c r="AG298" s="64"/>
      <c r="AH298" s="64"/>
      <c r="AI298" s="64"/>
      <c r="AJ298" s="64"/>
      <c r="AK298" s="68"/>
      <c r="AL298" s="65"/>
      <c r="AM298" s="65"/>
      <c r="AN298" s="65"/>
    </row>
    <row r="299" spans="1:40" s="66" customFormat="1" hidden="1" x14ac:dyDescent="0.25">
      <c r="A299" s="64"/>
      <c r="B299" s="64"/>
      <c r="C299" s="64"/>
      <c r="D299" s="64"/>
      <c r="E299" s="64"/>
      <c r="F299" s="64"/>
      <c r="G299" s="64"/>
      <c r="H299" s="64"/>
      <c r="I299" s="64" t="s">
        <v>211</v>
      </c>
      <c r="J299" s="64"/>
      <c r="K299" s="64"/>
      <c r="L299" s="64"/>
      <c r="M299" s="64"/>
      <c r="N299" s="64"/>
      <c r="O299" s="64"/>
      <c r="P299" s="64"/>
      <c r="Q299" s="64"/>
      <c r="R299" s="65"/>
      <c r="S299" s="64"/>
      <c r="T299" s="64"/>
      <c r="U299" s="64"/>
      <c r="V299" s="64"/>
      <c r="W299" s="64"/>
      <c r="X299" s="64"/>
      <c r="Y299" s="64"/>
      <c r="Z299" s="64"/>
      <c r="AA299" s="64"/>
      <c r="AB299" s="65"/>
      <c r="AC299" s="82"/>
      <c r="AD299" s="64"/>
      <c r="AE299" s="64"/>
      <c r="AF299" s="64"/>
      <c r="AG299" s="64"/>
      <c r="AH299" s="64"/>
      <c r="AI299" s="64"/>
      <c r="AJ299" s="64"/>
      <c r="AK299" s="68"/>
      <c r="AL299" s="65"/>
      <c r="AM299" s="65"/>
      <c r="AN299" s="65"/>
    </row>
    <row r="300" spans="1:40" s="66" customFormat="1" hidden="1" x14ac:dyDescent="0.25">
      <c r="A300" s="64"/>
      <c r="B300" s="64"/>
      <c r="C300" s="64"/>
      <c r="D300" s="64"/>
      <c r="E300" s="64"/>
      <c r="F300" s="64"/>
      <c r="G300" s="64"/>
      <c r="H300" s="64"/>
      <c r="I300" s="64" t="s">
        <v>211</v>
      </c>
      <c r="J300" s="64"/>
      <c r="K300" s="64"/>
      <c r="L300" s="64"/>
      <c r="M300" s="64"/>
      <c r="N300" s="64"/>
      <c r="O300" s="64"/>
      <c r="P300" s="64"/>
      <c r="Q300" s="64"/>
      <c r="R300" s="65"/>
      <c r="S300" s="64"/>
      <c r="T300" s="64"/>
      <c r="U300" s="64"/>
      <c r="V300" s="64"/>
      <c r="W300" s="64"/>
      <c r="X300" s="64"/>
      <c r="Y300" s="64"/>
      <c r="Z300" s="64"/>
      <c r="AA300" s="64"/>
      <c r="AB300" s="65"/>
      <c r="AC300" s="82"/>
      <c r="AD300" s="64"/>
      <c r="AE300" s="64"/>
      <c r="AF300" s="64"/>
      <c r="AG300" s="64"/>
      <c r="AH300" s="64"/>
      <c r="AI300" s="64"/>
      <c r="AJ300" s="64"/>
      <c r="AK300" s="68"/>
      <c r="AL300" s="65"/>
      <c r="AM300" s="65"/>
      <c r="AN300" s="65"/>
    </row>
    <row r="301" spans="1:40" s="66" customFormat="1" hidden="1" x14ac:dyDescent="0.25">
      <c r="A301" s="64"/>
      <c r="B301" s="64"/>
      <c r="C301" s="64"/>
      <c r="D301" s="64"/>
      <c r="E301" s="64"/>
      <c r="F301" s="64"/>
      <c r="G301" s="64"/>
      <c r="H301" s="64"/>
      <c r="I301" s="64" t="s">
        <v>211</v>
      </c>
      <c r="J301" s="64"/>
      <c r="K301" s="64"/>
      <c r="L301" s="64"/>
      <c r="M301" s="64"/>
      <c r="N301" s="64"/>
      <c r="O301" s="64"/>
      <c r="P301" s="64"/>
      <c r="Q301" s="64"/>
      <c r="R301" s="65"/>
      <c r="S301" s="64"/>
      <c r="T301" s="64"/>
      <c r="U301" s="64"/>
      <c r="V301" s="64"/>
      <c r="W301" s="64"/>
      <c r="X301" s="64"/>
      <c r="Y301" s="64"/>
      <c r="Z301" s="64"/>
      <c r="AA301" s="64"/>
      <c r="AB301" s="65"/>
      <c r="AC301" s="82"/>
      <c r="AD301" s="64"/>
      <c r="AE301" s="64"/>
      <c r="AF301" s="64"/>
      <c r="AG301" s="64"/>
      <c r="AH301" s="64"/>
      <c r="AI301" s="64"/>
      <c r="AJ301" s="64"/>
      <c r="AK301" s="68"/>
      <c r="AL301" s="65"/>
      <c r="AM301" s="65"/>
      <c r="AN301" s="65"/>
    </row>
    <row r="302" spans="1:40" s="66" customFormat="1" hidden="1" x14ac:dyDescent="0.25">
      <c r="A302" s="64"/>
      <c r="B302" s="64"/>
      <c r="C302" s="64"/>
      <c r="D302" s="64"/>
      <c r="E302" s="64"/>
      <c r="F302" s="64"/>
      <c r="G302" s="64"/>
      <c r="H302" s="64"/>
      <c r="I302" s="64" t="s">
        <v>211</v>
      </c>
      <c r="J302" s="64"/>
      <c r="K302" s="64"/>
      <c r="L302" s="64"/>
      <c r="M302" s="64"/>
      <c r="N302" s="64"/>
      <c r="O302" s="64"/>
      <c r="P302" s="64"/>
      <c r="Q302" s="64"/>
      <c r="R302" s="65"/>
      <c r="S302" s="64"/>
      <c r="T302" s="64"/>
      <c r="U302" s="64"/>
      <c r="V302" s="64"/>
      <c r="W302" s="64"/>
      <c r="X302" s="64"/>
      <c r="Y302" s="64"/>
      <c r="Z302" s="64"/>
      <c r="AA302" s="64"/>
      <c r="AB302" s="65"/>
      <c r="AC302" s="82"/>
      <c r="AD302" s="64"/>
      <c r="AE302" s="64"/>
      <c r="AF302" s="64"/>
      <c r="AG302" s="64"/>
      <c r="AH302" s="64"/>
      <c r="AI302" s="64"/>
      <c r="AJ302" s="64"/>
      <c r="AK302" s="68"/>
      <c r="AL302" s="65"/>
      <c r="AM302" s="65"/>
      <c r="AN302" s="65"/>
    </row>
    <row r="303" spans="1:40" s="66" customFormat="1" hidden="1" x14ac:dyDescent="0.25">
      <c r="A303" s="64"/>
      <c r="B303" s="64"/>
      <c r="C303" s="64"/>
      <c r="D303" s="64"/>
      <c r="E303" s="64"/>
      <c r="F303" s="64"/>
      <c r="G303" s="64"/>
      <c r="H303" s="64"/>
      <c r="I303" s="64" t="s">
        <v>211</v>
      </c>
      <c r="J303" s="64"/>
      <c r="K303" s="64"/>
      <c r="L303" s="64"/>
      <c r="M303" s="64"/>
      <c r="N303" s="64"/>
      <c r="O303" s="64"/>
      <c r="P303" s="64"/>
      <c r="Q303" s="64"/>
      <c r="R303" s="65"/>
      <c r="S303" s="64"/>
      <c r="T303" s="64"/>
      <c r="U303" s="64"/>
      <c r="V303" s="64"/>
      <c r="W303" s="64"/>
      <c r="X303" s="64"/>
      <c r="Y303" s="64"/>
      <c r="Z303" s="64"/>
      <c r="AA303" s="64"/>
      <c r="AB303" s="65"/>
      <c r="AC303" s="82"/>
      <c r="AD303" s="64"/>
      <c r="AE303" s="64"/>
      <c r="AF303" s="64"/>
      <c r="AG303" s="64"/>
      <c r="AH303" s="64"/>
      <c r="AI303" s="64"/>
      <c r="AJ303" s="64"/>
      <c r="AK303" s="68"/>
      <c r="AL303" s="65"/>
      <c r="AM303" s="65"/>
      <c r="AN303" s="65"/>
    </row>
    <row r="304" spans="1:40" s="66" customFormat="1" hidden="1" x14ac:dyDescent="0.25">
      <c r="A304" s="64"/>
      <c r="B304" s="64"/>
      <c r="C304" s="64"/>
      <c r="D304" s="64"/>
      <c r="E304" s="64"/>
      <c r="F304" s="64"/>
      <c r="G304" s="64"/>
      <c r="H304" s="64"/>
      <c r="I304" s="64" t="s">
        <v>211</v>
      </c>
      <c r="J304" s="64"/>
      <c r="K304" s="64"/>
      <c r="L304" s="64"/>
      <c r="M304" s="64"/>
      <c r="N304" s="64"/>
      <c r="O304" s="64"/>
      <c r="P304" s="64"/>
      <c r="Q304" s="64"/>
      <c r="R304" s="65"/>
      <c r="S304" s="64"/>
      <c r="T304" s="64"/>
      <c r="U304" s="64"/>
      <c r="V304" s="64"/>
      <c r="W304" s="64"/>
      <c r="X304" s="64"/>
      <c r="Y304" s="64"/>
      <c r="Z304" s="64"/>
      <c r="AA304" s="64"/>
      <c r="AB304" s="65"/>
      <c r="AC304" s="82"/>
      <c r="AD304" s="64"/>
      <c r="AE304" s="64"/>
      <c r="AF304" s="64"/>
      <c r="AG304" s="64"/>
      <c r="AH304" s="64"/>
      <c r="AI304" s="64"/>
      <c r="AJ304" s="64"/>
      <c r="AK304" s="68"/>
      <c r="AL304" s="65"/>
      <c r="AM304" s="65"/>
      <c r="AN304" s="65"/>
    </row>
    <row r="305" spans="1:40" s="66" customFormat="1" hidden="1" x14ac:dyDescent="0.25">
      <c r="A305" s="64"/>
      <c r="B305" s="64"/>
      <c r="C305" s="64"/>
      <c r="D305" s="64"/>
      <c r="E305" s="64"/>
      <c r="F305" s="64"/>
      <c r="G305" s="64"/>
      <c r="H305" s="64"/>
      <c r="I305" s="64" t="s">
        <v>211</v>
      </c>
      <c r="J305" s="64"/>
      <c r="K305" s="64"/>
      <c r="L305" s="64"/>
      <c r="M305" s="64"/>
      <c r="N305" s="64"/>
      <c r="O305" s="64"/>
      <c r="P305" s="64"/>
      <c r="Q305" s="64"/>
      <c r="R305" s="65"/>
      <c r="S305" s="64"/>
      <c r="T305" s="64"/>
      <c r="U305" s="64"/>
      <c r="V305" s="64"/>
      <c r="W305" s="64"/>
      <c r="X305" s="64"/>
      <c r="Y305" s="64"/>
      <c r="Z305" s="64"/>
      <c r="AA305" s="64"/>
      <c r="AB305" s="65"/>
      <c r="AC305" s="82"/>
      <c r="AD305" s="64"/>
      <c r="AE305" s="64"/>
      <c r="AF305" s="64"/>
      <c r="AG305" s="64"/>
      <c r="AH305" s="64"/>
      <c r="AI305" s="64"/>
      <c r="AJ305" s="64"/>
      <c r="AK305" s="68"/>
      <c r="AL305" s="65"/>
      <c r="AM305" s="65"/>
      <c r="AN305" s="65"/>
    </row>
    <row r="306" spans="1:40" s="66" customFormat="1" hidden="1" x14ac:dyDescent="0.25">
      <c r="A306" s="64"/>
      <c r="B306" s="64"/>
      <c r="C306" s="64"/>
      <c r="D306" s="64"/>
      <c r="E306" s="64"/>
      <c r="F306" s="64"/>
      <c r="G306" s="64"/>
      <c r="H306" s="64"/>
      <c r="I306" s="64" t="s">
        <v>211</v>
      </c>
      <c r="J306" s="64"/>
      <c r="K306" s="64"/>
      <c r="L306" s="64"/>
      <c r="M306" s="64"/>
      <c r="N306" s="64"/>
      <c r="O306" s="64"/>
      <c r="P306" s="64"/>
      <c r="Q306" s="64"/>
      <c r="R306" s="65"/>
      <c r="S306" s="64"/>
      <c r="T306" s="64"/>
      <c r="U306" s="64"/>
      <c r="V306" s="64"/>
      <c r="W306" s="64"/>
      <c r="X306" s="64"/>
      <c r="Y306" s="64"/>
      <c r="Z306" s="64"/>
      <c r="AA306" s="64"/>
      <c r="AB306" s="65"/>
      <c r="AC306" s="82"/>
      <c r="AD306" s="64"/>
      <c r="AE306" s="64"/>
      <c r="AF306" s="64"/>
      <c r="AG306" s="64"/>
      <c r="AH306" s="64"/>
      <c r="AI306" s="64"/>
      <c r="AJ306" s="64"/>
      <c r="AK306" s="68"/>
      <c r="AL306" s="65"/>
      <c r="AM306" s="65"/>
      <c r="AN306" s="65"/>
    </row>
    <row r="307" spans="1:40" s="66" customFormat="1" hidden="1" x14ac:dyDescent="0.25">
      <c r="A307" s="64"/>
      <c r="B307" s="64"/>
      <c r="C307" s="64"/>
      <c r="D307" s="64"/>
      <c r="E307" s="64"/>
      <c r="F307" s="64"/>
      <c r="G307" s="64"/>
      <c r="H307" s="64"/>
      <c r="I307" s="64" t="s">
        <v>211</v>
      </c>
      <c r="J307" s="64"/>
      <c r="K307" s="64"/>
      <c r="L307" s="64"/>
      <c r="M307" s="64"/>
      <c r="N307" s="64"/>
      <c r="O307" s="64"/>
      <c r="P307" s="64"/>
      <c r="Q307" s="64"/>
      <c r="R307" s="65"/>
      <c r="S307" s="64"/>
      <c r="T307" s="64"/>
      <c r="U307" s="64"/>
      <c r="V307" s="64"/>
      <c r="W307" s="64"/>
      <c r="X307" s="64"/>
      <c r="Y307" s="64"/>
      <c r="Z307" s="64"/>
      <c r="AA307" s="64"/>
      <c r="AB307" s="65"/>
      <c r="AC307" s="82"/>
      <c r="AD307" s="64"/>
      <c r="AE307" s="64"/>
      <c r="AF307" s="64"/>
      <c r="AG307" s="64"/>
      <c r="AH307" s="64"/>
      <c r="AI307" s="64"/>
      <c r="AJ307" s="64"/>
      <c r="AK307" s="68"/>
      <c r="AL307" s="65"/>
      <c r="AM307" s="65"/>
      <c r="AN307" s="65"/>
    </row>
    <row r="308" spans="1:40" s="66" customFormat="1" hidden="1" x14ac:dyDescent="0.25">
      <c r="A308" s="64"/>
      <c r="B308" s="64"/>
      <c r="C308" s="64"/>
      <c r="D308" s="64"/>
      <c r="E308" s="64"/>
      <c r="F308" s="64"/>
      <c r="G308" s="64"/>
      <c r="H308" s="64"/>
      <c r="I308" s="64" t="s">
        <v>211</v>
      </c>
      <c r="J308" s="64"/>
      <c r="K308" s="64"/>
      <c r="L308" s="64"/>
      <c r="M308" s="64"/>
      <c r="N308" s="64"/>
      <c r="O308" s="64"/>
      <c r="P308" s="64"/>
      <c r="Q308" s="64"/>
      <c r="R308" s="65"/>
      <c r="S308" s="64"/>
      <c r="T308" s="64"/>
      <c r="U308" s="64"/>
      <c r="V308" s="64"/>
      <c r="W308" s="64"/>
      <c r="X308" s="64"/>
      <c r="Y308" s="64"/>
      <c r="Z308" s="64"/>
      <c r="AA308" s="64"/>
      <c r="AB308" s="65"/>
      <c r="AC308" s="82"/>
      <c r="AD308" s="64"/>
      <c r="AE308" s="64"/>
      <c r="AF308" s="64"/>
      <c r="AG308" s="64"/>
      <c r="AH308" s="64"/>
      <c r="AI308" s="64"/>
      <c r="AJ308" s="64"/>
      <c r="AK308" s="68"/>
      <c r="AL308" s="65"/>
      <c r="AM308" s="65"/>
      <c r="AN308" s="65"/>
    </row>
    <row r="309" spans="1:40" s="66" customFormat="1" hidden="1" x14ac:dyDescent="0.25">
      <c r="A309" s="64"/>
      <c r="B309" s="64"/>
      <c r="C309" s="64"/>
      <c r="D309" s="64"/>
      <c r="E309" s="64"/>
      <c r="F309" s="64"/>
      <c r="G309" s="64"/>
      <c r="H309" s="64"/>
      <c r="I309" s="64" t="s">
        <v>211</v>
      </c>
      <c r="J309" s="64"/>
      <c r="K309" s="64"/>
      <c r="L309" s="64"/>
      <c r="M309" s="64"/>
      <c r="N309" s="64"/>
      <c r="O309" s="64"/>
      <c r="P309" s="64"/>
      <c r="Q309" s="64"/>
      <c r="R309" s="65"/>
      <c r="S309" s="64"/>
      <c r="T309" s="64"/>
      <c r="U309" s="64"/>
      <c r="V309" s="64"/>
      <c r="W309" s="64"/>
      <c r="X309" s="64"/>
      <c r="Y309" s="64"/>
      <c r="Z309" s="64"/>
      <c r="AA309" s="64"/>
      <c r="AB309" s="65"/>
      <c r="AC309" s="82"/>
      <c r="AD309" s="64"/>
      <c r="AE309" s="64"/>
      <c r="AF309" s="64"/>
      <c r="AG309" s="64"/>
      <c r="AH309" s="64"/>
      <c r="AI309" s="64"/>
      <c r="AJ309" s="64"/>
      <c r="AK309" s="68"/>
      <c r="AL309" s="65"/>
      <c r="AM309" s="65"/>
      <c r="AN309" s="65"/>
    </row>
    <row r="310" spans="1:40" s="66" customFormat="1" hidden="1" x14ac:dyDescent="0.25">
      <c r="A310" s="64"/>
      <c r="B310" s="64"/>
      <c r="C310" s="64"/>
      <c r="D310" s="64"/>
      <c r="E310" s="64"/>
      <c r="F310" s="64"/>
      <c r="G310" s="64"/>
      <c r="H310" s="64"/>
      <c r="I310" s="64" t="s">
        <v>211</v>
      </c>
      <c r="J310" s="64"/>
      <c r="K310" s="64"/>
      <c r="L310" s="64"/>
      <c r="M310" s="64"/>
      <c r="N310" s="64"/>
      <c r="O310" s="64"/>
      <c r="P310" s="64"/>
      <c r="Q310" s="64"/>
      <c r="R310" s="65"/>
      <c r="S310" s="64"/>
      <c r="T310" s="64"/>
      <c r="U310" s="64"/>
      <c r="V310" s="64"/>
      <c r="W310" s="64"/>
      <c r="X310" s="64"/>
      <c r="Y310" s="64"/>
      <c r="Z310" s="64"/>
      <c r="AA310" s="64"/>
      <c r="AB310" s="65"/>
      <c r="AC310" s="82"/>
      <c r="AD310" s="64"/>
      <c r="AE310" s="64"/>
      <c r="AF310" s="64"/>
      <c r="AG310" s="64"/>
      <c r="AH310" s="64"/>
      <c r="AI310" s="64"/>
      <c r="AJ310" s="64"/>
      <c r="AK310" s="68"/>
      <c r="AL310" s="65"/>
      <c r="AM310" s="65"/>
      <c r="AN310" s="65"/>
    </row>
    <row r="311" spans="1:40" s="66" customFormat="1" hidden="1" x14ac:dyDescent="0.25">
      <c r="A311" s="64"/>
      <c r="B311" s="64"/>
      <c r="C311" s="64"/>
      <c r="D311" s="64"/>
      <c r="E311" s="64"/>
      <c r="F311" s="64"/>
      <c r="G311" s="64"/>
      <c r="H311" s="64"/>
      <c r="I311" s="64" t="s">
        <v>211</v>
      </c>
      <c r="J311" s="64"/>
      <c r="K311" s="64"/>
      <c r="L311" s="64"/>
      <c r="M311" s="64"/>
      <c r="N311" s="64"/>
      <c r="O311" s="64"/>
      <c r="P311" s="64"/>
      <c r="Q311" s="64"/>
      <c r="R311" s="65"/>
      <c r="S311" s="64"/>
      <c r="T311" s="64"/>
      <c r="U311" s="64"/>
      <c r="V311" s="64"/>
      <c r="W311" s="64"/>
      <c r="X311" s="64"/>
      <c r="Y311" s="64"/>
      <c r="Z311" s="64"/>
      <c r="AA311" s="64"/>
      <c r="AB311" s="65"/>
      <c r="AC311" s="82"/>
      <c r="AD311" s="64"/>
      <c r="AE311" s="64"/>
      <c r="AF311" s="64"/>
      <c r="AG311" s="64"/>
      <c r="AH311" s="64"/>
      <c r="AI311" s="64"/>
      <c r="AJ311" s="64"/>
      <c r="AK311" s="68"/>
      <c r="AL311" s="65"/>
      <c r="AM311" s="65"/>
      <c r="AN311" s="65"/>
    </row>
    <row r="312" spans="1:40" s="66" customFormat="1" hidden="1" x14ac:dyDescent="0.25">
      <c r="A312" s="64"/>
      <c r="B312" s="64"/>
      <c r="C312" s="64"/>
      <c r="D312" s="64"/>
      <c r="E312" s="64"/>
      <c r="F312" s="64"/>
      <c r="G312" s="64"/>
      <c r="H312" s="64"/>
      <c r="I312" s="64" t="s">
        <v>211</v>
      </c>
      <c r="J312" s="64"/>
      <c r="K312" s="64"/>
      <c r="L312" s="64"/>
      <c r="M312" s="64"/>
      <c r="N312" s="64"/>
      <c r="O312" s="64"/>
      <c r="P312" s="64"/>
      <c r="Q312" s="64"/>
      <c r="R312" s="65"/>
      <c r="S312" s="64"/>
      <c r="T312" s="64"/>
      <c r="U312" s="64"/>
      <c r="V312" s="64"/>
      <c r="W312" s="64"/>
      <c r="X312" s="64"/>
      <c r="Y312" s="64"/>
      <c r="Z312" s="64"/>
      <c r="AA312" s="64"/>
      <c r="AB312" s="65"/>
      <c r="AC312" s="82"/>
      <c r="AD312" s="64"/>
      <c r="AE312" s="64"/>
      <c r="AF312" s="64"/>
      <c r="AG312" s="64"/>
      <c r="AH312" s="64"/>
      <c r="AI312" s="64"/>
      <c r="AJ312" s="64"/>
      <c r="AK312" s="68"/>
      <c r="AL312" s="65"/>
      <c r="AM312" s="65"/>
      <c r="AN312" s="65"/>
    </row>
    <row r="313" spans="1:40" s="66" customFormat="1" hidden="1" x14ac:dyDescent="0.25">
      <c r="A313" s="64"/>
      <c r="B313" s="64"/>
      <c r="C313" s="64"/>
      <c r="D313" s="64"/>
      <c r="E313" s="64"/>
      <c r="F313" s="64"/>
      <c r="G313" s="64"/>
      <c r="H313" s="64"/>
      <c r="I313" s="64" t="s">
        <v>211</v>
      </c>
      <c r="J313" s="64"/>
      <c r="K313" s="64"/>
      <c r="L313" s="64"/>
      <c r="M313" s="64"/>
      <c r="N313" s="64"/>
      <c r="O313" s="64"/>
      <c r="P313" s="64"/>
      <c r="Q313" s="64"/>
      <c r="R313" s="65"/>
      <c r="S313" s="64"/>
      <c r="T313" s="64"/>
      <c r="U313" s="64"/>
      <c r="V313" s="64"/>
      <c r="W313" s="64"/>
      <c r="X313" s="64"/>
      <c r="Y313" s="64"/>
      <c r="Z313" s="64"/>
      <c r="AA313" s="64"/>
      <c r="AB313" s="65"/>
      <c r="AC313" s="82"/>
      <c r="AD313" s="64"/>
      <c r="AE313" s="64"/>
      <c r="AF313" s="64"/>
      <c r="AG313" s="64"/>
      <c r="AH313" s="64"/>
      <c r="AI313" s="64"/>
      <c r="AJ313" s="64"/>
      <c r="AK313" s="68"/>
      <c r="AL313" s="65"/>
      <c r="AM313" s="65"/>
      <c r="AN313" s="65"/>
    </row>
    <row r="314" spans="1:40" s="66" customFormat="1" hidden="1" x14ac:dyDescent="0.25">
      <c r="A314" s="64"/>
      <c r="B314" s="64"/>
      <c r="C314" s="64"/>
      <c r="D314" s="64"/>
      <c r="E314" s="64"/>
      <c r="F314" s="64"/>
      <c r="G314" s="64"/>
      <c r="H314" s="64"/>
      <c r="I314" s="64" t="s">
        <v>211</v>
      </c>
      <c r="J314" s="64"/>
      <c r="K314" s="64"/>
      <c r="L314" s="64"/>
      <c r="M314" s="64"/>
      <c r="N314" s="64"/>
      <c r="O314" s="64"/>
      <c r="P314" s="64"/>
      <c r="Q314" s="64"/>
      <c r="R314" s="65"/>
      <c r="S314" s="64"/>
      <c r="T314" s="64"/>
      <c r="U314" s="64"/>
      <c r="V314" s="64"/>
      <c r="W314" s="64"/>
      <c r="X314" s="64"/>
      <c r="Y314" s="64"/>
      <c r="Z314" s="64"/>
      <c r="AA314" s="64"/>
      <c r="AB314" s="65"/>
      <c r="AC314" s="82"/>
      <c r="AD314" s="64"/>
      <c r="AE314" s="64"/>
      <c r="AF314" s="64"/>
      <c r="AG314" s="64"/>
      <c r="AH314" s="64"/>
      <c r="AI314" s="64"/>
      <c r="AJ314" s="64"/>
      <c r="AK314" s="68"/>
      <c r="AL314" s="65"/>
      <c r="AM314" s="65"/>
      <c r="AN314" s="65"/>
    </row>
    <row r="315" spans="1:40" s="66" customFormat="1" hidden="1" x14ac:dyDescent="0.25">
      <c r="A315" s="64"/>
      <c r="B315" s="64"/>
      <c r="C315" s="64"/>
      <c r="D315" s="64"/>
      <c r="E315" s="64"/>
      <c r="F315" s="64"/>
      <c r="G315" s="64"/>
      <c r="H315" s="64"/>
      <c r="I315" s="64" t="s">
        <v>211</v>
      </c>
      <c r="J315" s="64"/>
      <c r="K315" s="64"/>
      <c r="L315" s="64"/>
      <c r="M315" s="64"/>
      <c r="N315" s="64"/>
      <c r="O315" s="64"/>
      <c r="P315" s="64"/>
      <c r="Q315" s="64"/>
      <c r="R315" s="65"/>
      <c r="S315" s="64"/>
      <c r="T315" s="64"/>
      <c r="U315" s="64"/>
      <c r="V315" s="64"/>
      <c r="W315" s="64"/>
      <c r="X315" s="64"/>
      <c r="Y315" s="64"/>
      <c r="Z315" s="64"/>
      <c r="AA315" s="64"/>
      <c r="AB315" s="65"/>
      <c r="AC315" s="82"/>
      <c r="AD315" s="64"/>
      <c r="AE315" s="64"/>
      <c r="AF315" s="64"/>
      <c r="AG315" s="64"/>
      <c r="AH315" s="64"/>
      <c r="AI315" s="64"/>
      <c r="AJ315" s="64"/>
      <c r="AK315" s="68"/>
      <c r="AL315" s="65"/>
      <c r="AM315" s="65"/>
      <c r="AN315" s="65"/>
    </row>
    <row r="316" spans="1:40" s="66" customFormat="1" hidden="1" x14ac:dyDescent="0.25">
      <c r="A316" s="64"/>
      <c r="B316" s="64"/>
      <c r="C316" s="64"/>
      <c r="D316" s="64"/>
      <c r="E316" s="64"/>
      <c r="F316" s="64"/>
      <c r="G316" s="64"/>
      <c r="H316" s="64"/>
      <c r="I316" s="64" t="s">
        <v>211</v>
      </c>
      <c r="J316" s="64"/>
      <c r="K316" s="64"/>
      <c r="L316" s="64"/>
      <c r="M316" s="64"/>
      <c r="N316" s="64"/>
      <c r="O316" s="64"/>
      <c r="P316" s="64"/>
      <c r="Q316" s="64"/>
      <c r="R316" s="65"/>
      <c r="S316" s="64"/>
      <c r="T316" s="64"/>
      <c r="U316" s="64"/>
      <c r="V316" s="64"/>
      <c r="W316" s="64"/>
      <c r="X316" s="64"/>
      <c r="Y316" s="64"/>
      <c r="Z316" s="64"/>
      <c r="AA316" s="64"/>
      <c r="AB316" s="65"/>
      <c r="AC316" s="82"/>
      <c r="AD316" s="64"/>
      <c r="AE316" s="64"/>
      <c r="AF316" s="64"/>
      <c r="AG316" s="64"/>
      <c r="AH316" s="64"/>
      <c r="AI316" s="64"/>
      <c r="AJ316" s="64"/>
      <c r="AK316" s="68"/>
      <c r="AL316" s="65"/>
      <c r="AM316" s="65"/>
      <c r="AN316" s="65"/>
    </row>
    <row r="317" spans="1:40" s="66" customFormat="1" hidden="1" x14ac:dyDescent="0.25">
      <c r="A317" s="64"/>
      <c r="B317" s="64"/>
      <c r="C317" s="64"/>
      <c r="D317" s="64"/>
      <c r="E317" s="64"/>
      <c r="F317" s="64"/>
      <c r="G317" s="64"/>
      <c r="H317" s="64"/>
      <c r="I317" s="64" t="s">
        <v>211</v>
      </c>
      <c r="J317" s="64"/>
      <c r="K317" s="64"/>
      <c r="L317" s="64"/>
      <c r="M317" s="64"/>
      <c r="N317" s="64"/>
      <c r="O317" s="64"/>
      <c r="P317" s="64"/>
      <c r="Q317" s="64"/>
      <c r="R317" s="65"/>
      <c r="S317" s="64"/>
      <c r="T317" s="64"/>
      <c r="U317" s="64"/>
      <c r="V317" s="64"/>
      <c r="W317" s="64"/>
      <c r="X317" s="64"/>
      <c r="Y317" s="64"/>
      <c r="Z317" s="64"/>
      <c r="AA317" s="64"/>
      <c r="AB317" s="65"/>
      <c r="AC317" s="82"/>
      <c r="AD317" s="64"/>
      <c r="AE317" s="64"/>
      <c r="AF317" s="64"/>
      <c r="AG317" s="64"/>
      <c r="AH317" s="64"/>
      <c r="AI317" s="64"/>
      <c r="AJ317" s="64"/>
      <c r="AK317" s="68"/>
      <c r="AL317" s="65"/>
      <c r="AM317" s="65"/>
      <c r="AN317" s="65"/>
    </row>
    <row r="318" spans="1:40" s="66" customFormat="1" hidden="1" x14ac:dyDescent="0.25">
      <c r="A318" s="64"/>
      <c r="B318" s="64"/>
      <c r="C318" s="64"/>
      <c r="D318" s="64"/>
      <c r="E318" s="64"/>
      <c r="F318" s="64"/>
      <c r="G318" s="64"/>
      <c r="H318" s="64"/>
      <c r="I318" s="64" t="s">
        <v>211</v>
      </c>
      <c r="J318" s="64"/>
      <c r="K318" s="64"/>
      <c r="L318" s="64"/>
      <c r="M318" s="64"/>
      <c r="N318" s="64"/>
      <c r="O318" s="64"/>
      <c r="P318" s="64"/>
      <c r="Q318" s="64"/>
      <c r="R318" s="65"/>
      <c r="S318" s="64"/>
      <c r="T318" s="64"/>
      <c r="U318" s="64"/>
      <c r="V318" s="64"/>
      <c r="W318" s="64"/>
      <c r="X318" s="64"/>
      <c r="Y318" s="64"/>
      <c r="Z318" s="64"/>
      <c r="AA318" s="64"/>
      <c r="AB318" s="65"/>
      <c r="AC318" s="82"/>
      <c r="AD318" s="64"/>
      <c r="AE318" s="64"/>
      <c r="AF318" s="64"/>
      <c r="AG318" s="64"/>
      <c r="AH318" s="64"/>
      <c r="AI318" s="64"/>
      <c r="AJ318" s="64"/>
      <c r="AK318" s="68"/>
      <c r="AL318" s="65"/>
      <c r="AM318" s="65"/>
      <c r="AN318" s="65"/>
    </row>
    <row r="319" spans="1:40" s="66" customFormat="1" hidden="1" x14ac:dyDescent="0.25">
      <c r="A319" s="64"/>
      <c r="B319" s="64"/>
      <c r="C319" s="64"/>
      <c r="D319" s="64"/>
      <c r="E319" s="64"/>
      <c r="F319" s="64"/>
      <c r="G319" s="64"/>
      <c r="H319" s="64"/>
      <c r="I319" s="64" t="s">
        <v>211</v>
      </c>
      <c r="J319" s="64"/>
      <c r="K319" s="64"/>
      <c r="L319" s="64"/>
      <c r="M319" s="64"/>
      <c r="N319" s="64"/>
      <c r="O319" s="64"/>
      <c r="P319" s="64"/>
      <c r="Q319" s="64"/>
      <c r="R319" s="65"/>
      <c r="S319" s="64"/>
      <c r="T319" s="64"/>
      <c r="U319" s="64"/>
      <c r="V319" s="64"/>
      <c r="W319" s="64"/>
      <c r="X319" s="64"/>
      <c r="Y319" s="64"/>
      <c r="Z319" s="64"/>
      <c r="AA319" s="64"/>
      <c r="AB319" s="65"/>
      <c r="AC319" s="82"/>
      <c r="AD319" s="64"/>
      <c r="AE319" s="64"/>
      <c r="AF319" s="64"/>
      <c r="AG319" s="64"/>
      <c r="AH319" s="64"/>
      <c r="AI319" s="64"/>
      <c r="AJ319" s="64"/>
      <c r="AK319" s="68"/>
      <c r="AL319" s="65"/>
      <c r="AM319" s="65"/>
      <c r="AN319" s="65"/>
    </row>
    <row r="320" spans="1:40" s="66" customFormat="1" hidden="1" x14ac:dyDescent="0.25">
      <c r="A320" s="64"/>
      <c r="B320" s="64"/>
      <c r="C320" s="64"/>
      <c r="D320" s="64"/>
      <c r="E320" s="64"/>
      <c r="F320" s="64"/>
      <c r="G320" s="64"/>
      <c r="H320" s="64"/>
      <c r="I320" s="64" t="s">
        <v>211</v>
      </c>
      <c r="J320" s="64"/>
      <c r="K320" s="64"/>
      <c r="L320" s="64"/>
      <c r="M320" s="64"/>
      <c r="N320" s="64"/>
      <c r="O320" s="64"/>
      <c r="P320" s="64"/>
      <c r="Q320" s="64"/>
      <c r="R320" s="65"/>
      <c r="S320" s="64"/>
      <c r="T320" s="64"/>
      <c r="U320" s="64"/>
      <c r="V320" s="64"/>
      <c r="W320" s="64"/>
      <c r="X320" s="64"/>
      <c r="Y320" s="64"/>
      <c r="Z320" s="64"/>
      <c r="AA320" s="64"/>
      <c r="AB320" s="65"/>
      <c r="AC320" s="82"/>
      <c r="AD320" s="64"/>
      <c r="AE320" s="64"/>
      <c r="AF320" s="64"/>
      <c r="AG320" s="64"/>
      <c r="AH320" s="64"/>
      <c r="AI320" s="64"/>
      <c r="AJ320" s="64"/>
      <c r="AK320" s="68"/>
      <c r="AL320" s="65"/>
      <c r="AM320" s="65"/>
      <c r="AN320" s="65"/>
    </row>
    <row r="321" spans="1:40" s="66" customFormat="1" hidden="1" x14ac:dyDescent="0.25">
      <c r="A321" s="64"/>
      <c r="B321" s="64"/>
      <c r="C321" s="64"/>
      <c r="D321" s="64"/>
      <c r="E321" s="64"/>
      <c r="F321" s="64"/>
      <c r="G321" s="64"/>
      <c r="H321" s="64"/>
      <c r="I321" s="64" t="s">
        <v>211</v>
      </c>
      <c r="J321" s="64"/>
      <c r="K321" s="64"/>
      <c r="L321" s="64"/>
      <c r="M321" s="64"/>
      <c r="N321" s="64"/>
      <c r="O321" s="64"/>
      <c r="P321" s="64"/>
      <c r="Q321" s="64"/>
      <c r="R321" s="65"/>
      <c r="S321" s="64"/>
      <c r="T321" s="64"/>
      <c r="U321" s="64"/>
      <c r="V321" s="64"/>
      <c r="W321" s="64"/>
      <c r="X321" s="64"/>
      <c r="Y321" s="64"/>
      <c r="Z321" s="64"/>
      <c r="AA321" s="64"/>
      <c r="AB321" s="65"/>
      <c r="AC321" s="82"/>
      <c r="AD321" s="64"/>
      <c r="AE321" s="64"/>
      <c r="AF321" s="64"/>
      <c r="AG321" s="64"/>
      <c r="AH321" s="64"/>
      <c r="AI321" s="64"/>
      <c r="AJ321" s="64"/>
      <c r="AK321" s="68"/>
      <c r="AL321" s="65"/>
      <c r="AM321" s="65"/>
      <c r="AN321" s="65"/>
    </row>
    <row r="322" spans="1:40" s="66" customFormat="1" hidden="1" x14ac:dyDescent="0.25">
      <c r="A322" s="64"/>
      <c r="B322" s="64"/>
      <c r="C322" s="64"/>
      <c r="D322" s="64"/>
      <c r="E322" s="64"/>
      <c r="F322" s="64"/>
      <c r="G322" s="64"/>
      <c r="H322" s="64"/>
      <c r="I322" s="64" t="s">
        <v>211</v>
      </c>
      <c r="J322" s="64"/>
      <c r="K322" s="64"/>
      <c r="L322" s="64"/>
      <c r="M322" s="64"/>
      <c r="N322" s="64"/>
      <c r="O322" s="64"/>
      <c r="P322" s="64"/>
      <c r="Q322" s="64"/>
      <c r="R322" s="65"/>
      <c r="S322" s="64"/>
      <c r="T322" s="64"/>
      <c r="U322" s="64"/>
      <c r="V322" s="64"/>
      <c r="W322" s="64"/>
      <c r="X322" s="64"/>
      <c r="Y322" s="64"/>
      <c r="Z322" s="64"/>
      <c r="AA322" s="64"/>
      <c r="AB322" s="65"/>
      <c r="AC322" s="82"/>
      <c r="AD322" s="64"/>
      <c r="AE322" s="64"/>
      <c r="AF322" s="64"/>
      <c r="AG322" s="64"/>
      <c r="AH322" s="64"/>
      <c r="AI322" s="64"/>
      <c r="AJ322" s="64"/>
      <c r="AK322" s="68"/>
      <c r="AL322" s="65"/>
      <c r="AM322" s="65"/>
      <c r="AN322" s="65"/>
    </row>
    <row r="323" spans="1:40" s="66" customFormat="1" hidden="1" x14ac:dyDescent="0.25">
      <c r="A323" s="64"/>
      <c r="B323" s="64"/>
      <c r="C323" s="64"/>
      <c r="D323" s="64"/>
      <c r="E323" s="64"/>
      <c r="F323" s="64"/>
      <c r="G323" s="64"/>
      <c r="H323" s="64"/>
      <c r="I323" s="64" t="s">
        <v>211</v>
      </c>
      <c r="J323" s="64"/>
      <c r="K323" s="64"/>
      <c r="L323" s="64"/>
      <c r="M323" s="64"/>
      <c r="N323" s="64"/>
      <c r="O323" s="64"/>
      <c r="P323" s="64"/>
      <c r="Q323" s="64"/>
      <c r="R323" s="65"/>
      <c r="S323" s="64"/>
      <c r="T323" s="64"/>
      <c r="U323" s="64"/>
      <c r="V323" s="64"/>
      <c r="W323" s="64"/>
      <c r="X323" s="64"/>
      <c r="Y323" s="64"/>
      <c r="Z323" s="64"/>
      <c r="AA323" s="64"/>
      <c r="AB323" s="65"/>
      <c r="AC323" s="82"/>
      <c r="AD323" s="64"/>
      <c r="AE323" s="64"/>
      <c r="AF323" s="64"/>
      <c r="AG323" s="64"/>
      <c r="AH323" s="64"/>
      <c r="AI323" s="64"/>
      <c r="AJ323" s="64"/>
      <c r="AK323" s="68"/>
      <c r="AL323" s="65"/>
      <c r="AM323" s="65"/>
      <c r="AN323" s="65"/>
    </row>
    <row r="324" spans="1:40" s="66" customFormat="1" hidden="1" x14ac:dyDescent="0.25">
      <c r="A324" s="64"/>
      <c r="B324" s="64"/>
      <c r="C324" s="64"/>
      <c r="D324" s="64"/>
      <c r="E324" s="64"/>
      <c r="F324" s="64"/>
      <c r="G324" s="64"/>
      <c r="H324" s="64"/>
      <c r="I324" s="64" t="s">
        <v>211</v>
      </c>
      <c r="J324" s="64"/>
      <c r="K324" s="64"/>
      <c r="L324" s="64"/>
      <c r="M324" s="64"/>
      <c r="N324" s="64"/>
      <c r="O324" s="64"/>
      <c r="P324" s="64"/>
      <c r="Q324" s="64"/>
      <c r="R324" s="65"/>
      <c r="S324" s="64"/>
      <c r="T324" s="64"/>
      <c r="U324" s="64"/>
      <c r="V324" s="64"/>
      <c r="W324" s="64"/>
      <c r="X324" s="64"/>
      <c r="Y324" s="64"/>
      <c r="Z324" s="64"/>
      <c r="AA324" s="64"/>
      <c r="AB324" s="65"/>
      <c r="AC324" s="82"/>
      <c r="AD324" s="64"/>
      <c r="AE324" s="64"/>
      <c r="AF324" s="64"/>
      <c r="AG324" s="64"/>
      <c r="AH324" s="64"/>
      <c r="AI324" s="64"/>
      <c r="AJ324" s="64"/>
      <c r="AK324" s="68"/>
      <c r="AL324" s="65"/>
      <c r="AM324" s="65"/>
      <c r="AN324" s="65"/>
    </row>
    <row r="325" spans="1:40" s="66" customFormat="1" hidden="1" x14ac:dyDescent="0.25">
      <c r="A325" s="64"/>
      <c r="B325" s="64"/>
      <c r="C325" s="64"/>
      <c r="D325" s="64"/>
      <c r="E325" s="64"/>
      <c r="F325" s="64"/>
      <c r="G325" s="64"/>
      <c r="H325" s="64"/>
      <c r="I325" s="64" t="s">
        <v>211</v>
      </c>
      <c r="J325" s="64"/>
      <c r="K325" s="64"/>
      <c r="L325" s="64"/>
      <c r="M325" s="64"/>
      <c r="N325" s="64"/>
      <c r="O325" s="64"/>
      <c r="P325" s="64"/>
      <c r="Q325" s="64"/>
      <c r="R325" s="65"/>
      <c r="S325" s="64"/>
      <c r="T325" s="64"/>
      <c r="U325" s="64"/>
      <c r="V325" s="64"/>
      <c r="W325" s="64"/>
      <c r="X325" s="64"/>
      <c r="Y325" s="64"/>
      <c r="Z325" s="64"/>
      <c r="AA325" s="64"/>
      <c r="AB325" s="65"/>
      <c r="AC325" s="82"/>
      <c r="AD325" s="64"/>
      <c r="AE325" s="64"/>
      <c r="AF325" s="64"/>
      <c r="AG325" s="64"/>
      <c r="AH325" s="64"/>
      <c r="AI325" s="64"/>
      <c r="AJ325" s="64"/>
      <c r="AK325" s="68"/>
      <c r="AL325" s="65"/>
      <c r="AM325" s="65"/>
      <c r="AN325" s="65"/>
    </row>
    <row r="326" spans="1:40" s="66" customFormat="1" hidden="1" x14ac:dyDescent="0.25">
      <c r="A326" s="64"/>
      <c r="B326" s="64"/>
      <c r="C326" s="64"/>
      <c r="D326" s="64"/>
      <c r="E326" s="64"/>
      <c r="F326" s="64"/>
      <c r="G326" s="64"/>
      <c r="H326" s="64"/>
      <c r="I326" s="64" t="s">
        <v>211</v>
      </c>
      <c r="J326" s="64"/>
      <c r="K326" s="64"/>
      <c r="L326" s="64"/>
      <c r="M326" s="64"/>
      <c r="N326" s="64"/>
      <c r="O326" s="64"/>
      <c r="P326" s="64"/>
      <c r="Q326" s="64"/>
      <c r="R326" s="65"/>
      <c r="S326" s="64"/>
      <c r="T326" s="64"/>
      <c r="U326" s="64"/>
      <c r="V326" s="64"/>
      <c r="W326" s="64"/>
      <c r="X326" s="64"/>
      <c r="Y326" s="64"/>
      <c r="Z326" s="64"/>
      <c r="AA326" s="64"/>
      <c r="AB326" s="65"/>
      <c r="AC326" s="82"/>
      <c r="AD326" s="64"/>
      <c r="AE326" s="64"/>
      <c r="AF326" s="64"/>
      <c r="AG326" s="64"/>
      <c r="AH326" s="64"/>
      <c r="AI326" s="64"/>
      <c r="AJ326" s="64"/>
      <c r="AK326" s="68"/>
      <c r="AL326" s="65"/>
      <c r="AM326" s="65"/>
      <c r="AN326" s="65"/>
    </row>
    <row r="327" spans="1:40" s="66" customFormat="1" hidden="1" x14ac:dyDescent="0.25">
      <c r="A327" s="64"/>
      <c r="B327" s="64"/>
      <c r="C327" s="64"/>
      <c r="D327" s="64"/>
      <c r="E327" s="64"/>
      <c r="F327" s="64"/>
      <c r="G327" s="64"/>
      <c r="H327" s="64"/>
      <c r="I327" s="64" t="s">
        <v>211</v>
      </c>
      <c r="J327" s="64"/>
      <c r="K327" s="64"/>
      <c r="L327" s="64"/>
      <c r="M327" s="64"/>
      <c r="N327" s="64"/>
      <c r="O327" s="64"/>
      <c r="P327" s="64"/>
      <c r="Q327" s="64"/>
      <c r="R327" s="65"/>
      <c r="S327" s="64"/>
      <c r="T327" s="64"/>
      <c r="U327" s="64"/>
      <c r="V327" s="64"/>
      <c r="W327" s="64"/>
      <c r="X327" s="64"/>
      <c r="Y327" s="64"/>
      <c r="Z327" s="64"/>
      <c r="AA327" s="64"/>
      <c r="AB327" s="65"/>
      <c r="AC327" s="82"/>
      <c r="AD327" s="64"/>
      <c r="AE327" s="64"/>
      <c r="AF327" s="64"/>
      <c r="AG327" s="64"/>
      <c r="AH327" s="64"/>
      <c r="AI327" s="64"/>
      <c r="AJ327" s="64"/>
      <c r="AK327" s="68"/>
      <c r="AL327" s="65"/>
      <c r="AM327" s="65"/>
      <c r="AN327" s="65"/>
    </row>
    <row r="328" spans="1:40" s="66" customFormat="1" hidden="1" x14ac:dyDescent="0.25">
      <c r="A328" s="64"/>
      <c r="B328" s="64"/>
      <c r="C328" s="64"/>
      <c r="D328" s="64"/>
      <c r="E328" s="64"/>
      <c r="F328" s="64"/>
      <c r="G328" s="64"/>
      <c r="H328" s="64"/>
      <c r="I328" s="64" t="s">
        <v>211</v>
      </c>
      <c r="J328" s="64"/>
      <c r="K328" s="64"/>
      <c r="L328" s="64"/>
      <c r="M328" s="64"/>
      <c r="N328" s="64"/>
      <c r="O328" s="64"/>
      <c r="P328" s="64"/>
      <c r="Q328" s="64"/>
      <c r="R328" s="65"/>
      <c r="S328" s="64"/>
      <c r="T328" s="64"/>
      <c r="U328" s="64"/>
      <c r="V328" s="64"/>
      <c r="W328" s="64"/>
      <c r="X328" s="64"/>
      <c r="Y328" s="64"/>
      <c r="Z328" s="64"/>
      <c r="AA328" s="64"/>
      <c r="AB328" s="65"/>
      <c r="AC328" s="82"/>
      <c r="AD328" s="64"/>
      <c r="AE328" s="64"/>
      <c r="AF328" s="64"/>
      <c r="AG328" s="64"/>
      <c r="AH328" s="64"/>
      <c r="AI328" s="64"/>
      <c r="AJ328" s="64"/>
      <c r="AK328" s="68"/>
      <c r="AL328" s="65"/>
      <c r="AM328" s="65"/>
      <c r="AN328" s="65"/>
    </row>
    <row r="329" spans="1:40" s="66" customFormat="1" hidden="1" x14ac:dyDescent="0.25">
      <c r="A329" s="64"/>
      <c r="B329" s="64"/>
      <c r="C329" s="64"/>
      <c r="D329" s="64"/>
      <c r="E329" s="64"/>
      <c r="F329" s="64"/>
      <c r="G329" s="64"/>
      <c r="H329" s="64"/>
      <c r="I329" s="64" t="s">
        <v>211</v>
      </c>
      <c r="J329" s="64"/>
      <c r="K329" s="64"/>
      <c r="L329" s="64"/>
      <c r="M329" s="64"/>
      <c r="N329" s="64"/>
      <c r="O329" s="64"/>
      <c r="P329" s="64"/>
      <c r="Q329" s="64"/>
      <c r="R329" s="65"/>
      <c r="S329" s="64"/>
      <c r="T329" s="64"/>
      <c r="U329" s="64"/>
      <c r="V329" s="64"/>
      <c r="W329" s="64"/>
      <c r="X329" s="64"/>
      <c r="Y329" s="64"/>
      <c r="Z329" s="64"/>
      <c r="AA329" s="64"/>
      <c r="AB329" s="65"/>
      <c r="AC329" s="82"/>
      <c r="AD329" s="64"/>
      <c r="AE329" s="64"/>
      <c r="AF329" s="64"/>
      <c r="AG329" s="64"/>
      <c r="AH329" s="64"/>
      <c r="AI329" s="64"/>
      <c r="AJ329" s="64"/>
      <c r="AK329" s="68"/>
      <c r="AL329" s="65"/>
      <c r="AM329" s="65"/>
      <c r="AN329" s="65"/>
    </row>
    <row r="330" spans="1:40" s="66" customFormat="1" hidden="1" x14ac:dyDescent="0.25">
      <c r="A330" s="64"/>
      <c r="B330" s="64"/>
      <c r="C330" s="64"/>
      <c r="D330" s="64"/>
      <c r="E330" s="64"/>
      <c r="F330" s="64"/>
      <c r="G330" s="64"/>
      <c r="H330" s="64"/>
      <c r="I330" s="64" t="s">
        <v>211</v>
      </c>
      <c r="J330" s="64"/>
      <c r="K330" s="64"/>
      <c r="L330" s="64"/>
      <c r="M330" s="64"/>
      <c r="N330" s="64"/>
      <c r="O330" s="64"/>
      <c r="P330" s="64"/>
      <c r="Q330" s="64"/>
      <c r="R330" s="65"/>
      <c r="S330" s="64"/>
      <c r="T330" s="64"/>
      <c r="U330" s="64"/>
      <c r="V330" s="64"/>
      <c r="W330" s="64"/>
      <c r="X330" s="64"/>
      <c r="Y330" s="64"/>
      <c r="Z330" s="64"/>
      <c r="AA330" s="64"/>
      <c r="AB330" s="65"/>
      <c r="AC330" s="82"/>
      <c r="AD330" s="64"/>
      <c r="AE330" s="64"/>
      <c r="AF330" s="64"/>
      <c r="AG330" s="64"/>
      <c r="AH330" s="64"/>
      <c r="AI330" s="64"/>
      <c r="AJ330" s="64"/>
      <c r="AK330" s="68"/>
      <c r="AL330" s="65"/>
      <c r="AM330" s="65"/>
      <c r="AN330" s="65"/>
    </row>
    <row r="331" spans="1:40" s="66" customFormat="1" hidden="1" x14ac:dyDescent="0.25">
      <c r="A331" s="64"/>
      <c r="B331" s="64"/>
      <c r="C331" s="64"/>
      <c r="D331" s="64"/>
      <c r="E331" s="64"/>
      <c r="F331" s="64"/>
      <c r="G331" s="64"/>
      <c r="H331" s="64"/>
      <c r="I331" s="64" t="s">
        <v>211</v>
      </c>
      <c r="J331" s="64"/>
      <c r="K331" s="64"/>
      <c r="L331" s="64"/>
      <c r="M331" s="64"/>
      <c r="N331" s="64"/>
      <c r="O331" s="64"/>
      <c r="P331" s="64"/>
      <c r="Q331" s="64"/>
      <c r="R331" s="65"/>
      <c r="S331" s="64"/>
      <c r="T331" s="64"/>
      <c r="U331" s="64"/>
      <c r="V331" s="64"/>
      <c r="W331" s="64"/>
      <c r="X331" s="64"/>
      <c r="Y331" s="64"/>
      <c r="Z331" s="64"/>
      <c r="AA331" s="64"/>
      <c r="AB331" s="65"/>
      <c r="AC331" s="82"/>
      <c r="AD331" s="64"/>
      <c r="AE331" s="64"/>
      <c r="AF331" s="64"/>
      <c r="AG331" s="64"/>
      <c r="AH331" s="64"/>
      <c r="AI331" s="64"/>
      <c r="AJ331" s="64"/>
      <c r="AK331" s="68"/>
      <c r="AL331" s="65"/>
      <c r="AM331" s="65"/>
      <c r="AN331" s="65"/>
    </row>
    <row r="332" spans="1:40" s="66" customFormat="1" hidden="1" x14ac:dyDescent="0.25">
      <c r="A332" s="64"/>
      <c r="B332" s="64"/>
      <c r="C332" s="64"/>
      <c r="D332" s="64"/>
      <c r="E332" s="64"/>
      <c r="F332" s="64"/>
      <c r="G332" s="64"/>
      <c r="H332" s="64"/>
      <c r="I332" s="64" t="s">
        <v>211</v>
      </c>
      <c r="J332" s="64"/>
      <c r="K332" s="64"/>
      <c r="L332" s="64"/>
      <c r="M332" s="64"/>
      <c r="N332" s="64"/>
      <c r="O332" s="64"/>
      <c r="P332" s="64"/>
      <c r="Q332" s="64"/>
      <c r="R332" s="65"/>
      <c r="S332" s="64"/>
      <c r="T332" s="64"/>
      <c r="U332" s="64"/>
      <c r="V332" s="64"/>
      <c r="W332" s="64"/>
      <c r="X332" s="64"/>
      <c r="Y332" s="64"/>
      <c r="Z332" s="64"/>
      <c r="AA332" s="64"/>
      <c r="AB332" s="65"/>
      <c r="AC332" s="82"/>
      <c r="AD332" s="64"/>
      <c r="AE332" s="64"/>
      <c r="AF332" s="64"/>
      <c r="AG332" s="64"/>
      <c r="AH332" s="64"/>
      <c r="AI332" s="64"/>
      <c r="AJ332" s="64"/>
      <c r="AK332" s="68"/>
      <c r="AL332" s="65"/>
      <c r="AM332" s="65"/>
      <c r="AN332" s="65"/>
    </row>
    <row r="333" spans="1:40" s="66" customFormat="1" hidden="1" x14ac:dyDescent="0.25">
      <c r="A333" s="64"/>
      <c r="B333" s="64"/>
      <c r="C333" s="64"/>
      <c r="D333" s="64"/>
      <c r="E333" s="64"/>
      <c r="F333" s="64"/>
      <c r="G333" s="64"/>
      <c r="H333" s="64"/>
      <c r="I333" s="64" t="s">
        <v>211</v>
      </c>
      <c r="J333" s="64"/>
      <c r="K333" s="64"/>
      <c r="L333" s="64"/>
      <c r="M333" s="64"/>
      <c r="N333" s="64"/>
      <c r="O333" s="64"/>
      <c r="P333" s="64"/>
      <c r="Q333" s="64"/>
      <c r="R333" s="65"/>
      <c r="S333" s="64"/>
      <c r="T333" s="64"/>
      <c r="U333" s="64"/>
      <c r="V333" s="64"/>
      <c r="W333" s="64"/>
      <c r="X333" s="64"/>
      <c r="Y333" s="64"/>
      <c r="Z333" s="64"/>
      <c r="AA333" s="64"/>
      <c r="AB333" s="65"/>
      <c r="AC333" s="82"/>
      <c r="AD333" s="64"/>
      <c r="AE333" s="64"/>
      <c r="AF333" s="64"/>
      <c r="AG333" s="64"/>
      <c r="AH333" s="64"/>
      <c r="AI333" s="64"/>
      <c r="AJ333" s="64"/>
      <c r="AK333" s="68"/>
      <c r="AL333" s="65"/>
      <c r="AM333" s="65"/>
      <c r="AN333" s="65"/>
    </row>
    <row r="334" spans="1:40" s="66" customFormat="1" hidden="1" x14ac:dyDescent="0.25">
      <c r="A334" s="64" t="s">
        <v>211</v>
      </c>
      <c r="B334" s="64" t="s">
        <v>211</v>
      </c>
      <c r="C334" s="64" t="s">
        <v>211</v>
      </c>
      <c r="D334" s="64"/>
      <c r="E334" s="64"/>
      <c r="F334" s="64"/>
      <c r="G334" s="64"/>
      <c r="H334" s="64"/>
      <c r="I334" s="64"/>
      <c r="J334" s="64"/>
      <c r="K334" s="64"/>
      <c r="L334" s="64"/>
      <c r="M334" s="64"/>
      <c r="N334" s="64"/>
      <c r="O334" s="64"/>
      <c r="P334" s="64"/>
      <c r="Q334" s="64"/>
      <c r="R334" s="65"/>
      <c r="S334" s="64"/>
      <c r="T334" s="64"/>
      <c r="U334" s="64"/>
      <c r="V334" s="64"/>
      <c r="W334" s="64"/>
      <c r="X334" s="64"/>
      <c r="Y334" s="64"/>
      <c r="Z334" s="64"/>
      <c r="AA334" s="64"/>
      <c r="AB334" s="65"/>
      <c r="AC334" s="82"/>
      <c r="AD334" s="64"/>
      <c r="AE334" s="93"/>
      <c r="AF334" s="93"/>
      <c r="AG334" s="93"/>
      <c r="AH334" s="93"/>
      <c r="AI334" s="93"/>
      <c r="AJ334" s="93"/>
      <c r="AK334" s="94"/>
      <c r="AL334" s="93"/>
      <c r="AM334" s="93"/>
      <c r="AN334" s="93"/>
    </row>
    <row r="335" spans="1:40" s="66" customFormat="1" ht="15.75" hidden="1" x14ac:dyDescent="0.25">
      <c r="A335" s="64" t="s">
        <v>211</v>
      </c>
      <c r="B335" s="64" t="s">
        <v>211</v>
      </c>
      <c r="C335" s="64" t="s">
        <v>211</v>
      </c>
      <c r="D335" s="103" t="s">
        <v>211</v>
      </c>
      <c r="E335" s="64" t="s">
        <v>211</v>
      </c>
      <c r="F335" s="64" t="s">
        <v>211</v>
      </c>
      <c r="G335" s="103" t="s">
        <v>211</v>
      </c>
      <c r="H335" s="78" t="s">
        <v>211</v>
      </c>
      <c r="I335" s="64" t="s">
        <v>211</v>
      </c>
      <c r="J335" s="78" t="s">
        <v>211</v>
      </c>
      <c r="K335" s="64" t="s">
        <v>211</v>
      </c>
      <c r="L335" s="64" t="s">
        <v>211</v>
      </c>
      <c r="M335" s="64"/>
      <c r="N335" s="64" t="s">
        <v>1290</v>
      </c>
      <c r="O335" s="64" t="s">
        <v>211</v>
      </c>
      <c r="P335" s="64" t="s">
        <v>211</v>
      </c>
      <c r="Q335" s="64"/>
      <c r="R335" s="65" t="s">
        <v>211</v>
      </c>
      <c r="S335" s="64"/>
      <c r="T335" s="64" t="s">
        <v>211</v>
      </c>
      <c r="U335" s="64" t="s">
        <v>211</v>
      </c>
      <c r="V335" s="64" t="s">
        <v>211</v>
      </c>
      <c r="W335" s="64" t="s">
        <v>211</v>
      </c>
      <c r="X335" s="64" t="s">
        <v>211</v>
      </c>
      <c r="Y335" s="79" t="s">
        <v>211</v>
      </c>
      <c r="Z335" s="64" t="s">
        <v>211</v>
      </c>
      <c r="AA335" s="64" t="s">
        <v>211</v>
      </c>
      <c r="AB335" s="65"/>
      <c r="AC335" s="82" t="s">
        <v>211</v>
      </c>
      <c r="AD335" s="64" t="s">
        <v>211</v>
      </c>
      <c r="AE335" s="64" t="s">
        <v>211</v>
      </c>
      <c r="AF335" s="64" t="s">
        <v>211</v>
      </c>
      <c r="AG335" s="64"/>
      <c r="AH335" s="64"/>
      <c r="AI335" s="64"/>
      <c r="AJ335" s="64"/>
      <c r="AK335" s="90"/>
      <c r="AL335" s="65"/>
      <c r="AM335" s="65"/>
      <c r="AN335" s="65"/>
    </row>
    <row r="336" spans="1:40" s="66" customFormat="1" hidden="1" x14ac:dyDescent="0.25">
      <c r="A336" s="64" t="s">
        <v>211</v>
      </c>
      <c r="B336" s="64" t="s">
        <v>211</v>
      </c>
      <c r="C336" s="64" t="s">
        <v>211</v>
      </c>
      <c r="D336" s="64"/>
      <c r="E336" s="64"/>
      <c r="F336" s="64"/>
      <c r="G336" s="64"/>
      <c r="H336" s="64"/>
      <c r="I336" s="64"/>
      <c r="J336" s="64"/>
      <c r="K336" s="64"/>
      <c r="L336" s="64"/>
      <c r="M336" s="64"/>
      <c r="N336" s="64"/>
      <c r="O336" s="64"/>
      <c r="P336" s="64"/>
      <c r="Q336" s="64"/>
      <c r="R336" s="65"/>
      <c r="S336" s="64"/>
      <c r="T336" s="64"/>
      <c r="U336" s="64"/>
      <c r="V336" s="64"/>
      <c r="W336" s="64"/>
      <c r="X336" s="64"/>
      <c r="Y336" s="64"/>
      <c r="Z336" s="64"/>
      <c r="AA336" s="64"/>
      <c r="AB336" s="65"/>
      <c r="AC336" s="82"/>
      <c r="AD336" s="64"/>
      <c r="AE336" s="64"/>
      <c r="AF336" s="64"/>
      <c r="AG336" s="64"/>
      <c r="AH336" s="64"/>
      <c r="AI336" s="64"/>
      <c r="AJ336" s="64"/>
      <c r="AK336" s="90"/>
      <c r="AL336" s="65"/>
      <c r="AM336" s="65"/>
      <c r="AN336" s="65"/>
    </row>
    <row r="337" spans="1:40" s="66" customFormat="1" hidden="1" x14ac:dyDescent="0.25">
      <c r="A337" s="65" t="s">
        <v>211</v>
      </c>
      <c r="B337" s="65" t="s">
        <v>211</v>
      </c>
      <c r="C337" s="65" t="s">
        <v>211</v>
      </c>
      <c r="D337" s="64" t="s">
        <v>211</v>
      </c>
      <c r="E337" s="64" t="s">
        <v>211</v>
      </c>
      <c r="F337" s="65" t="s">
        <v>211</v>
      </c>
      <c r="G337" s="64" t="s">
        <v>211</v>
      </c>
      <c r="H337" s="64"/>
      <c r="I337" s="64" t="s">
        <v>211</v>
      </c>
      <c r="J337" s="64"/>
      <c r="K337" s="64"/>
      <c r="L337" s="64"/>
      <c r="M337" s="64"/>
      <c r="N337" s="64"/>
      <c r="O337" s="64"/>
      <c r="P337" s="64"/>
      <c r="Q337" s="64"/>
      <c r="R337" s="65"/>
      <c r="S337" s="64"/>
      <c r="T337" s="64"/>
      <c r="U337" s="64"/>
      <c r="V337" s="64"/>
      <c r="W337" s="64"/>
      <c r="X337" s="64"/>
      <c r="Y337" s="64"/>
      <c r="Z337" s="64"/>
      <c r="AA337" s="64"/>
      <c r="AB337" s="65"/>
      <c r="AC337" s="82"/>
      <c r="AD337" s="64"/>
      <c r="AE337" s="64"/>
      <c r="AF337" s="64"/>
      <c r="AG337" s="64"/>
      <c r="AH337" s="64"/>
      <c r="AI337" s="64"/>
      <c r="AJ337" s="64"/>
      <c r="AK337" s="90"/>
      <c r="AL337" s="65"/>
      <c r="AM337" s="65"/>
      <c r="AN337" s="65"/>
    </row>
    <row r="340" spans="1:40" s="66" customFormat="1" x14ac:dyDescent="0.25">
      <c r="A340" s="64"/>
      <c r="B340" s="64"/>
      <c r="C340" s="64"/>
      <c r="D340" s="64"/>
      <c r="E340" s="64"/>
      <c r="F340" s="64"/>
      <c r="G340" s="64"/>
      <c r="H340" s="64"/>
      <c r="I340" s="64"/>
      <c r="J340" s="64"/>
      <c r="K340" s="64"/>
      <c r="L340" s="64"/>
      <c r="M340" s="64"/>
      <c r="N340" s="64"/>
      <c r="O340" s="64"/>
      <c r="P340" s="64"/>
      <c r="Q340" s="64"/>
      <c r="R340" s="65"/>
      <c r="S340" s="64"/>
      <c r="T340" s="64"/>
      <c r="U340" s="64"/>
      <c r="V340" s="64"/>
      <c r="W340" s="64"/>
      <c r="X340" s="64"/>
      <c r="Y340" s="64"/>
      <c r="Z340" s="64"/>
      <c r="AA340" s="64"/>
      <c r="AB340" s="65"/>
      <c r="AC340" s="82"/>
      <c r="AD340" s="64"/>
      <c r="AE340" s="64"/>
      <c r="AF340" s="64"/>
      <c r="AG340" s="64"/>
      <c r="AH340" s="64"/>
      <c r="AI340" s="64"/>
      <c r="AJ340" s="64"/>
      <c r="AK340" s="90"/>
      <c r="AL340" s="65"/>
      <c r="AM340" s="65"/>
      <c r="AN340" s="65"/>
    </row>
    <row r="341" spans="1:40" s="66" customFormat="1" x14ac:dyDescent="0.25">
      <c r="A341" s="64"/>
      <c r="B341" s="64"/>
      <c r="C341" s="64"/>
      <c r="D341" s="64"/>
      <c r="E341" s="64"/>
      <c r="F341" s="64"/>
      <c r="G341" s="64"/>
      <c r="H341" s="64"/>
      <c r="I341" s="64"/>
      <c r="J341" s="64"/>
      <c r="K341" s="64"/>
      <c r="L341" s="64"/>
      <c r="M341" s="64"/>
      <c r="N341" s="64"/>
      <c r="O341" s="64"/>
      <c r="P341" s="64"/>
      <c r="Q341" s="64"/>
      <c r="R341" s="65"/>
      <c r="S341" s="64"/>
      <c r="T341" s="64"/>
      <c r="U341" s="64"/>
      <c r="V341" s="64"/>
      <c r="W341" s="64"/>
      <c r="X341" s="64"/>
      <c r="Y341" s="64"/>
      <c r="Z341" s="64"/>
      <c r="AA341" s="64"/>
      <c r="AB341" s="65"/>
      <c r="AC341" s="82"/>
      <c r="AD341" s="64"/>
      <c r="AE341" s="64"/>
      <c r="AF341" s="64"/>
      <c r="AG341" s="64"/>
      <c r="AH341" s="64"/>
      <c r="AI341" s="64"/>
      <c r="AJ341" s="64"/>
      <c r="AK341" s="90"/>
      <c r="AL341" s="65"/>
      <c r="AM341" s="65"/>
      <c r="AN341" s="65"/>
    </row>
    <row r="342" spans="1:40" s="66" customFormat="1" x14ac:dyDescent="0.25">
      <c r="A342" s="64"/>
      <c r="B342" s="64"/>
      <c r="C342" s="64"/>
      <c r="D342" s="64"/>
      <c r="E342" s="64"/>
      <c r="F342" s="64"/>
      <c r="G342" s="64"/>
      <c r="H342" s="64"/>
      <c r="I342" s="64"/>
      <c r="J342" s="64"/>
      <c r="K342" s="64"/>
      <c r="L342" s="64"/>
      <c r="M342" s="64"/>
      <c r="N342" s="64"/>
      <c r="O342" s="64"/>
      <c r="P342" s="64"/>
      <c r="Q342" s="64"/>
      <c r="R342" s="65"/>
      <c r="S342" s="64"/>
      <c r="T342" s="64"/>
      <c r="U342" s="64"/>
      <c r="V342" s="64"/>
      <c r="W342" s="64"/>
      <c r="X342" s="64"/>
      <c r="Y342" s="64"/>
      <c r="Z342" s="64"/>
      <c r="AA342" s="64"/>
      <c r="AB342" s="65"/>
      <c r="AC342" s="82"/>
      <c r="AD342" s="64"/>
      <c r="AE342" s="64"/>
      <c r="AF342" s="64"/>
      <c r="AG342" s="64"/>
      <c r="AH342" s="64"/>
      <c r="AI342" s="64"/>
      <c r="AJ342" s="64"/>
      <c r="AK342" s="90"/>
      <c r="AL342" s="65"/>
      <c r="AM342" s="65"/>
      <c r="AN342" s="65"/>
    </row>
    <row r="343" spans="1:40" s="66" customFormat="1" x14ac:dyDescent="0.25">
      <c r="A343" s="64"/>
      <c r="B343" s="64"/>
      <c r="C343" s="64"/>
      <c r="D343" s="64"/>
      <c r="E343" s="64"/>
      <c r="F343" s="64"/>
      <c r="G343" s="64"/>
      <c r="H343" s="64"/>
      <c r="I343" s="64"/>
      <c r="J343" s="64"/>
      <c r="K343" s="64"/>
      <c r="L343" s="64"/>
      <c r="M343" s="64"/>
      <c r="N343" s="64"/>
      <c r="O343" s="64"/>
      <c r="P343" s="64"/>
      <c r="Q343" s="64"/>
      <c r="R343" s="65"/>
      <c r="S343" s="64"/>
      <c r="T343" s="64"/>
      <c r="U343" s="64"/>
      <c r="V343" s="64"/>
      <c r="W343" s="64"/>
      <c r="X343" s="64"/>
      <c r="Y343" s="64"/>
      <c r="Z343" s="64"/>
      <c r="AA343" s="64"/>
      <c r="AB343" s="65"/>
      <c r="AC343" s="82"/>
      <c r="AD343" s="64"/>
      <c r="AE343" s="64"/>
      <c r="AF343" s="64"/>
      <c r="AG343" s="64"/>
      <c r="AH343" s="64"/>
      <c r="AI343" s="64"/>
      <c r="AJ343" s="64"/>
      <c r="AK343" s="90"/>
      <c r="AL343" s="65"/>
      <c r="AM343" s="65"/>
      <c r="AN343" s="65"/>
    </row>
    <row r="344" spans="1:40" s="66" customFormat="1" x14ac:dyDescent="0.25">
      <c r="A344" s="64"/>
      <c r="B344" s="64"/>
      <c r="C344" s="64"/>
      <c r="D344" s="64"/>
      <c r="E344" s="64"/>
      <c r="F344" s="64"/>
      <c r="G344" s="64"/>
      <c r="H344" s="64"/>
      <c r="I344" s="64"/>
      <c r="J344" s="64"/>
      <c r="K344" s="64"/>
      <c r="L344" s="64"/>
      <c r="M344" s="64"/>
      <c r="N344" s="64"/>
      <c r="O344" s="64"/>
      <c r="P344" s="64"/>
      <c r="Q344" s="64"/>
      <c r="R344" s="65"/>
      <c r="S344" s="64"/>
      <c r="T344" s="64"/>
      <c r="U344" s="64"/>
      <c r="V344" s="64"/>
      <c r="W344" s="64"/>
      <c r="X344" s="64"/>
      <c r="Y344" s="64"/>
      <c r="Z344" s="64"/>
      <c r="AA344" s="64"/>
      <c r="AB344" s="65"/>
      <c r="AC344" s="82"/>
      <c r="AD344" s="64"/>
      <c r="AE344" s="64"/>
      <c r="AF344" s="64"/>
      <c r="AG344" s="64"/>
      <c r="AH344" s="64"/>
      <c r="AI344" s="64"/>
      <c r="AJ344" s="64"/>
      <c r="AK344" s="90"/>
      <c r="AL344" s="65"/>
      <c r="AM344" s="65"/>
      <c r="AN344" s="65"/>
    </row>
    <row r="345" spans="1:40" s="66" customFormat="1" x14ac:dyDescent="0.25">
      <c r="A345" s="64"/>
      <c r="B345" s="64"/>
      <c r="C345" s="64"/>
      <c r="D345" s="64"/>
      <c r="E345" s="64"/>
      <c r="F345" s="64"/>
      <c r="G345" s="64"/>
      <c r="H345" s="64"/>
      <c r="I345" s="64"/>
      <c r="J345" s="64"/>
      <c r="K345" s="64"/>
      <c r="L345" s="64"/>
      <c r="M345" s="64"/>
      <c r="N345" s="64"/>
      <c r="O345" s="64"/>
      <c r="P345" s="64"/>
      <c r="Q345" s="64"/>
      <c r="R345" s="65"/>
      <c r="S345" s="64"/>
      <c r="T345" s="64"/>
      <c r="U345" s="64"/>
      <c r="V345" s="64"/>
      <c r="W345" s="64"/>
      <c r="X345" s="64"/>
      <c r="Y345" s="64"/>
      <c r="Z345" s="64"/>
      <c r="AA345" s="64"/>
      <c r="AB345" s="65"/>
      <c r="AC345" s="82"/>
      <c r="AD345" s="64"/>
      <c r="AE345" s="64"/>
      <c r="AF345" s="64"/>
      <c r="AG345" s="64"/>
      <c r="AH345" s="64"/>
      <c r="AI345" s="64"/>
      <c r="AJ345" s="64"/>
      <c r="AK345" s="90"/>
      <c r="AL345" s="65"/>
      <c r="AM345" s="65"/>
      <c r="AN345" s="65"/>
    </row>
    <row r="346" spans="1:40" s="66" customFormat="1" x14ac:dyDescent="0.25">
      <c r="A346" s="64"/>
      <c r="B346" s="64"/>
      <c r="C346" s="64"/>
      <c r="D346" s="64"/>
      <c r="E346" s="64"/>
      <c r="F346" s="64"/>
      <c r="G346" s="64"/>
      <c r="H346" s="64"/>
      <c r="I346" s="64"/>
      <c r="J346" s="64"/>
      <c r="K346" s="64"/>
      <c r="L346" s="64"/>
      <c r="M346" s="64"/>
      <c r="N346" s="64"/>
      <c r="O346" s="64"/>
      <c r="P346" s="64"/>
      <c r="Q346" s="64"/>
      <c r="R346" s="65"/>
      <c r="S346" s="64"/>
      <c r="T346" s="64"/>
      <c r="U346" s="64"/>
      <c r="V346" s="64"/>
      <c r="W346" s="64"/>
      <c r="X346" s="64"/>
      <c r="Y346" s="64"/>
      <c r="Z346" s="64"/>
      <c r="AA346" s="64"/>
      <c r="AB346" s="65"/>
      <c r="AC346" s="82"/>
      <c r="AD346" s="64"/>
      <c r="AE346" s="64"/>
      <c r="AF346" s="64"/>
      <c r="AG346" s="64"/>
      <c r="AH346" s="64"/>
      <c r="AI346" s="64"/>
      <c r="AJ346" s="64"/>
      <c r="AK346" s="90"/>
      <c r="AL346" s="65"/>
      <c r="AM346" s="65"/>
      <c r="AN346" s="65"/>
    </row>
    <row r="347" spans="1:40" s="66" customFormat="1" x14ac:dyDescent="0.25">
      <c r="A347" s="64"/>
      <c r="B347" s="64"/>
      <c r="C347" s="64"/>
      <c r="D347" s="64"/>
      <c r="E347" s="64"/>
      <c r="F347" s="64"/>
      <c r="G347" s="64"/>
      <c r="H347" s="64"/>
      <c r="I347" s="64"/>
      <c r="J347" s="64"/>
      <c r="K347" s="64"/>
      <c r="L347" s="64"/>
      <c r="M347" s="64"/>
      <c r="N347" s="64"/>
      <c r="O347" s="64"/>
      <c r="P347" s="64"/>
      <c r="Q347" s="64"/>
      <c r="R347" s="65"/>
      <c r="S347" s="64"/>
      <c r="T347" s="64"/>
      <c r="U347" s="64"/>
      <c r="V347" s="64"/>
      <c r="W347" s="64"/>
      <c r="X347" s="64"/>
      <c r="Y347" s="64"/>
      <c r="Z347" s="64"/>
      <c r="AA347" s="64"/>
      <c r="AB347" s="65"/>
      <c r="AC347" s="82"/>
      <c r="AD347" s="64"/>
      <c r="AE347" s="64"/>
      <c r="AF347" s="64"/>
      <c r="AG347" s="64"/>
      <c r="AH347" s="64"/>
      <c r="AI347" s="64"/>
      <c r="AJ347" s="64"/>
      <c r="AK347" s="90"/>
      <c r="AL347" s="65"/>
      <c r="AM347" s="65"/>
      <c r="AN347" s="65"/>
    </row>
    <row r="348" spans="1:40" s="66" customFormat="1" x14ac:dyDescent="0.25">
      <c r="A348" s="64"/>
      <c r="B348" s="64"/>
      <c r="C348" s="64"/>
      <c r="D348" s="64"/>
      <c r="E348" s="64"/>
      <c r="F348" s="64"/>
      <c r="G348" s="64"/>
      <c r="H348" s="64"/>
      <c r="I348" s="64"/>
      <c r="J348" s="64"/>
      <c r="K348" s="64"/>
      <c r="L348" s="64"/>
      <c r="M348" s="64"/>
      <c r="N348" s="64"/>
      <c r="O348" s="64"/>
      <c r="P348" s="64"/>
      <c r="Q348" s="64"/>
      <c r="R348" s="65"/>
      <c r="S348" s="64"/>
      <c r="T348" s="64"/>
      <c r="U348" s="64"/>
      <c r="V348" s="64"/>
      <c r="W348" s="64"/>
      <c r="X348" s="64"/>
      <c r="Y348" s="64"/>
      <c r="Z348" s="64"/>
      <c r="AA348" s="64"/>
      <c r="AB348" s="65"/>
      <c r="AC348" s="82"/>
      <c r="AD348" s="64"/>
      <c r="AE348" s="64"/>
      <c r="AF348" s="64"/>
      <c r="AG348" s="64"/>
      <c r="AH348" s="64"/>
      <c r="AI348" s="64"/>
      <c r="AJ348" s="64"/>
      <c r="AK348" s="90"/>
      <c r="AL348" s="65"/>
      <c r="AM348" s="65"/>
      <c r="AN348" s="65"/>
    </row>
    <row r="349" spans="1:40" s="66" customFormat="1" x14ac:dyDescent="0.25">
      <c r="A349" s="64"/>
      <c r="B349" s="64"/>
      <c r="C349" s="64"/>
      <c r="D349" s="64"/>
      <c r="E349" s="64"/>
      <c r="F349" s="64"/>
      <c r="G349" s="64"/>
      <c r="H349" s="64"/>
      <c r="I349" s="64"/>
      <c r="J349" s="64"/>
      <c r="K349" s="64"/>
      <c r="L349" s="64"/>
      <c r="M349" s="64"/>
      <c r="N349" s="64"/>
      <c r="O349" s="64"/>
      <c r="P349" s="64"/>
      <c r="Q349" s="64"/>
      <c r="R349" s="65"/>
      <c r="S349" s="64"/>
      <c r="T349" s="64"/>
      <c r="U349" s="64"/>
      <c r="V349" s="64"/>
      <c r="W349" s="64"/>
      <c r="X349" s="64"/>
      <c r="Y349" s="64"/>
      <c r="Z349" s="64"/>
      <c r="AA349" s="64"/>
      <c r="AB349" s="65"/>
      <c r="AC349" s="82"/>
      <c r="AD349" s="64"/>
      <c r="AE349" s="64"/>
      <c r="AF349" s="64"/>
      <c r="AG349" s="64"/>
      <c r="AH349" s="64"/>
      <c r="AI349" s="64"/>
      <c r="AJ349" s="64"/>
      <c r="AK349" s="90"/>
      <c r="AL349" s="65"/>
      <c r="AM349" s="65"/>
      <c r="AN349" s="65"/>
    </row>
    <row r="350" spans="1:40" s="66" customFormat="1" x14ac:dyDescent="0.25">
      <c r="A350" s="64"/>
      <c r="B350" s="64"/>
      <c r="C350" s="64"/>
      <c r="D350" s="64"/>
      <c r="E350" s="64"/>
      <c r="F350" s="64"/>
      <c r="G350" s="64"/>
      <c r="H350" s="64"/>
      <c r="I350" s="64"/>
      <c r="J350" s="64"/>
      <c r="K350" s="64"/>
      <c r="L350" s="64"/>
      <c r="M350" s="64"/>
      <c r="N350" s="64"/>
      <c r="O350" s="64"/>
      <c r="P350" s="64"/>
      <c r="Q350" s="64"/>
      <c r="R350" s="65"/>
      <c r="S350" s="64"/>
      <c r="T350" s="64"/>
      <c r="U350" s="64"/>
      <c r="V350" s="64"/>
      <c r="W350" s="64"/>
      <c r="X350" s="64"/>
      <c r="Y350" s="64"/>
      <c r="Z350" s="64"/>
      <c r="AA350" s="64"/>
      <c r="AB350" s="65"/>
      <c r="AC350" s="82"/>
      <c r="AD350" s="64"/>
      <c r="AE350" s="64"/>
      <c r="AF350" s="64"/>
      <c r="AG350" s="64"/>
      <c r="AH350" s="64"/>
      <c r="AI350" s="64"/>
      <c r="AJ350" s="64"/>
      <c r="AK350" s="90"/>
      <c r="AL350" s="65"/>
      <c r="AM350" s="65"/>
      <c r="AN350" s="65"/>
    </row>
    <row r="351" spans="1:40" s="66" customFormat="1" x14ac:dyDescent="0.25">
      <c r="A351" s="64"/>
      <c r="B351" s="64"/>
      <c r="C351" s="64"/>
      <c r="D351" s="64"/>
      <c r="E351" s="64"/>
      <c r="F351" s="64"/>
      <c r="G351" s="64"/>
      <c r="H351" s="64"/>
      <c r="I351" s="64"/>
      <c r="J351" s="64"/>
      <c r="K351" s="64"/>
      <c r="L351" s="64"/>
      <c r="M351" s="64"/>
      <c r="N351" s="64"/>
      <c r="O351" s="64"/>
      <c r="P351" s="64"/>
      <c r="Q351" s="64"/>
      <c r="R351" s="65"/>
      <c r="S351" s="64"/>
      <c r="T351" s="64"/>
      <c r="U351" s="64"/>
      <c r="V351" s="64"/>
      <c r="W351" s="64"/>
      <c r="X351" s="64"/>
      <c r="Y351" s="64"/>
      <c r="Z351" s="64"/>
      <c r="AA351" s="64"/>
      <c r="AB351" s="65"/>
      <c r="AC351" s="82"/>
      <c r="AD351" s="64"/>
      <c r="AE351" s="64"/>
      <c r="AF351" s="64"/>
      <c r="AG351" s="64"/>
      <c r="AH351" s="64"/>
      <c r="AI351" s="64"/>
      <c r="AJ351" s="64"/>
      <c r="AK351" s="90"/>
      <c r="AL351" s="65"/>
      <c r="AM351" s="65"/>
      <c r="AN351" s="65"/>
    </row>
    <row r="352" spans="1:40" s="66" customFormat="1" x14ac:dyDescent="0.25">
      <c r="A352" s="64"/>
      <c r="B352" s="64"/>
      <c r="C352" s="64"/>
      <c r="D352" s="64"/>
      <c r="E352" s="64"/>
      <c r="F352" s="64"/>
      <c r="G352" s="64"/>
      <c r="H352" s="64"/>
      <c r="I352" s="64"/>
      <c r="J352" s="64"/>
      <c r="K352" s="64"/>
      <c r="L352" s="64"/>
      <c r="M352" s="64"/>
      <c r="N352" s="64"/>
      <c r="O352" s="64"/>
      <c r="P352" s="64"/>
      <c r="Q352" s="64"/>
      <c r="R352" s="65"/>
      <c r="S352" s="64"/>
      <c r="T352" s="64"/>
      <c r="U352" s="64"/>
      <c r="V352" s="64"/>
      <c r="W352" s="64"/>
      <c r="X352" s="64"/>
      <c r="Y352" s="64"/>
      <c r="Z352" s="64"/>
      <c r="AA352" s="64"/>
      <c r="AB352" s="65"/>
      <c r="AC352" s="82"/>
      <c r="AD352" s="64"/>
      <c r="AE352" s="64"/>
      <c r="AF352" s="64"/>
      <c r="AG352" s="64"/>
      <c r="AH352" s="64"/>
      <c r="AI352" s="64"/>
      <c r="AJ352" s="64"/>
      <c r="AK352" s="90"/>
      <c r="AL352" s="65"/>
      <c r="AM352" s="65"/>
      <c r="AN352" s="65"/>
    </row>
    <row r="353" spans="1:40" s="66" customFormat="1" x14ac:dyDescent="0.25">
      <c r="A353" s="64"/>
      <c r="B353" s="64"/>
      <c r="C353" s="64"/>
      <c r="D353" s="64"/>
      <c r="E353" s="64"/>
      <c r="F353" s="64"/>
      <c r="G353" s="64"/>
      <c r="H353" s="64"/>
      <c r="I353" s="64"/>
      <c r="J353" s="64"/>
      <c r="K353" s="64"/>
      <c r="L353" s="64"/>
      <c r="M353" s="64"/>
      <c r="N353" s="64"/>
      <c r="O353" s="64"/>
      <c r="P353" s="64"/>
      <c r="Q353" s="64"/>
      <c r="R353" s="65"/>
      <c r="S353" s="64"/>
      <c r="T353" s="64"/>
      <c r="U353" s="64"/>
      <c r="V353" s="64"/>
      <c r="W353" s="64"/>
      <c r="X353" s="64"/>
      <c r="Y353" s="64"/>
      <c r="Z353" s="64"/>
      <c r="AA353" s="64"/>
      <c r="AB353" s="65"/>
      <c r="AC353" s="82"/>
      <c r="AD353" s="64"/>
      <c r="AE353" s="64"/>
      <c r="AF353" s="64"/>
      <c r="AG353" s="64"/>
      <c r="AH353" s="64"/>
      <c r="AI353" s="64"/>
      <c r="AJ353" s="64"/>
      <c r="AK353" s="90"/>
      <c r="AL353" s="65"/>
      <c r="AM353" s="65"/>
      <c r="AN353" s="65"/>
    </row>
    <row r="354" spans="1:40" x14ac:dyDescent="0.25">
      <c r="A354" s="10"/>
      <c r="B354" s="10"/>
      <c r="C354" s="10"/>
      <c r="D354" s="10"/>
      <c r="E354" s="10"/>
      <c r="F354" s="10"/>
      <c r="G354" s="10"/>
      <c r="H354" s="10"/>
      <c r="I354" s="10"/>
      <c r="J354" s="64"/>
      <c r="K354" s="64"/>
      <c r="L354" s="10"/>
      <c r="M354" s="10"/>
      <c r="N354" s="10"/>
      <c r="O354" s="10"/>
      <c r="P354" s="10"/>
      <c r="Q354" s="10"/>
      <c r="R354" s="45"/>
      <c r="S354" s="10"/>
      <c r="T354" s="10"/>
      <c r="U354" s="10"/>
      <c r="V354" s="10"/>
      <c r="W354" s="10"/>
      <c r="X354" s="10"/>
      <c r="Y354" s="10"/>
      <c r="Z354" s="10"/>
      <c r="AA354" s="10"/>
      <c r="AB354" s="45"/>
      <c r="AC354" s="83"/>
      <c r="AD354" s="10"/>
      <c r="AE354" s="10"/>
      <c r="AF354" s="10"/>
      <c r="AG354" s="10"/>
      <c r="AH354" s="10"/>
      <c r="AI354" s="10"/>
      <c r="AJ354" s="10"/>
      <c r="AK354" s="91"/>
      <c r="AL354" s="45"/>
      <c r="AM354" s="45"/>
      <c r="AN354" s="45"/>
    </row>
    <row r="355" spans="1:40" x14ac:dyDescent="0.25">
      <c r="A355" s="10"/>
      <c r="B355" s="10"/>
      <c r="C355" s="10"/>
      <c r="D355" s="10"/>
      <c r="E355" s="10"/>
      <c r="F355" s="10"/>
      <c r="G355" s="10"/>
      <c r="H355" s="10"/>
      <c r="I355" s="10"/>
      <c r="J355" s="64"/>
      <c r="K355" s="64"/>
      <c r="L355" s="10"/>
      <c r="M355" s="10"/>
      <c r="N355" s="10"/>
      <c r="O355" s="10"/>
      <c r="P355" s="10"/>
      <c r="Q355" s="10"/>
      <c r="R355" s="45"/>
      <c r="S355" s="10"/>
      <c r="T355" s="10"/>
      <c r="U355" s="10"/>
      <c r="V355" s="10"/>
      <c r="W355" s="10"/>
      <c r="X355" s="10"/>
      <c r="Y355" s="10"/>
      <c r="Z355" s="10"/>
      <c r="AA355" s="10"/>
      <c r="AB355" s="45"/>
      <c r="AC355" s="83"/>
      <c r="AD355" s="10"/>
      <c r="AE355" s="10"/>
      <c r="AF355" s="10"/>
      <c r="AG355" s="10"/>
      <c r="AH355" s="10"/>
      <c r="AI355" s="10"/>
      <c r="AJ355" s="10"/>
      <c r="AK355" s="91"/>
      <c r="AL355" s="45"/>
      <c r="AM355" s="45"/>
      <c r="AN355" s="45"/>
    </row>
    <row r="356" spans="1:40" x14ac:dyDescent="0.25">
      <c r="A356" s="10"/>
      <c r="B356" s="10"/>
      <c r="C356" s="10"/>
      <c r="D356" s="10"/>
      <c r="E356" s="10"/>
      <c r="F356" s="10"/>
      <c r="G356" s="10"/>
      <c r="H356" s="10"/>
      <c r="I356" s="10"/>
      <c r="J356" s="64"/>
      <c r="K356" s="64"/>
      <c r="L356" s="10"/>
      <c r="M356" s="10"/>
      <c r="N356" s="10"/>
      <c r="O356" s="10"/>
      <c r="P356" s="10"/>
      <c r="Q356" s="10"/>
      <c r="R356" s="45"/>
      <c r="S356" s="10"/>
      <c r="T356" s="10"/>
      <c r="U356" s="10"/>
      <c r="V356" s="10"/>
      <c r="W356" s="10"/>
      <c r="X356" s="10"/>
      <c r="Y356" s="10"/>
      <c r="Z356" s="10"/>
      <c r="AA356" s="10"/>
      <c r="AB356" s="45"/>
      <c r="AC356" s="83"/>
      <c r="AD356" s="10"/>
      <c r="AE356" s="10"/>
      <c r="AF356" s="10"/>
      <c r="AG356" s="10"/>
      <c r="AH356" s="10"/>
      <c r="AI356" s="10"/>
      <c r="AJ356" s="10"/>
      <c r="AK356" s="91"/>
      <c r="AL356" s="45"/>
      <c r="AM356" s="45"/>
      <c r="AN356" s="45"/>
    </row>
    <row r="357" spans="1:40" x14ac:dyDescent="0.25">
      <c r="A357" s="10"/>
      <c r="B357" s="10"/>
      <c r="C357" s="10"/>
      <c r="D357" s="10"/>
      <c r="E357" s="10"/>
      <c r="F357" s="10"/>
      <c r="G357" s="10"/>
      <c r="H357" s="10"/>
      <c r="I357" s="10"/>
      <c r="J357" s="64"/>
      <c r="K357" s="64"/>
      <c r="L357" s="10"/>
      <c r="M357" s="10"/>
      <c r="N357" s="10"/>
      <c r="O357" s="10"/>
      <c r="P357" s="10"/>
      <c r="Q357" s="10"/>
      <c r="R357" s="45"/>
      <c r="S357" s="10"/>
      <c r="T357" s="10"/>
      <c r="U357" s="10"/>
      <c r="V357" s="10"/>
      <c r="W357" s="10"/>
      <c r="X357" s="10"/>
      <c r="Y357" s="10"/>
      <c r="Z357" s="10"/>
      <c r="AA357" s="10"/>
      <c r="AB357" s="45"/>
      <c r="AC357" s="83"/>
      <c r="AD357" s="10"/>
      <c r="AE357" s="10"/>
      <c r="AF357" s="10"/>
      <c r="AG357" s="10"/>
      <c r="AH357" s="10"/>
      <c r="AI357" s="10"/>
      <c r="AJ357" s="10"/>
      <c r="AK357" s="91"/>
      <c r="AL357" s="45"/>
      <c r="AM357" s="45"/>
      <c r="AN357" s="45"/>
    </row>
    <row r="358" spans="1:40" x14ac:dyDescent="0.25">
      <c r="A358" s="10"/>
      <c r="B358" s="10"/>
      <c r="C358" s="10"/>
      <c r="D358" s="10"/>
      <c r="E358" s="10"/>
      <c r="F358" s="10"/>
      <c r="G358" s="10"/>
      <c r="H358" s="10"/>
      <c r="I358" s="10"/>
      <c r="J358" s="64"/>
      <c r="K358" s="64"/>
      <c r="L358" s="10"/>
      <c r="M358" s="10"/>
      <c r="N358" s="10"/>
      <c r="O358" s="10"/>
      <c r="P358" s="10"/>
      <c r="Q358" s="10"/>
      <c r="R358" s="45"/>
      <c r="S358" s="10"/>
      <c r="T358" s="10"/>
      <c r="U358" s="10"/>
      <c r="V358" s="10"/>
      <c r="W358" s="10"/>
      <c r="X358" s="10"/>
      <c r="Y358" s="10"/>
      <c r="Z358" s="10"/>
      <c r="AA358" s="10"/>
      <c r="AB358" s="45"/>
      <c r="AC358" s="83"/>
      <c r="AD358" s="10"/>
      <c r="AE358" s="10"/>
      <c r="AF358" s="10"/>
      <c r="AG358" s="10"/>
      <c r="AH358" s="10"/>
      <c r="AI358" s="10"/>
      <c r="AJ358" s="10"/>
      <c r="AK358" s="91"/>
      <c r="AL358" s="45"/>
      <c r="AM358" s="45"/>
      <c r="AN358" s="45"/>
    </row>
    <row r="359" spans="1:40" x14ac:dyDescent="0.25">
      <c r="A359" s="10"/>
      <c r="B359" s="10"/>
      <c r="C359" s="10"/>
      <c r="D359" s="10"/>
      <c r="E359" s="10"/>
      <c r="F359" s="10"/>
      <c r="G359" s="10"/>
      <c r="H359" s="10"/>
      <c r="I359" s="10"/>
      <c r="J359" s="64"/>
      <c r="K359" s="64"/>
      <c r="L359" s="10"/>
      <c r="M359" s="10"/>
      <c r="N359" s="10"/>
      <c r="O359" s="10"/>
      <c r="P359" s="10"/>
      <c r="Q359" s="10"/>
      <c r="R359" s="45"/>
      <c r="S359" s="10"/>
      <c r="T359" s="10"/>
      <c r="U359" s="10"/>
      <c r="V359" s="10"/>
      <c r="W359" s="10"/>
      <c r="X359" s="10"/>
      <c r="Y359" s="10"/>
      <c r="Z359" s="10"/>
      <c r="AA359" s="10"/>
      <c r="AB359" s="45"/>
      <c r="AC359" s="83"/>
      <c r="AD359" s="10"/>
      <c r="AE359" s="10"/>
      <c r="AF359" s="10"/>
      <c r="AG359" s="10"/>
      <c r="AH359" s="10"/>
      <c r="AI359" s="10"/>
      <c r="AJ359" s="10"/>
      <c r="AK359" s="91"/>
      <c r="AL359" s="45"/>
      <c r="AM359" s="45"/>
      <c r="AN359" s="45"/>
    </row>
    <row r="360" spans="1:40" x14ac:dyDescent="0.25">
      <c r="A360" s="10"/>
      <c r="B360" s="10"/>
      <c r="C360" s="10"/>
      <c r="D360" s="10"/>
      <c r="E360" s="10"/>
      <c r="F360" s="10"/>
      <c r="G360" s="10"/>
      <c r="H360" s="10"/>
      <c r="I360" s="10"/>
      <c r="J360" s="64"/>
      <c r="K360" s="64"/>
      <c r="L360" s="10"/>
      <c r="M360" s="10"/>
      <c r="N360" s="10"/>
      <c r="O360" s="10"/>
      <c r="P360" s="10"/>
      <c r="Q360" s="10"/>
      <c r="R360" s="45"/>
      <c r="S360" s="10"/>
      <c r="T360" s="10"/>
      <c r="U360" s="10"/>
      <c r="V360" s="10"/>
      <c r="W360" s="10"/>
      <c r="X360" s="10"/>
      <c r="Y360" s="10"/>
      <c r="Z360" s="10"/>
      <c r="AA360" s="10"/>
      <c r="AB360" s="45"/>
      <c r="AC360" s="83"/>
      <c r="AD360" s="10"/>
      <c r="AE360" s="10"/>
      <c r="AF360" s="10"/>
      <c r="AG360" s="10"/>
      <c r="AH360" s="10"/>
      <c r="AI360" s="10"/>
      <c r="AJ360" s="10"/>
      <c r="AK360" s="91"/>
      <c r="AL360" s="45"/>
      <c r="AM360" s="45"/>
      <c r="AN360" s="45"/>
    </row>
    <row r="361" spans="1:40" x14ac:dyDescent="0.25">
      <c r="A361" s="10"/>
      <c r="B361" s="10"/>
      <c r="C361" s="10"/>
      <c r="D361" s="10"/>
      <c r="E361" s="10"/>
      <c r="F361" s="10"/>
      <c r="G361" s="10"/>
      <c r="H361" s="10"/>
      <c r="I361" s="10"/>
      <c r="J361" s="64"/>
      <c r="K361" s="64"/>
      <c r="L361" s="10"/>
      <c r="M361" s="10"/>
      <c r="N361" s="10"/>
      <c r="O361" s="10"/>
      <c r="P361" s="10"/>
      <c r="Q361" s="10"/>
      <c r="R361" s="45"/>
      <c r="S361" s="10"/>
      <c r="T361" s="10"/>
      <c r="U361" s="10"/>
      <c r="V361" s="10"/>
      <c r="W361" s="10"/>
      <c r="X361" s="10"/>
      <c r="Y361" s="10"/>
      <c r="Z361" s="10"/>
      <c r="AA361" s="10"/>
      <c r="AB361" s="45"/>
      <c r="AC361" s="83"/>
      <c r="AD361" s="10"/>
      <c r="AE361" s="10"/>
      <c r="AF361" s="10"/>
      <c r="AG361" s="10"/>
      <c r="AH361" s="10"/>
      <c r="AI361" s="10"/>
      <c r="AJ361" s="10"/>
      <c r="AK361" s="91"/>
      <c r="AL361" s="45"/>
      <c r="AM361" s="45"/>
      <c r="AN361" s="45"/>
    </row>
    <row r="362" spans="1:40" x14ac:dyDescent="0.25">
      <c r="A362" s="10"/>
      <c r="B362" s="10"/>
      <c r="C362" s="10"/>
      <c r="D362" s="10"/>
      <c r="E362" s="10"/>
      <c r="F362" s="10"/>
      <c r="G362" s="10"/>
      <c r="H362" s="10"/>
      <c r="I362" s="10"/>
      <c r="J362" s="64"/>
      <c r="K362" s="64"/>
      <c r="L362" s="10"/>
      <c r="M362" s="10"/>
      <c r="N362" s="10"/>
      <c r="O362" s="10"/>
      <c r="P362" s="10"/>
      <c r="Q362" s="10"/>
      <c r="R362" s="45"/>
      <c r="S362" s="10"/>
      <c r="T362" s="10"/>
      <c r="U362" s="10"/>
      <c r="V362" s="10"/>
      <c r="W362" s="10"/>
      <c r="X362" s="10"/>
      <c r="Y362" s="10"/>
      <c r="Z362" s="10"/>
      <c r="AA362" s="10"/>
      <c r="AB362" s="45"/>
      <c r="AC362" s="83"/>
      <c r="AD362" s="10"/>
      <c r="AE362" s="10"/>
      <c r="AF362" s="10"/>
      <c r="AG362" s="10"/>
      <c r="AH362" s="10"/>
      <c r="AI362" s="10"/>
      <c r="AJ362" s="10"/>
      <c r="AK362" s="91"/>
      <c r="AL362" s="45"/>
      <c r="AM362" s="45"/>
      <c r="AN362" s="45"/>
    </row>
    <row r="363" spans="1:40" x14ac:dyDescent="0.25">
      <c r="A363" s="10"/>
      <c r="B363" s="10"/>
      <c r="C363" s="10"/>
      <c r="D363" s="10"/>
      <c r="E363" s="10"/>
      <c r="F363" s="10"/>
      <c r="G363" s="10"/>
      <c r="H363" s="10"/>
      <c r="I363" s="10"/>
      <c r="J363" s="64"/>
      <c r="K363" s="64"/>
      <c r="L363" s="10"/>
      <c r="M363" s="10"/>
      <c r="N363" s="10"/>
      <c r="O363" s="10"/>
      <c r="P363" s="10"/>
      <c r="Q363" s="10"/>
      <c r="R363" s="45"/>
      <c r="S363" s="10"/>
      <c r="T363" s="10"/>
      <c r="U363" s="10"/>
      <c r="V363" s="10"/>
      <c r="W363" s="10"/>
      <c r="X363" s="10"/>
      <c r="Y363" s="10"/>
      <c r="Z363" s="10"/>
      <c r="AA363" s="10"/>
      <c r="AB363" s="45"/>
      <c r="AC363" s="83"/>
      <c r="AD363" s="10"/>
      <c r="AE363" s="10"/>
      <c r="AF363" s="10"/>
      <c r="AG363" s="10"/>
      <c r="AH363" s="10"/>
      <c r="AI363" s="10"/>
      <c r="AJ363" s="10"/>
      <c r="AK363" s="91"/>
      <c r="AL363" s="45"/>
      <c r="AM363" s="45"/>
      <c r="AN363" s="45"/>
    </row>
    <row r="364" spans="1:40" x14ac:dyDescent="0.25">
      <c r="A364" s="10"/>
      <c r="B364" s="10"/>
      <c r="C364" s="10"/>
      <c r="D364" s="10"/>
      <c r="E364" s="10"/>
      <c r="F364" s="10"/>
      <c r="G364" s="10"/>
      <c r="H364" s="10"/>
      <c r="I364" s="10"/>
      <c r="J364" s="64"/>
      <c r="K364" s="64"/>
      <c r="L364" s="10"/>
      <c r="M364" s="10"/>
      <c r="N364" s="10"/>
      <c r="O364" s="10"/>
      <c r="P364" s="10"/>
      <c r="Q364" s="10"/>
      <c r="R364" s="45"/>
      <c r="S364" s="10"/>
      <c r="T364" s="10"/>
      <c r="U364" s="10"/>
      <c r="V364" s="10"/>
      <c r="W364" s="10"/>
      <c r="X364" s="10"/>
      <c r="Y364" s="10"/>
      <c r="Z364" s="10"/>
      <c r="AA364" s="10"/>
      <c r="AB364" s="45"/>
      <c r="AC364" s="83"/>
      <c r="AD364" s="10"/>
      <c r="AE364" s="10"/>
      <c r="AF364" s="10"/>
      <c r="AG364" s="10"/>
      <c r="AH364" s="10"/>
      <c r="AI364" s="10"/>
      <c r="AJ364" s="10"/>
      <c r="AK364" s="91"/>
      <c r="AL364" s="45"/>
      <c r="AM364" s="45"/>
      <c r="AN364" s="45"/>
    </row>
    <row r="365" spans="1:40" x14ac:dyDescent="0.25">
      <c r="A365" s="10"/>
      <c r="B365" s="10"/>
      <c r="C365" s="10"/>
      <c r="D365" s="10"/>
      <c r="E365" s="10"/>
      <c r="F365" s="10"/>
      <c r="G365" s="10"/>
      <c r="H365" s="10"/>
      <c r="I365" s="10"/>
      <c r="J365" s="64"/>
      <c r="K365" s="64"/>
      <c r="L365" s="10"/>
      <c r="M365" s="10"/>
      <c r="N365" s="10"/>
      <c r="O365" s="10"/>
      <c r="P365" s="10"/>
      <c r="Q365" s="10"/>
      <c r="R365" s="45"/>
      <c r="S365" s="10"/>
      <c r="T365" s="10"/>
      <c r="U365" s="10"/>
      <c r="V365" s="10"/>
      <c r="W365" s="10"/>
      <c r="X365" s="10"/>
      <c r="Y365" s="10"/>
      <c r="Z365" s="10"/>
      <c r="AA365" s="10"/>
      <c r="AB365" s="45"/>
      <c r="AC365" s="83"/>
      <c r="AD365" s="10"/>
      <c r="AE365" s="10"/>
      <c r="AF365" s="10"/>
      <c r="AG365" s="10"/>
      <c r="AH365" s="10"/>
      <c r="AI365" s="10"/>
      <c r="AJ365" s="10"/>
      <c r="AK365" s="91"/>
      <c r="AL365" s="45"/>
      <c r="AM365" s="45"/>
      <c r="AN365" s="45"/>
    </row>
    <row r="366" spans="1:40" x14ac:dyDescent="0.25">
      <c r="A366" s="10"/>
      <c r="B366" s="10"/>
      <c r="C366" s="10"/>
      <c r="D366" s="10"/>
      <c r="E366" s="10"/>
      <c r="F366" s="10"/>
      <c r="G366" s="10"/>
      <c r="H366" s="10"/>
      <c r="I366" s="10"/>
      <c r="J366" s="64"/>
      <c r="K366" s="64"/>
      <c r="L366" s="10"/>
      <c r="M366" s="10"/>
      <c r="N366" s="10"/>
      <c r="O366" s="10"/>
      <c r="P366" s="10"/>
      <c r="Q366" s="10"/>
      <c r="R366" s="45"/>
      <c r="S366" s="10"/>
      <c r="T366" s="10"/>
      <c r="U366" s="10"/>
      <c r="V366" s="10"/>
      <c r="W366" s="10"/>
      <c r="X366" s="10"/>
      <c r="Y366" s="10"/>
      <c r="Z366" s="10"/>
      <c r="AA366" s="10"/>
      <c r="AB366" s="45"/>
      <c r="AC366" s="83"/>
      <c r="AD366" s="10"/>
      <c r="AE366" s="10"/>
      <c r="AF366" s="10"/>
      <c r="AG366" s="10"/>
      <c r="AH366" s="10"/>
      <c r="AI366" s="10"/>
      <c r="AJ366" s="10"/>
      <c r="AK366" s="91"/>
      <c r="AL366" s="45"/>
      <c r="AM366" s="45"/>
      <c r="AN366" s="45"/>
    </row>
    <row r="367" spans="1:40" x14ac:dyDescent="0.25">
      <c r="A367" s="10"/>
      <c r="B367" s="10"/>
      <c r="C367" s="10"/>
      <c r="D367" s="10"/>
      <c r="E367" s="10"/>
      <c r="F367" s="10"/>
      <c r="G367" s="10"/>
      <c r="H367" s="10"/>
      <c r="I367" s="10"/>
      <c r="J367" s="64"/>
      <c r="K367" s="64"/>
      <c r="L367" s="10"/>
      <c r="M367" s="10"/>
      <c r="N367" s="10"/>
      <c r="O367" s="10"/>
      <c r="P367" s="10"/>
      <c r="Q367" s="10"/>
      <c r="R367" s="45"/>
      <c r="S367" s="10"/>
      <c r="T367" s="10"/>
      <c r="U367" s="10"/>
      <c r="V367" s="10"/>
      <c r="W367" s="10"/>
      <c r="X367" s="10"/>
      <c r="Y367" s="10"/>
      <c r="Z367" s="10"/>
      <c r="AA367" s="10"/>
      <c r="AB367" s="45"/>
      <c r="AC367" s="83"/>
      <c r="AD367" s="10"/>
      <c r="AE367" s="10"/>
      <c r="AF367" s="10"/>
      <c r="AG367" s="10"/>
      <c r="AH367" s="10"/>
      <c r="AI367" s="10"/>
      <c r="AJ367" s="10"/>
      <c r="AK367" s="91"/>
      <c r="AL367" s="45"/>
      <c r="AM367" s="45"/>
      <c r="AN367" s="45"/>
    </row>
    <row r="368" spans="1:40" x14ac:dyDescent="0.25">
      <c r="A368" s="10"/>
      <c r="B368" s="10"/>
      <c r="C368" s="10"/>
      <c r="D368" s="10"/>
      <c r="E368" s="10"/>
      <c r="F368" s="10"/>
      <c r="G368" s="10"/>
      <c r="H368" s="10"/>
      <c r="I368" s="10"/>
      <c r="J368" s="64"/>
      <c r="K368" s="64"/>
      <c r="L368" s="10"/>
      <c r="M368" s="10"/>
      <c r="N368" s="10"/>
      <c r="O368" s="10"/>
      <c r="P368" s="10"/>
      <c r="Q368" s="10"/>
      <c r="R368" s="45"/>
      <c r="S368" s="10"/>
      <c r="T368" s="10"/>
      <c r="U368" s="10"/>
      <c r="V368" s="10"/>
      <c r="W368" s="10"/>
      <c r="X368" s="10"/>
      <c r="Y368" s="10"/>
      <c r="Z368" s="10"/>
      <c r="AA368" s="10"/>
      <c r="AB368" s="45"/>
      <c r="AC368" s="83"/>
      <c r="AD368" s="10"/>
      <c r="AE368" s="10"/>
      <c r="AF368" s="10"/>
      <c r="AG368" s="10"/>
      <c r="AH368" s="10"/>
      <c r="AI368" s="10"/>
      <c r="AJ368" s="10"/>
      <c r="AK368" s="91"/>
      <c r="AL368" s="45"/>
      <c r="AM368" s="45"/>
      <c r="AN368" s="45"/>
    </row>
    <row r="369" spans="1:40" x14ac:dyDescent="0.25">
      <c r="A369" s="10"/>
      <c r="B369" s="10"/>
      <c r="C369" s="10"/>
      <c r="D369" s="10"/>
      <c r="E369" s="10"/>
      <c r="F369" s="10"/>
      <c r="G369" s="10"/>
      <c r="H369" s="10"/>
      <c r="I369" s="10"/>
      <c r="J369" s="64"/>
      <c r="K369" s="64"/>
      <c r="L369" s="10"/>
      <c r="M369" s="10"/>
      <c r="N369" s="10"/>
      <c r="O369" s="10"/>
      <c r="P369" s="10"/>
      <c r="Q369" s="10"/>
      <c r="R369" s="45"/>
      <c r="S369" s="10"/>
      <c r="T369" s="10"/>
      <c r="U369" s="10"/>
      <c r="V369" s="10"/>
      <c r="W369" s="10"/>
      <c r="X369" s="10"/>
      <c r="Y369" s="10"/>
      <c r="Z369" s="10"/>
      <c r="AA369" s="10"/>
      <c r="AB369" s="45"/>
      <c r="AC369" s="83"/>
      <c r="AD369" s="10"/>
      <c r="AE369" s="10"/>
      <c r="AF369" s="10"/>
      <c r="AG369" s="10"/>
      <c r="AH369" s="10"/>
      <c r="AI369" s="10"/>
      <c r="AJ369" s="10"/>
      <c r="AK369" s="91"/>
      <c r="AL369" s="45"/>
      <c r="AM369" s="45"/>
      <c r="AN369" s="45"/>
    </row>
    <row r="370" spans="1:40" x14ac:dyDescent="0.25">
      <c r="A370" s="10"/>
      <c r="B370" s="10"/>
      <c r="C370" s="10"/>
      <c r="D370" s="10"/>
      <c r="E370" s="10"/>
      <c r="F370" s="10"/>
      <c r="G370" s="10"/>
      <c r="H370" s="10"/>
      <c r="I370" s="10"/>
      <c r="J370" s="64"/>
      <c r="K370" s="64"/>
      <c r="L370" s="10"/>
      <c r="M370" s="10"/>
      <c r="N370" s="10"/>
      <c r="O370" s="10"/>
      <c r="P370" s="10"/>
      <c r="Q370" s="10"/>
      <c r="R370" s="45"/>
      <c r="S370" s="10"/>
      <c r="T370" s="10"/>
      <c r="U370" s="10"/>
      <c r="V370" s="10"/>
      <c r="W370" s="10"/>
      <c r="X370" s="10"/>
      <c r="Y370" s="10"/>
      <c r="Z370" s="10"/>
      <c r="AA370" s="10"/>
      <c r="AB370" s="45"/>
      <c r="AC370" s="83"/>
      <c r="AD370" s="10"/>
      <c r="AE370" s="10"/>
      <c r="AF370" s="10"/>
      <c r="AG370" s="10"/>
      <c r="AH370" s="10"/>
      <c r="AI370" s="10"/>
      <c r="AJ370" s="10"/>
      <c r="AK370" s="91"/>
      <c r="AL370" s="45"/>
      <c r="AM370" s="45"/>
      <c r="AN370" s="45"/>
    </row>
    <row r="371" spans="1:40" x14ac:dyDescent="0.25">
      <c r="A371" s="10"/>
      <c r="B371" s="10"/>
      <c r="C371" s="10"/>
      <c r="D371" s="10"/>
      <c r="E371" s="10"/>
      <c r="F371" s="10"/>
      <c r="G371" s="10"/>
      <c r="H371" s="10"/>
      <c r="I371" s="10"/>
      <c r="J371" s="64"/>
      <c r="K371" s="64"/>
      <c r="L371" s="10"/>
      <c r="M371" s="10"/>
      <c r="N371" s="10"/>
      <c r="O371" s="10"/>
      <c r="P371" s="10"/>
      <c r="Q371" s="10"/>
      <c r="R371" s="45"/>
      <c r="S371" s="10"/>
      <c r="T371" s="10"/>
      <c r="U371" s="10"/>
      <c r="V371" s="10"/>
      <c r="W371" s="10"/>
      <c r="X371" s="10"/>
      <c r="Y371" s="10"/>
      <c r="Z371" s="10"/>
      <c r="AA371" s="10"/>
      <c r="AB371" s="45"/>
      <c r="AC371" s="83"/>
      <c r="AD371" s="10"/>
      <c r="AE371" s="10"/>
      <c r="AF371" s="10"/>
      <c r="AG371" s="10"/>
      <c r="AH371" s="10"/>
      <c r="AI371" s="10"/>
      <c r="AJ371" s="10"/>
      <c r="AK371" s="91"/>
      <c r="AL371" s="45"/>
      <c r="AM371" s="45"/>
      <c r="AN371" s="45"/>
    </row>
    <row r="372" spans="1:40" x14ac:dyDescent="0.25">
      <c r="A372" s="10"/>
      <c r="B372" s="10"/>
      <c r="C372" s="10"/>
      <c r="D372" s="10"/>
      <c r="E372" s="10"/>
      <c r="F372" s="10"/>
      <c r="G372" s="10"/>
      <c r="H372" s="10"/>
      <c r="I372" s="10"/>
      <c r="J372" s="64"/>
      <c r="K372" s="64"/>
      <c r="L372" s="10"/>
      <c r="M372" s="10"/>
      <c r="N372" s="10"/>
      <c r="O372" s="10"/>
      <c r="P372" s="10"/>
      <c r="Q372" s="10"/>
      <c r="R372" s="45"/>
      <c r="S372" s="10"/>
      <c r="T372" s="10"/>
      <c r="U372" s="10"/>
      <c r="V372" s="10"/>
      <c r="W372" s="10"/>
      <c r="X372" s="10"/>
      <c r="Y372" s="10"/>
      <c r="Z372" s="10"/>
      <c r="AA372" s="10"/>
      <c r="AB372" s="45"/>
      <c r="AC372" s="83"/>
      <c r="AD372" s="10"/>
      <c r="AE372" s="10"/>
      <c r="AF372" s="10"/>
      <c r="AG372" s="10"/>
      <c r="AH372" s="10"/>
      <c r="AI372" s="10"/>
      <c r="AJ372" s="10"/>
      <c r="AK372" s="91"/>
      <c r="AL372" s="45"/>
      <c r="AM372" s="45"/>
      <c r="AN372" s="45"/>
    </row>
    <row r="373" spans="1:40" x14ac:dyDescent="0.25">
      <c r="A373" s="10"/>
      <c r="B373" s="10"/>
      <c r="C373" s="10"/>
      <c r="D373" s="10"/>
      <c r="E373" s="10"/>
      <c r="F373" s="10"/>
      <c r="G373" s="10"/>
      <c r="H373" s="10"/>
      <c r="I373" s="10"/>
      <c r="J373" s="64"/>
      <c r="K373" s="64"/>
      <c r="L373" s="10"/>
      <c r="M373" s="10"/>
      <c r="N373" s="10"/>
      <c r="O373" s="10"/>
      <c r="P373" s="10"/>
      <c r="Q373" s="10"/>
      <c r="R373" s="45"/>
      <c r="S373" s="10"/>
      <c r="T373" s="10"/>
      <c r="U373" s="10"/>
      <c r="V373" s="10"/>
      <c r="W373" s="10"/>
      <c r="X373" s="10"/>
      <c r="Y373" s="10"/>
      <c r="Z373" s="10"/>
      <c r="AA373" s="10"/>
      <c r="AB373" s="45"/>
      <c r="AC373" s="83"/>
      <c r="AD373" s="10"/>
      <c r="AE373" s="10"/>
      <c r="AF373" s="10"/>
      <c r="AG373" s="10"/>
      <c r="AH373" s="10"/>
      <c r="AI373" s="10"/>
      <c r="AJ373" s="10"/>
      <c r="AK373" s="91"/>
      <c r="AL373" s="45"/>
      <c r="AM373" s="45"/>
      <c r="AN373" s="45"/>
    </row>
    <row r="374" spans="1:40" x14ac:dyDescent="0.25">
      <c r="A374" s="10"/>
      <c r="B374" s="10"/>
      <c r="C374" s="10"/>
      <c r="D374" s="10"/>
      <c r="E374" s="10"/>
      <c r="F374" s="10"/>
      <c r="G374" s="10"/>
      <c r="H374" s="10"/>
      <c r="I374" s="10"/>
      <c r="J374" s="64"/>
      <c r="K374" s="64"/>
      <c r="L374" s="10"/>
      <c r="M374" s="10"/>
      <c r="N374" s="10"/>
      <c r="O374" s="10"/>
      <c r="P374" s="10"/>
      <c r="Q374" s="10"/>
      <c r="R374" s="45"/>
      <c r="S374" s="10"/>
      <c r="T374" s="10"/>
      <c r="U374" s="10"/>
      <c r="V374" s="10"/>
      <c r="W374" s="10"/>
      <c r="X374" s="10"/>
      <c r="Y374" s="10"/>
      <c r="Z374" s="10"/>
      <c r="AA374" s="10"/>
      <c r="AB374" s="45"/>
      <c r="AC374" s="83"/>
      <c r="AD374" s="10"/>
      <c r="AE374" s="10"/>
      <c r="AF374" s="10"/>
      <c r="AG374" s="10"/>
      <c r="AH374" s="10"/>
      <c r="AI374" s="10"/>
      <c r="AJ374" s="10"/>
      <c r="AK374" s="91"/>
      <c r="AL374" s="45"/>
      <c r="AM374" s="45"/>
      <c r="AN374" s="45"/>
    </row>
    <row r="375" spans="1:40" x14ac:dyDescent="0.25">
      <c r="A375" s="10"/>
      <c r="B375" s="10"/>
      <c r="C375" s="10"/>
      <c r="D375" s="10"/>
      <c r="E375" s="10"/>
      <c r="F375" s="10"/>
      <c r="G375" s="10"/>
      <c r="H375" s="10"/>
      <c r="I375" s="10"/>
      <c r="J375" s="64"/>
      <c r="K375" s="64"/>
      <c r="L375" s="10"/>
      <c r="M375" s="10"/>
      <c r="N375" s="10"/>
      <c r="O375" s="10"/>
      <c r="P375" s="10"/>
      <c r="Q375" s="10"/>
      <c r="R375" s="45"/>
      <c r="S375" s="10"/>
      <c r="T375" s="10"/>
      <c r="U375" s="10"/>
      <c r="V375" s="10"/>
      <c r="W375" s="10"/>
      <c r="X375" s="10"/>
      <c r="Y375" s="10"/>
      <c r="Z375" s="10"/>
      <c r="AA375" s="10"/>
      <c r="AB375" s="45"/>
      <c r="AC375" s="83"/>
      <c r="AD375" s="10"/>
      <c r="AE375" s="10"/>
      <c r="AF375" s="10"/>
      <c r="AG375" s="10"/>
      <c r="AH375" s="10"/>
      <c r="AI375" s="10"/>
      <c r="AJ375" s="10"/>
      <c r="AK375" s="91"/>
      <c r="AL375" s="45"/>
      <c r="AM375" s="45"/>
      <c r="AN375" s="45"/>
    </row>
    <row r="376" spans="1:40" x14ac:dyDescent="0.25">
      <c r="A376" s="10"/>
      <c r="B376" s="10"/>
      <c r="C376" s="10"/>
      <c r="D376" s="10"/>
      <c r="E376" s="10"/>
      <c r="F376" s="10"/>
      <c r="G376" s="10"/>
      <c r="H376" s="10"/>
      <c r="I376" s="10"/>
      <c r="J376" s="64"/>
      <c r="K376" s="64"/>
      <c r="L376" s="10"/>
      <c r="M376" s="10"/>
      <c r="N376" s="10"/>
      <c r="O376" s="10"/>
      <c r="P376" s="10"/>
      <c r="Q376" s="10"/>
      <c r="R376" s="45"/>
      <c r="S376" s="10"/>
      <c r="T376" s="10"/>
      <c r="U376" s="10"/>
      <c r="V376" s="10"/>
      <c r="W376" s="10"/>
      <c r="X376" s="10"/>
      <c r="Y376" s="10"/>
      <c r="Z376" s="10"/>
      <c r="AA376" s="10"/>
      <c r="AB376" s="45"/>
      <c r="AC376" s="83"/>
      <c r="AD376" s="10"/>
      <c r="AE376" s="10"/>
      <c r="AF376" s="10"/>
      <c r="AG376" s="10"/>
      <c r="AH376" s="10"/>
      <c r="AI376" s="10"/>
      <c r="AJ376" s="10"/>
      <c r="AK376" s="91"/>
      <c r="AL376" s="45"/>
      <c r="AM376" s="45"/>
      <c r="AN376" s="45"/>
    </row>
    <row r="377" spans="1:40" x14ac:dyDescent="0.25">
      <c r="A377" s="10"/>
      <c r="B377" s="10"/>
      <c r="C377" s="10"/>
      <c r="D377" s="10"/>
      <c r="E377" s="10"/>
      <c r="F377" s="10"/>
      <c r="G377" s="10"/>
      <c r="H377" s="10"/>
      <c r="I377" s="10"/>
      <c r="J377" s="64"/>
      <c r="K377" s="64"/>
      <c r="L377" s="10"/>
      <c r="M377" s="10"/>
      <c r="N377" s="10"/>
      <c r="O377" s="10"/>
      <c r="P377" s="10"/>
      <c r="Q377" s="10"/>
      <c r="R377" s="45"/>
      <c r="S377" s="10"/>
      <c r="T377" s="10"/>
      <c r="U377" s="10"/>
      <c r="V377" s="10"/>
      <c r="W377" s="10"/>
      <c r="X377" s="10"/>
      <c r="Y377" s="10"/>
      <c r="Z377" s="10"/>
      <c r="AA377" s="10"/>
      <c r="AB377" s="45"/>
      <c r="AC377" s="83"/>
      <c r="AD377" s="10"/>
      <c r="AE377" s="10"/>
      <c r="AF377" s="10"/>
      <c r="AG377" s="10"/>
      <c r="AH377" s="10"/>
      <c r="AI377" s="10"/>
      <c r="AJ377" s="10"/>
      <c r="AK377" s="91"/>
      <c r="AL377" s="45"/>
      <c r="AM377" s="45"/>
      <c r="AN377" s="45"/>
    </row>
    <row r="378" spans="1:40" x14ac:dyDescent="0.25">
      <c r="A378" s="10"/>
      <c r="B378" s="10"/>
      <c r="C378" s="10"/>
      <c r="D378" s="10"/>
      <c r="E378" s="10"/>
      <c r="F378" s="10"/>
      <c r="G378" s="10"/>
      <c r="H378" s="10"/>
      <c r="I378" s="10"/>
      <c r="J378" s="64"/>
      <c r="K378" s="64"/>
      <c r="L378" s="10"/>
      <c r="M378" s="10"/>
      <c r="N378" s="10"/>
      <c r="O378" s="10"/>
      <c r="P378" s="10"/>
      <c r="Q378" s="10"/>
      <c r="R378" s="45"/>
      <c r="S378" s="10"/>
      <c r="T378" s="10"/>
      <c r="U378" s="10"/>
      <c r="V378" s="10"/>
      <c r="W378" s="10"/>
      <c r="X378" s="10"/>
      <c r="Y378" s="10"/>
      <c r="Z378" s="10"/>
      <c r="AA378" s="10"/>
      <c r="AB378" s="45"/>
      <c r="AC378" s="83"/>
      <c r="AD378" s="10"/>
      <c r="AE378" s="10"/>
      <c r="AF378" s="10"/>
      <c r="AG378" s="10"/>
      <c r="AH378" s="10"/>
      <c r="AI378" s="10"/>
      <c r="AJ378" s="10"/>
      <c r="AK378" s="91"/>
      <c r="AL378" s="45"/>
      <c r="AM378" s="45"/>
      <c r="AN378" s="45"/>
    </row>
    <row r="379" spans="1:40" x14ac:dyDescent="0.25">
      <c r="A379" s="10"/>
      <c r="B379" s="10"/>
      <c r="C379" s="10"/>
      <c r="D379" s="10"/>
      <c r="E379" s="10"/>
      <c r="F379" s="10"/>
      <c r="G379" s="10"/>
      <c r="H379" s="10"/>
      <c r="I379" s="10"/>
      <c r="J379" s="64"/>
      <c r="K379" s="64"/>
      <c r="L379" s="10"/>
      <c r="M379" s="10"/>
      <c r="N379" s="10"/>
      <c r="O379" s="10"/>
      <c r="P379" s="10"/>
      <c r="Q379" s="10"/>
      <c r="R379" s="45"/>
      <c r="S379" s="10"/>
      <c r="T379" s="10"/>
      <c r="U379" s="10"/>
      <c r="V379" s="10"/>
      <c r="W379" s="10"/>
      <c r="X379" s="10"/>
      <c r="Y379" s="10"/>
      <c r="Z379" s="10"/>
      <c r="AA379" s="10"/>
      <c r="AB379" s="45"/>
      <c r="AC379" s="83"/>
      <c r="AD379" s="10"/>
      <c r="AE379" s="10"/>
      <c r="AF379" s="10"/>
      <c r="AG379" s="10"/>
      <c r="AH379" s="10"/>
      <c r="AI379" s="10"/>
      <c r="AJ379" s="10"/>
      <c r="AK379" s="91"/>
      <c r="AL379" s="45"/>
      <c r="AM379" s="45"/>
      <c r="AN379" s="45"/>
    </row>
    <row r="380" spans="1:40" x14ac:dyDescent="0.25">
      <c r="A380" s="10"/>
      <c r="B380" s="10"/>
      <c r="C380" s="10"/>
      <c r="D380" s="10"/>
      <c r="E380" s="10"/>
      <c r="F380" s="10"/>
      <c r="G380" s="10"/>
      <c r="H380" s="10"/>
      <c r="I380" s="10"/>
      <c r="J380" s="64"/>
      <c r="K380" s="64"/>
      <c r="L380" s="10"/>
      <c r="M380" s="10"/>
      <c r="N380" s="10"/>
      <c r="O380" s="10"/>
      <c r="P380" s="10"/>
      <c r="Q380" s="10"/>
      <c r="R380" s="45"/>
      <c r="S380" s="10"/>
      <c r="T380" s="10"/>
      <c r="U380" s="10"/>
      <c r="V380" s="10"/>
      <c r="W380" s="10"/>
      <c r="X380" s="10"/>
      <c r="Y380" s="10"/>
      <c r="Z380" s="10"/>
      <c r="AA380" s="10"/>
      <c r="AB380" s="45"/>
      <c r="AC380" s="83"/>
      <c r="AD380" s="10"/>
      <c r="AE380" s="10"/>
      <c r="AF380" s="10"/>
      <c r="AG380" s="10"/>
      <c r="AH380" s="10"/>
      <c r="AI380" s="10"/>
      <c r="AJ380" s="10"/>
      <c r="AK380" s="91"/>
      <c r="AL380" s="45"/>
      <c r="AM380" s="45"/>
      <c r="AN380" s="45"/>
    </row>
    <row r="381" spans="1:40" x14ac:dyDescent="0.25">
      <c r="A381" s="10"/>
      <c r="B381" s="10"/>
      <c r="C381" s="10"/>
      <c r="D381" s="10"/>
      <c r="E381" s="10"/>
      <c r="F381" s="10"/>
      <c r="G381" s="10"/>
      <c r="H381" s="10"/>
      <c r="I381" s="10"/>
      <c r="J381" s="64"/>
      <c r="K381" s="64"/>
      <c r="L381" s="10"/>
      <c r="M381" s="10"/>
      <c r="N381" s="10"/>
      <c r="O381" s="10"/>
      <c r="P381" s="10"/>
      <c r="Q381" s="10"/>
      <c r="R381" s="45"/>
      <c r="S381" s="10"/>
      <c r="T381" s="10"/>
      <c r="U381" s="10"/>
      <c r="V381" s="10"/>
      <c r="W381" s="10"/>
      <c r="X381" s="10"/>
      <c r="Y381" s="10"/>
      <c r="Z381" s="10"/>
      <c r="AA381" s="10"/>
      <c r="AB381" s="45"/>
      <c r="AC381" s="83"/>
      <c r="AD381" s="10"/>
      <c r="AE381" s="10"/>
      <c r="AF381" s="10"/>
      <c r="AG381" s="10"/>
      <c r="AH381" s="10"/>
      <c r="AI381" s="10"/>
      <c r="AJ381" s="10"/>
      <c r="AK381" s="91"/>
      <c r="AL381" s="45"/>
      <c r="AM381" s="45"/>
      <c r="AN381" s="45"/>
    </row>
    <row r="382" spans="1:40" x14ac:dyDescent="0.25">
      <c r="A382" s="10"/>
      <c r="B382" s="10"/>
      <c r="C382" s="10"/>
      <c r="D382" s="10"/>
      <c r="E382" s="10"/>
      <c r="F382" s="10"/>
      <c r="G382" s="10"/>
      <c r="H382" s="10"/>
      <c r="I382" s="10"/>
      <c r="J382" s="64"/>
      <c r="K382" s="64"/>
      <c r="L382" s="10"/>
      <c r="M382" s="10"/>
      <c r="N382" s="10"/>
      <c r="O382" s="10"/>
      <c r="P382" s="10"/>
      <c r="Q382" s="10"/>
      <c r="R382" s="45"/>
      <c r="S382" s="10"/>
      <c r="T382" s="10"/>
      <c r="U382" s="10"/>
      <c r="V382" s="10"/>
      <c r="W382" s="10"/>
      <c r="X382" s="10"/>
      <c r="Y382" s="10"/>
      <c r="Z382" s="10"/>
      <c r="AA382" s="10"/>
      <c r="AB382" s="45"/>
      <c r="AC382" s="83"/>
      <c r="AD382" s="10"/>
      <c r="AE382" s="10"/>
      <c r="AF382" s="10"/>
      <c r="AG382" s="10"/>
      <c r="AH382" s="10"/>
      <c r="AI382" s="10"/>
      <c r="AJ382" s="10"/>
      <c r="AK382" s="91"/>
      <c r="AL382" s="45"/>
      <c r="AM382" s="45"/>
      <c r="AN382" s="45"/>
    </row>
    <row r="383" spans="1:40" x14ac:dyDescent="0.25">
      <c r="A383" s="10"/>
      <c r="B383" s="10"/>
      <c r="C383" s="10"/>
      <c r="D383" s="10"/>
      <c r="E383" s="10"/>
      <c r="F383" s="10"/>
      <c r="G383" s="10"/>
      <c r="H383" s="10"/>
      <c r="I383" s="10"/>
      <c r="J383" s="64"/>
      <c r="K383" s="64"/>
      <c r="L383" s="10"/>
      <c r="M383" s="10"/>
      <c r="N383" s="10"/>
      <c r="O383" s="10"/>
      <c r="P383" s="10"/>
      <c r="Q383" s="10"/>
      <c r="R383" s="45"/>
      <c r="S383" s="10"/>
      <c r="T383" s="10"/>
      <c r="U383" s="10"/>
      <c r="V383" s="10"/>
      <c r="W383" s="10"/>
      <c r="X383" s="10"/>
      <c r="Y383" s="10"/>
      <c r="Z383" s="10"/>
      <c r="AA383" s="10"/>
      <c r="AB383" s="45"/>
      <c r="AC383" s="83"/>
      <c r="AD383" s="10"/>
      <c r="AE383" s="10"/>
      <c r="AF383" s="10"/>
      <c r="AG383" s="10"/>
      <c r="AH383" s="10"/>
      <c r="AI383" s="10"/>
      <c r="AJ383" s="10"/>
      <c r="AK383" s="91"/>
      <c r="AL383" s="45"/>
      <c r="AM383" s="45"/>
      <c r="AN383" s="45"/>
    </row>
    <row r="384" spans="1:40" x14ac:dyDescent="0.25">
      <c r="A384" s="10"/>
      <c r="B384" s="10"/>
      <c r="C384" s="10"/>
      <c r="D384" s="10"/>
      <c r="E384" s="10"/>
      <c r="F384" s="10"/>
      <c r="G384" s="10"/>
      <c r="H384" s="10"/>
      <c r="I384" s="10"/>
      <c r="J384" s="64"/>
      <c r="K384" s="64"/>
      <c r="L384" s="10"/>
      <c r="M384" s="10"/>
      <c r="N384" s="10"/>
      <c r="O384" s="10"/>
      <c r="P384" s="10"/>
      <c r="Q384" s="10"/>
      <c r="R384" s="45"/>
      <c r="S384" s="10"/>
      <c r="T384" s="10"/>
      <c r="U384" s="10"/>
      <c r="V384" s="10"/>
      <c r="W384" s="10"/>
      <c r="X384" s="10"/>
      <c r="Y384" s="10"/>
      <c r="Z384" s="10"/>
      <c r="AA384" s="10"/>
      <c r="AB384" s="45"/>
      <c r="AC384" s="83"/>
      <c r="AD384" s="10"/>
      <c r="AE384" s="10"/>
      <c r="AF384" s="10"/>
      <c r="AG384" s="10"/>
      <c r="AH384" s="10"/>
      <c r="AI384" s="10"/>
      <c r="AJ384" s="10"/>
      <c r="AK384" s="91"/>
      <c r="AL384" s="45"/>
      <c r="AM384" s="45"/>
      <c r="AN384" s="45"/>
    </row>
    <row r="385" spans="1:40" x14ac:dyDescent="0.25">
      <c r="A385" s="10"/>
      <c r="B385" s="10"/>
      <c r="C385" s="10"/>
      <c r="D385" s="10"/>
      <c r="E385" s="10"/>
      <c r="F385" s="10"/>
      <c r="G385" s="10"/>
      <c r="H385" s="10"/>
      <c r="I385" s="10"/>
      <c r="J385" s="64"/>
      <c r="K385" s="64"/>
      <c r="L385" s="10"/>
      <c r="M385" s="10"/>
      <c r="N385" s="10"/>
      <c r="O385" s="10"/>
      <c r="P385" s="10"/>
      <c r="Q385" s="10"/>
      <c r="R385" s="45"/>
      <c r="S385" s="10"/>
      <c r="T385" s="10"/>
      <c r="U385" s="10"/>
      <c r="V385" s="10"/>
      <c r="W385" s="10"/>
      <c r="X385" s="10"/>
      <c r="Y385" s="10"/>
      <c r="Z385" s="10"/>
      <c r="AA385" s="10"/>
      <c r="AB385" s="45"/>
      <c r="AC385" s="83"/>
      <c r="AD385" s="10"/>
      <c r="AE385" s="10"/>
      <c r="AF385" s="10"/>
      <c r="AG385" s="10"/>
      <c r="AH385" s="10"/>
      <c r="AI385" s="10"/>
      <c r="AJ385" s="10"/>
      <c r="AK385" s="91"/>
      <c r="AL385" s="45"/>
      <c r="AM385" s="45"/>
      <c r="AN385" s="45"/>
    </row>
    <row r="386" spans="1:40" x14ac:dyDescent="0.25">
      <c r="A386" s="10"/>
      <c r="B386" s="10"/>
      <c r="C386" s="10"/>
      <c r="D386" s="10"/>
      <c r="E386" s="10"/>
      <c r="F386" s="10"/>
      <c r="G386" s="10"/>
      <c r="H386" s="10"/>
      <c r="I386" s="10"/>
      <c r="J386" s="64"/>
      <c r="K386" s="64"/>
      <c r="L386" s="10"/>
      <c r="M386" s="10"/>
      <c r="N386" s="10"/>
      <c r="O386" s="10"/>
      <c r="P386" s="10"/>
      <c r="Q386" s="10"/>
      <c r="R386" s="45"/>
      <c r="S386" s="10"/>
      <c r="T386" s="10"/>
      <c r="U386" s="10"/>
      <c r="V386" s="10"/>
      <c r="W386" s="10"/>
      <c r="X386" s="10"/>
      <c r="Y386" s="10"/>
      <c r="Z386" s="10"/>
      <c r="AA386" s="10"/>
      <c r="AB386" s="45"/>
      <c r="AC386" s="83"/>
      <c r="AD386" s="10"/>
      <c r="AE386" s="10"/>
      <c r="AF386" s="10"/>
      <c r="AG386" s="10"/>
      <c r="AH386" s="10"/>
      <c r="AI386" s="10"/>
      <c r="AJ386" s="10"/>
      <c r="AK386" s="91"/>
      <c r="AL386" s="45"/>
      <c r="AM386" s="45"/>
      <c r="AN386" s="45"/>
    </row>
    <row r="387" spans="1:40" x14ac:dyDescent="0.25">
      <c r="A387" s="10"/>
      <c r="B387" s="10"/>
      <c r="C387" s="10"/>
      <c r="D387" s="10"/>
      <c r="E387" s="10"/>
      <c r="F387" s="10"/>
      <c r="G387" s="10"/>
      <c r="H387" s="10"/>
      <c r="I387" s="10"/>
      <c r="J387" s="64"/>
      <c r="K387" s="64"/>
      <c r="L387" s="10"/>
      <c r="M387" s="10"/>
      <c r="N387" s="10"/>
      <c r="O387" s="10"/>
      <c r="P387" s="10"/>
      <c r="Q387" s="10"/>
      <c r="R387" s="45"/>
      <c r="S387" s="10"/>
      <c r="T387" s="10"/>
      <c r="U387" s="10"/>
      <c r="V387" s="10"/>
      <c r="W387" s="10"/>
      <c r="X387" s="10"/>
      <c r="Y387" s="10"/>
      <c r="Z387" s="10"/>
      <c r="AA387" s="10"/>
      <c r="AB387" s="45"/>
      <c r="AC387" s="83"/>
      <c r="AD387" s="10"/>
      <c r="AE387" s="10"/>
      <c r="AF387" s="10"/>
      <c r="AG387" s="10"/>
      <c r="AH387" s="10"/>
      <c r="AI387" s="10"/>
      <c r="AJ387" s="10"/>
      <c r="AK387" s="91"/>
      <c r="AL387" s="45"/>
      <c r="AM387" s="45"/>
      <c r="AN387" s="45"/>
    </row>
    <row r="388" spans="1:40" x14ac:dyDescent="0.25">
      <c r="A388" s="10"/>
      <c r="B388" s="10"/>
      <c r="C388" s="10"/>
      <c r="D388" s="10"/>
      <c r="E388" s="10"/>
      <c r="F388" s="10"/>
      <c r="G388" s="10"/>
      <c r="H388" s="10"/>
      <c r="I388" s="10"/>
      <c r="J388" s="64"/>
      <c r="K388" s="64"/>
      <c r="L388" s="10"/>
      <c r="M388" s="10"/>
      <c r="N388" s="10"/>
      <c r="O388" s="10"/>
      <c r="P388" s="10"/>
      <c r="Q388" s="10"/>
      <c r="R388" s="45"/>
      <c r="S388" s="10"/>
      <c r="T388" s="10"/>
      <c r="U388" s="10"/>
      <c r="V388" s="10"/>
      <c r="W388" s="10"/>
      <c r="X388" s="10"/>
      <c r="Y388" s="10"/>
      <c r="Z388" s="10"/>
      <c r="AA388" s="10"/>
      <c r="AB388" s="45"/>
      <c r="AC388" s="83"/>
      <c r="AD388" s="10"/>
      <c r="AE388" s="10"/>
      <c r="AF388" s="10"/>
      <c r="AG388" s="10"/>
      <c r="AH388" s="10"/>
      <c r="AI388" s="10"/>
      <c r="AJ388" s="10"/>
      <c r="AK388" s="91"/>
      <c r="AL388" s="45"/>
      <c r="AM388" s="45"/>
      <c r="AN388" s="45"/>
    </row>
    <row r="389" spans="1:40" x14ac:dyDescent="0.25">
      <c r="A389" s="10"/>
      <c r="B389" s="10"/>
      <c r="C389" s="10"/>
      <c r="D389" s="10"/>
      <c r="E389" s="10"/>
      <c r="F389" s="10"/>
      <c r="G389" s="10"/>
      <c r="H389" s="10"/>
      <c r="I389" s="10"/>
      <c r="J389" s="64"/>
      <c r="K389" s="64"/>
      <c r="L389" s="10"/>
      <c r="M389" s="10"/>
      <c r="N389" s="10"/>
      <c r="O389" s="10"/>
      <c r="P389" s="10"/>
      <c r="Q389" s="10"/>
      <c r="R389" s="45"/>
      <c r="S389" s="10"/>
      <c r="T389" s="10"/>
      <c r="U389" s="10"/>
      <c r="V389" s="10"/>
      <c r="W389" s="10"/>
      <c r="X389" s="10"/>
      <c r="Y389" s="10"/>
      <c r="Z389" s="10"/>
      <c r="AA389" s="10"/>
      <c r="AB389" s="45"/>
      <c r="AC389" s="83"/>
      <c r="AD389" s="10"/>
      <c r="AE389" s="10"/>
      <c r="AF389" s="10"/>
      <c r="AG389" s="10"/>
      <c r="AH389" s="10"/>
      <c r="AI389" s="10"/>
      <c r="AJ389" s="10"/>
      <c r="AK389" s="91"/>
      <c r="AL389" s="45"/>
      <c r="AM389" s="45"/>
      <c r="AN389" s="45"/>
    </row>
    <row r="390" spans="1:40" x14ac:dyDescent="0.25">
      <c r="A390" s="10"/>
      <c r="B390" s="10"/>
      <c r="C390" s="10"/>
      <c r="D390" s="10"/>
      <c r="E390" s="10"/>
      <c r="F390" s="10"/>
      <c r="G390" s="10"/>
      <c r="H390" s="10"/>
      <c r="I390" s="10"/>
      <c r="J390" s="64"/>
      <c r="K390" s="64"/>
      <c r="L390" s="10"/>
      <c r="M390" s="10"/>
      <c r="N390" s="10"/>
      <c r="O390" s="10"/>
      <c r="P390" s="10"/>
      <c r="Q390" s="10"/>
      <c r="R390" s="45"/>
      <c r="S390" s="10"/>
      <c r="T390" s="10"/>
      <c r="U390" s="10"/>
      <c r="V390" s="10"/>
      <c r="W390" s="10"/>
      <c r="X390" s="10"/>
      <c r="Y390" s="10"/>
      <c r="Z390" s="10"/>
      <c r="AA390" s="10"/>
      <c r="AB390" s="45"/>
      <c r="AC390" s="83"/>
      <c r="AD390" s="10"/>
      <c r="AE390" s="10"/>
      <c r="AF390" s="10"/>
      <c r="AG390" s="10"/>
      <c r="AH390" s="10"/>
      <c r="AI390" s="10"/>
      <c r="AJ390" s="10"/>
      <c r="AK390" s="91"/>
      <c r="AL390" s="45"/>
      <c r="AM390" s="45"/>
      <c r="AN390" s="45"/>
    </row>
    <row r="391" spans="1:40" x14ac:dyDescent="0.25">
      <c r="A391" s="10"/>
      <c r="B391" s="10"/>
      <c r="C391" s="10"/>
      <c r="D391" s="10"/>
      <c r="E391" s="10"/>
      <c r="F391" s="10"/>
      <c r="G391" s="10"/>
      <c r="H391" s="10"/>
      <c r="I391" s="10"/>
      <c r="J391" s="64"/>
      <c r="K391" s="64"/>
      <c r="L391" s="10"/>
      <c r="M391" s="10"/>
      <c r="N391" s="10"/>
      <c r="O391" s="10"/>
      <c r="P391" s="10"/>
      <c r="Q391" s="10"/>
      <c r="R391" s="45"/>
      <c r="S391" s="10"/>
      <c r="T391" s="10"/>
      <c r="U391" s="10"/>
      <c r="V391" s="10"/>
      <c r="W391" s="10"/>
      <c r="X391" s="10"/>
      <c r="Y391" s="10"/>
      <c r="Z391" s="10"/>
      <c r="AA391" s="10"/>
      <c r="AB391" s="45"/>
      <c r="AC391" s="83"/>
      <c r="AD391" s="10"/>
      <c r="AE391" s="10"/>
      <c r="AF391" s="10"/>
      <c r="AG391" s="10"/>
      <c r="AH391" s="10"/>
      <c r="AI391" s="10"/>
      <c r="AJ391" s="10"/>
      <c r="AK391" s="91"/>
      <c r="AL391" s="45"/>
      <c r="AM391" s="45"/>
      <c r="AN391" s="45"/>
    </row>
    <row r="392" spans="1:40" x14ac:dyDescent="0.25">
      <c r="A392" s="10"/>
      <c r="B392" s="10"/>
      <c r="C392" s="10"/>
      <c r="D392" s="10"/>
      <c r="E392" s="10"/>
      <c r="F392" s="10"/>
      <c r="G392" s="10"/>
      <c r="H392" s="10"/>
      <c r="I392" s="10"/>
      <c r="J392" s="64"/>
      <c r="K392" s="64"/>
      <c r="L392" s="10"/>
      <c r="M392" s="10"/>
      <c r="N392" s="10"/>
      <c r="O392" s="10"/>
      <c r="P392" s="10"/>
      <c r="Q392" s="10"/>
      <c r="R392" s="45"/>
      <c r="S392" s="10"/>
      <c r="T392" s="10"/>
      <c r="U392" s="10"/>
      <c r="V392" s="10"/>
      <c r="W392" s="10"/>
      <c r="X392" s="10"/>
      <c r="Y392" s="10"/>
      <c r="Z392" s="10"/>
      <c r="AA392" s="10"/>
      <c r="AB392" s="45"/>
      <c r="AC392" s="83"/>
      <c r="AD392" s="10"/>
      <c r="AE392" s="10"/>
      <c r="AF392" s="10"/>
      <c r="AG392" s="10"/>
      <c r="AH392" s="10"/>
      <c r="AI392" s="10"/>
      <c r="AJ392" s="10"/>
      <c r="AK392" s="91"/>
      <c r="AL392" s="45"/>
      <c r="AM392" s="45"/>
      <c r="AN392" s="45"/>
    </row>
    <row r="393" spans="1:40" x14ac:dyDescent="0.25">
      <c r="A393" s="10"/>
      <c r="B393" s="10"/>
      <c r="C393" s="10"/>
      <c r="D393" s="10"/>
      <c r="E393" s="10"/>
      <c r="F393" s="10"/>
      <c r="G393" s="10"/>
      <c r="H393" s="10"/>
      <c r="I393" s="10"/>
      <c r="J393" s="64"/>
      <c r="K393" s="64"/>
      <c r="L393" s="10"/>
      <c r="M393" s="10"/>
      <c r="N393" s="10"/>
      <c r="O393" s="10"/>
      <c r="P393" s="10"/>
      <c r="Q393" s="10"/>
      <c r="R393" s="45"/>
      <c r="S393" s="10"/>
      <c r="T393" s="10"/>
      <c r="U393" s="10"/>
      <c r="V393" s="10"/>
      <c r="W393" s="10"/>
      <c r="X393" s="10"/>
      <c r="Y393" s="10"/>
      <c r="Z393" s="10"/>
      <c r="AA393" s="10"/>
      <c r="AB393" s="45"/>
      <c r="AC393" s="83"/>
      <c r="AD393" s="10"/>
      <c r="AE393" s="10"/>
      <c r="AF393" s="10"/>
      <c r="AG393" s="10"/>
      <c r="AH393" s="10"/>
      <c r="AI393" s="10"/>
      <c r="AJ393" s="10"/>
      <c r="AK393" s="91"/>
      <c r="AL393" s="45"/>
      <c r="AM393" s="45"/>
      <c r="AN393" s="45"/>
    </row>
    <row r="394" spans="1:40" x14ac:dyDescent="0.25">
      <c r="A394" s="10"/>
      <c r="B394" s="10"/>
      <c r="C394" s="10"/>
      <c r="D394" s="10"/>
      <c r="E394" s="10"/>
      <c r="F394" s="10"/>
      <c r="G394" s="10"/>
      <c r="H394" s="10"/>
      <c r="I394" s="10"/>
      <c r="J394" s="64"/>
      <c r="K394" s="64"/>
      <c r="L394" s="10"/>
      <c r="M394" s="10"/>
      <c r="N394" s="10"/>
      <c r="O394" s="10"/>
      <c r="P394" s="10"/>
      <c r="Q394" s="10"/>
      <c r="R394" s="45"/>
      <c r="S394" s="10"/>
      <c r="T394" s="10"/>
      <c r="U394" s="10"/>
      <c r="V394" s="10"/>
      <c r="W394" s="10"/>
      <c r="X394" s="10"/>
      <c r="Y394" s="10"/>
      <c r="Z394" s="10"/>
      <c r="AA394" s="10"/>
      <c r="AB394" s="45"/>
      <c r="AC394" s="83"/>
      <c r="AD394" s="10"/>
      <c r="AE394" s="10"/>
      <c r="AF394" s="10"/>
      <c r="AG394" s="10"/>
      <c r="AH394" s="10"/>
      <c r="AI394" s="10"/>
      <c r="AJ394" s="10"/>
      <c r="AK394" s="91"/>
      <c r="AL394" s="45"/>
      <c r="AM394" s="45"/>
      <c r="AN394" s="45"/>
    </row>
    <row r="395" spans="1:40" x14ac:dyDescent="0.25">
      <c r="A395" s="10"/>
      <c r="B395" s="10"/>
      <c r="C395" s="10"/>
      <c r="D395" s="10"/>
      <c r="E395" s="10"/>
      <c r="F395" s="10"/>
      <c r="G395" s="10"/>
      <c r="H395" s="10"/>
      <c r="I395" s="10"/>
      <c r="J395" s="64"/>
      <c r="K395" s="64"/>
      <c r="L395" s="10"/>
      <c r="M395" s="10"/>
      <c r="N395" s="10"/>
      <c r="O395" s="10"/>
      <c r="P395" s="10"/>
      <c r="Q395" s="10"/>
      <c r="R395" s="45"/>
      <c r="S395" s="10"/>
      <c r="T395" s="10"/>
      <c r="U395" s="10"/>
      <c r="V395" s="10"/>
      <c r="W395" s="10"/>
      <c r="X395" s="10"/>
      <c r="Y395" s="10"/>
      <c r="Z395" s="10"/>
      <c r="AA395" s="10"/>
      <c r="AB395" s="45"/>
      <c r="AC395" s="83"/>
      <c r="AD395" s="10"/>
      <c r="AE395" s="10"/>
      <c r="AF395" s="10"/>
      <c r="AG395" s="10"/>
      <c r="AH395" s="10"/>
      <c r="AI395" s="10"/>
      <c r="AJ395" s="10"/>
      <c r="AK395" s="91"/>
      <c r="AL395" s="45"/>
      <c r="AM395" s="45"/>
      <c r="AN395" s="45"/>
    </row>
    <row r="396" spans="1:40" x14ac:dyDescent="0.25">
      <c r="A396" s="10"/>
      <c r="B396" s="10"/>
      <c r="C396" s="10"/>
      <c r="D396" s="10"/>
      <c r="E396" s="10"/>
      <c r="F396" s="10"/>
      <c r="G396" s="10"/>
      <c r="H396" s="10"/>
      <c r="I396" s="10"/>
      <c r="J396" s="64"/>
      <c r="K396" s="64"/>
      <c r="L396" s="10"/>
      <c r="M396" s="10"/>
      <c r="N396" s="10"/>
      <c r="O396" s="10"/>
      <c r="P396" s="10"/>
      <c r="Q396" s="10"/>
      <c r="R396" s="45"/>
      <c r="S396" s="10"/>
      <c r="T396" s="10"/>
      <c r="U396" s="10"/>
      <c r="V396" s="10"/>
      <c r="W396" s="10"/>
      <c r="X396" s="10"/>
      <c r="Y396" s="10"/>
      <c r="Z396" s="10"/>
      <c r="AA396" s="10"/>
      <c r="AB396" s="45"/>
      <c r="AC396" s="83"/>
      <c r="AD396" s="10"/>
      <c r="AE396" s="10"/>
      <c r="AF396" s="10"/>
      <c r="AG396" s="10"/>
      <c r="AH396" s="10"/>
      <c r="AI396" s="10"/>
      <c r="AJ396" s="10"/>
      <c r="AK396" s="91"/>
      <c r="AL396" s="45"/>
      <c r="AM396" s="45"/>
      <c r="AN396" s="45"/>
    </row>
    <row r="397" spans="1:40" x14ac:dyDescent="0.25">
      <c r="A397" s="10"/>
      <c r="B397" s="10"/>
      <c r="C397" s="10"/>
      <c r="D397" s="10"/>
      <c r="E397" s="10"/>
      <c r="F397" s="10"/>
      <c r="G397" s="10"/>
      <c r="H397" s="10"/>
      <c r="I397" s="10"/>
      <c r="J397" s="64"/>
      <c r="K397" s="64"/>
      <c r="L397" s="10"/>
      <c r="M397" s="10"/>
      <c r="N397" s="10"/>
      <c r="O397" s="10"/>
      <c r="P397" s="10"/>
      <c r="Q397" s="10"/>
      <c r="R397" s="45"/>
      <c r="S397" s="10"/>
      <c r="T397" s="10"/>
      <c r="U397" s="10"/>
      <c r="V397" s="10"/>
      <c r="W397" s="10"/>
      <c r="X397" s="10"/>
      <c r="Y397" s="10"/>
      <c r="Z397" s="10"/>
      <c r="AA397" s="10"/>
      <c r="AB397" s="45"/>
      <c r="AC397" s="83"/>
      <c r="AD397" s="10"/>
      <c r="AE397" s="10"/>
      <c r="AF397" s="10"/>
      <c r="AG397" s="10"/>
      <c r="AH397" s="10"/>
      <c r="AI397" s="10"/>
      <c r="AJ397" s="10"/>
      <c r="AK397" s="91"/>
      <c r="AL397" s="45"/>
      <c r="AM397" s="45"/>
      <c r="AN397" s="45"/>
    </row>
    <row r="398" spans="1:40" x14ac:dyDescent="0.25">
      <c r="A398" s="10"/>
    </row>
    <row r="440" spans="6:27" ht="15.75" thickBot="1" x14ac:dyDescent="0.3"/>
    <row r="441" spans="6:27" ht="48.75" x14ac:dyDescent="0.25">
      <c r="F441" s="46" t="s">
        <v>1291</v>
      </c>
      <c r="H441" s="47" t="s">
        <v>41</v>
      </c>
      <c r="L441"/>
      <c r="O441" s="48" t="s">
        <v>1292</v>
      </c>
      <c r="P441" s="49" t="s">
        <v>1293</v>
      </c>
      <c r="Q441" s="49"/>
      <c r="R441" s="73" t="s">
        <v>34</v>
      </c>
      <c r="S441" s="49"/>
      <c r="T441" s="49" t="s">
        <v>1294</v>
      </c>
      <c r="U441" s="50" t="s">
        <v>1295</v>
      </c>
      <c r="V441" s="50"/>
      <c r="W441" s="49" t="s">
        <v>1296</v>
      </c>
      <c r="X441" s="51" t="s">
        <v>1297</v>
      </c>
      <c r="Y441" s="52"/>
      <c r="Z441" s="52"/>
      <c r="AA441" s="52"/>
    </row>
    <row r="442" spans="6:27" x14ac:dyDescent="0.25">
      <c r="F442" s="53" t="s">
        <v>1298</v>
      </c>
      <c r="H442" s="47" t="s">
        <v>230</v>
      </c>
      <c r="L442" t="s">
        <v>69</v>
      </c>
      <c r="O442" s="54"/>
      <c r="P442" s="54"/>
      <c r="Q442" s="54"/>
      <c r="R442" s="74"/>
      <c r="S442" s="54"/>
      <c r="T442" s="54"/>
      <c r="U442" s="55"/>
      <c r="V442" s="55"/>
      <c r="W442" s="54"/>
      <c r="X442" s="54"/>
      <c r="Y442" s="54"/>
      <c r="Z442" s="54"/>
      <c r="AA442" s="54"/>
    </row>
    <row r="443" spans="6:27" x14ac:dyDescent="0.25">
      <c r="F443" s="56" t="s">
        <v>1299</v>
      </c>
      <c r="H443" s="47" t="s">
        <v>391</v>
      </c>
      <c r="L443" t="s">
        <v>118</v>
      </c>
      <c r="O443" s="47" t="s">
        <v>53</v>
      </c>
      <c r="P443" s="57" t="s">
        <v>529</v>
      </c>
      <c r="Q443" s="57"/>
      <c r="R443" s="75" t="s">
        <v>205</v>
      </c>
      <c r="S443" s="47"/>
      <c r="T443" s="47" t="s">
        <v>94</v>
      </c>
      <c r="U443" s="58" t="s">
        <v>1300</v>
      </c>
      <c r="V443" s="58"/>
      <c r="W443" s="59" t="s">
        <v>1301</v>
      </c>
    </row>
    <row r="444" spans="6:27" x14ac:dyDescent="0.25">
      <c r="F444" s="60" t="s">
        <v>1302</v>
      </c>
      <c r="H444" s="47" t="s">
        <v>516</v>
      </c>
      <c r="L444" t="s">
        <v>107</v>
      </c>
      <c r="O444" s="47" t="s">
        <v>72</v>
      </c>
      <c r="P444" s="57" t="s">
        <v>1303</v>
      </c>
      <c r="Q444" s="57"/>
      <c r="R444" s="75" t="s">
        <v>1304</v>
      </c>
      <c r="S444" s="47"/>
      <c r="T444" s="47" t="s">
        <v>1305</v>
      </c>
      <c r="U444" s="58" t="s">
        <v>1306</v>
      </c>
      <c r="V444" s="58"/>
      <c r="W444" s="59" t="s">
        <v>1307</v>
      </c>
    </row>
    <row r="445" spans="6:27" x14ac:dyDescent="0.25">
      <c r="F445" s="61" t="s">
        <v>1308</v>
      </c>
      <c r="H445" s="47" t="s">
        <v>621</v>
      </c>
      <c r="L445" t="s">
        <v>156</v>
      </c>
      <c r="O445" s="47" t="s">
        <v>88</v>
      </c>
      <c r="P445" s="57" t="s">
        <v>192</v>
      </c>
      <c r="Q445" s="57"/>
      <c r="R445" s="75" t="s">
        <v>123</v>
      </c>
      <c r="S445" s="47"/>
      <c r="T445" s="47" t="s">
        <v>1309</v>
      </c>
      <c r="U445" s="58" t="s">
        <v>1132</v>
      </c>
      <c r="V445" s="58"/>
      <c r="W445" s="59" t="s">
        <v>1310</v>
      </c>
    </row>
    <row r="446" spans="6:27" x14ac:dyDescent="0.25">
      <c r="F446" s="60" t="s">
        <v>1311</v>
      </c>
      <c r="H446" s="47" t="s">
        <v>703</v>
      </c>
      <c r="L446" t="s">
        <v>1312</v>
      </c>
      <c r="O446" s="47" t="s">
        <v>100</v>
      </c>
      <c r="P446" s="57" t="s">
        <v>92</v>
      </c>
      <c r="Q446" s="57"/>
      <c r="R446" s="75" t="s">
        <v>149</v>
      </c>
      <c r="S446" s="47"/>
      <c r="T446" s="47" t="s">
        <v>59</v>
      </c>
      <c r="U446" s="58" t="s">
        <v>199</v>
      </c>
      <c r="V446" s="58"/>
      <c r="W446" s="59" t="s">
        <v>1313</v>
      </c>
    </row>
    <row r="447" spans="6:27" x14ac:dyDescent="0.25">
      <c r="F447" s="60" t="s">
        <v>1314</v>
      </c>
      <c r="H447" s="47" t="s">
        <v>814</v>
      </c>
      <c r="L447" t="s">
        <v>48</v>
      </c>
      <c r="O447" s="47" t="s">
        <v>110</v>
      </c>
      <c r="P447" s="57" t="s">
        <v>122</v>
      </c>
      <c r="Q447" s="57"/>
      <c r="R447" s="75" t="s">
        <v>58</v>
      </c>
      <c r="S447" s="47"/>
      <c r="T447" s="47" t="s">
        <v>1315</v>
      </c>
      <c r="U447" s="58" t="s">
        <v>1316</v>
      </c>
      <c r="V447" s="58"/>
      <c r="W447" s="59" t="s">
        <v>1317</v>
      </c>
    </row>
    <row r="448" spans="6:27" x14ac:dyDescent="0.25">
      <c r="F448" s="60" t="s">
        <v>210</v>
      </c>
      <c r="H448" s="47" t="s">
        <v>940</v>
      </c>
      <c r="L448" t="s">
        <v>255</v>
      </c>
      <c r="O448" s="47" t="s">
        <v>1318</v>
      </c>
      <c r="P448" s="57" t="s">
        <v>1319</v>
      </c>
      <c r="Q448" s="57"/>
      <c r="R448" s="75" t="s">
        <v>133</v>
      </c>
      <c r="S448" s="47"/>
      <c r="T448" s="47" t="s">
        <v>1320</v>
      </c>
      <c r="U448" s="58" t="s">
        <v>151</v>
      </c>
      <c r="V448" s="58"/>
      <c r="W448" s="59" t="s">
        <v>1321</v>
      </c>
      <c r="X448" s="54"/>
      <c r="Y448" s="54"/>
      <c r="Z448" s="54"/>
      <c r="AA448" s="54"/>
    </row>
    <row r="449" spans="6:27" x14ac:dyDescent="0.25">
      <c r="F449" s="61" t="s">
        <v>1322</v>
      </c>
      <c r="H449" s="47" t="s">
        <v>1013</v>
      </c>
      <c r="L449" t="s">
        <v>165</v>
      </c>
      <c r="O449" s="47" t="s">
        <v>158</v>
      </c>
      <c r="P449" s="57" t="s">
        <v>140</v>
      </c>
      <c r="Q449" s="57"/>
      <c r="R449" s="75" t="s">
        <v>1323</v>
      </c>
      <c r="S449" s="47"/>
      <c r="T449" s="47" t="s">
        <v>1324</v>
      </c>
      <c r="U449" s="58" t="s">
        <v>1325</v>
      </c>
      <c r="V449" s="58"/>
      <c r="W449" s="59" t="s">
        <v>1326</v>
      </c>
      <c r="X449" s="54"/>
      <c r="Y449" s="54"/>
      <c r="Z449" s="54"/>
      <c r="AA449" s="54"/>
    </row>
    <row r="450" spans="6:27" x14ac:dyDescent="0.25">
      <c r="F450" s="60" t="s">
        <v>1327</v>
      </c>
      <c r="H450" s="47" t="s">
        <v>1079</v>
      </c>
      <c r="L450" t="s">
        <v>988</v>
      </c>
      <c r="O450" s="54"/>
      <c r="P450" s="57" t="s">
        <v>57</v>
      </c>
      <c r="Q450" s="57"/>
      <c r="R450" s="75" t="s">
        <v>102</v>
      </c>
      <c r="S450" s="47"/>
      <c r="T450" s="47" t="s">
        <v>124</v>
      </c>
      <c r="U450" s="58" t="s">
        <v>78</v>
      </c>
      <c r="V450" s="58"/>
      <c r="W450" s="59" t="s">
        <v>1328</v>
      </c>
      <c r="X450" s="54"/>
      <c r="Y450" s="54"/>
      <c r="Z450" s="54"/>
      <c r="AA450" s="54"/>
    </row>
    <row r="451" spans="6:27" x14ac:dyDescent="0.25">
      <c r="F451" s="62" t="s">
        <v>1329</v>
      </c>
      <c r="H451" s="47" t="s">
        <v>1179</v>
      </c>
      <c r="L451" t="s">
        <v>265</v>
      </c>
      <c r="O451" s="54"/>
      <c r="P451" s="57" t="s">
        <v>1330</v>
      </c>
      <c r="Q451" s="57"/>
      <c r="R451" s="75" t="s">
        <v>963</v>
      </c>
      <c r="S451" s="47"/>
      <c r="T451" s="47" t="s">
        <v>150</v>
      </c>
      <c r="U451" s="58" t="s">
        <v>125</v>
      </c>
      <c r="V451" s="58"/>
      <c r="W451" s="59" t="s">
        <v>1331</v>
      </c>
      <c r="X451" s="54"/>
      <c r="Y451" s="54"/>
      <c r="Z451" s="54"/>
      <c r="AA451" s="54"/>
    </row>
    <row r="452" spans="6:27" x14ac:dyDescent="0.25">
      <c r="F452" s="62" t="s">
        <v>1332</v>
      </c>
      <c r="H452" s="47" t="s">
        <v>1246</v>
      </c>
      <c r="L452" t="s">
        <v>303</v>
      </c>
      <c r="O452" s="54"/>
      <c r="P452" s="57" t="s">
        <v>1333</v>
      </c>
      <c r="Q452" s="57"/>
      <c r="R452" s="75" t="s">
        <v>1334</v>
      </c>
      <c r="S452" s="47"/>
      <c r="T452" s="47" t="s">
        <v>316</v>
      </c>
      <c r="U452" s="58" t="s">
        <v>134</v>
      </c>
      <c r="V452" s="58"/>
      <c r="W452" s="59" t="s">
        <v>1335</v>
      </c>
      <c r="X452" s="54"/>
      <c r="Y452" s="54"/>
      <c r="Z452" s="54"/>
      <c r="AA452" s="54"/>
    </row>
    <row r="453" spans="6:27" x14ac:dyDescent="0.25">
      <c r="F453" s="60" t="s">
        <v>1336</v>
      </c>
      <c r="L453" t="s">
        <v>83</v>
      </c>
      <c r="O453" s="54"/>
      <c r="P453" s="57" t="s">
        <v>1131</v>
      </c>
      <c r="Q453" s="57"/>
      <c r="R453" s="75" t="s">
        <v>236</v>
      </c>
      <c r="S453" s="47"/>
      <c r="T453" s="47" t="s">
        <v>1337</v>
      </c>
      <c r="U453" s="58" t="s">
        <v>244</v>
      </c>
      <c r="V453" s="58"/>
      <c r="W453" s="59" t="s">
        <v>1338</v>
      </c>
      <c r="X453" s="54"/>
      <c r="Y453" s="54"/>
      <c r="Z453" s="54"/>
      <c r="AA453" s="54"/>
    </row>
    <row r="454" spans="6:27" x14ac:dyDescent="0.25">
      <c r="F454" s="61" t="s">
        <v>1339</v>
      </c>
      <c r="L454"/>
      <c r="O454" s="54"/>
      <c r="P454" s="57" t="s">
        <v>413</v>
      </c>
      <c r="Q454" s="57"/>
      <c r="R454" s="75"/>
      <c r="S454" s="47"/>
      <c r="T454" s="47" t="s">
        <v>1340</v>
      </c>
      <c r="U454" s="58" t="s">
        <v>224</v>
      </c>
      <c r="V454" s="58"/>
      <c r="W454" s="59" t="s">
        <v>1341</v>
      </c>
      <c r="X454" s="54"/>
      <c r="Y454" s="54"/>
      <c r="Z454" s="54"/>
      <c r="AA454" s="54"/>
    </row>
    <row r="455" spans="6:27" x14ac:dyDescent="0.25">
      <c r="F455" s="61" t="s">
        <v>1342</v>
      </c>
      <c r="L455"/>
      <c r="O455" s="54"/>
      <c r="P455" s="57" t="s">
        <v>315</v>
      </c>
      <c r="Q455" s="57"/>
      <c r="R455" s="75"/>
      <c r="S455" s="47"/>
      <c r="T455" s="47" t="s">
        <v>1343</v>
      </c>
      <c r="U455" s="58" t="s">
        <v>462</v>
      </c>
      <c r="V455" s="58"/>
      <c r="W455" s="59" t="s">
        <v>1344</v>
      </c>
      <c r="X455" s="54"/>
      <c r="Y455" s="54"/>
      <c r="Z455" s="54"/>
      <c r="AA455" s="54"/>
    </row>
    <row r="456" spans="6:27" x14ac:dyDescent="0.25">
      <c r="F456" s="61" t="s">
        <v>1345</v>
      </c>
      <c r="L456"/>
      <c r="O456" s="54"/>
      <c r="P456" s="57" t="s">
        <v>132</v>
      </c>
      <c r="Q456" s="57"/>
      <c r="R456" s="75"/>
      <c r="S456" s="47"/>
      <c r="T456" s="47"/>
      <c r="U456" s="58" t="s">
        <v>1346</v>
      </c>
      <c r="V456" s="58"/>
      <c r="W456" s="59" t="s">
        <v>1347</v>
      </c>
      <c r="X456" s="54"/>
      <c r="Y456" s="54"/>
      <c r="Z456" s="54"/>
      <c r="AA456" s="54"/>
    </row>
    <row r="457" spans="6:27" x14ac:dyDescent="0.25">
      <c r="F457" s="63" t="s">
        <v>1348</v>
      </c>
      <c r="L457"/>
      <c r="O457" s="54"/>
      <c r="P457" s="57" t="s">
        <v>389</v>
      </c>
      <c r="Q457" s="57"/>
      <c r="R457" s="75"/>
      <c r="S457" s="47"/>
      <c r="T457" s="47"/>
      <c r="U457" s="58" t="s">
        <v>559</v>
      </c>
      <c r="V457" s="58"/>
      <c r="W457" s="59" t="s">
        <v>1349</v>
      </c>
      <c r="X457" s="54"/>
      <c r="Y457" s="54"/>
      <c r="Z457" s="54"/>
      <c r="AA457" s="54"/>
    </row>
    <row r="458" spans="6:27" x14ac:dyDescent="0.25">
      <c r="F458"/>
      <c r="L458"/>
      <c r="O458" s="54"/>
      <c r="P458" s="57" t="s">
        <v>270</v>
      </c>
      <c r="Q458" s="57"/>
      <c r="R458" s="75"/>
      <c r="S458" s="47"/>
      <c r="T458" s="47"/>
      <c r="U458" s="58"/>
      <c r="V458" s="58"/>
      <c r="W458" s="59" t="s">
        <v>559</v>
      </c>
      <c r="X458" s="54"/>
      <c r="Y458" s="54"/>
      <c r="Z458" s="54"/>
      <c r="AA458" s="54"/>
    </row>
    <row r="459" spans="6:27" x14ac:dyDescent="0.25">
      <c r="F459"/>
      <c r="L459"/>
      <c r="O459" s="54"/>
      <c r="P459" s="57" t="s">
        <v>1350</v>
      </c>
      <c r="Q459" s="57"/>
      <c r="R459" s="75"/>
      <c r="S459" s="47"/>
      <c r="T459" s="47"/>
      <c r="U459" s="58"/>
      <c r="V459" s="58"/>
      <c r="W459" s="59" t="s">
        <v>1351</v>
      </c>
      <c r="X459" s="54"/>
      <c r="Y459" s="54"/>
      <c r="Z459" s="54"/>
      <c r="AA459" s="54"/>
    </row>
    <row r="460" spans="6:27" x14ac:dyDescent="0.25">
      <c r="F460"/>
      <c r="L460"/>
      <c r="O460" s="54"/>
      <c r="P460" s="57" t="s">
        <v>76</v>
      </c>
      <c r="Q460" s="57"/>
      <c r="R460" s="75"/>
      <c r="S460" s="47"/>
      <c r="T460" s="47"/>
      <c r="U460" s="58"/>
      <c r="V460" s="58"/>
      <c r="W460" s="59"/>
      <c r="X460" s="54"/>
      <c r="Y460" s="54"/>
      <c r="Z460" s="54"/>
      <c r="AA460" s="54"/>
    </row>
    <row r="461" spans="6:27" x14ac:dyDescent="0.25">
      <c r="F461"/>
      <c r="L461"/>
      <c r="O461" s="54"/>
      <c r="P461" s="57" t="s">
        <v>328</v>
      </c>
      <c r="Q461" s="57"/>
      <c r="R461" s="75"/>
      <c r="S461" s="47"/>
      <c r="T461" s="47"/>
      <c r="U461" s="58"/>
      <c r="V461" s="58"/>
      <c r="W461" s="59"/>
      <c r="X461" s="54"/>
      <c r="Y461" s="54"/>
      <c r="Z461" s="54"/>
      <c r="AA461" s="54"/>
    </row>
    <row r="462" spans="6:27" x14ac:dyDescent="0.25">
      <c r="F462"/>
      <c r="L462"/>
      <c r="U462"/>
      <c r="V462"/>
    </row>
    <row r="463" spans="6:27" x14ac:dyDescent="0.25">
      <c r="F463"/>
      <c r="L463"/>
      <c r="U463"/>
      <c r="V463"/>
    </row>
    <row r="464" spans="6:27" x14ac:dyDescent="0.25">
      <c r="F464"/>
      <c r="L464"/>
      <c r="U464"/>
      <c r="V464"/>
    </row>
    <row r="465" spans="6:22" x14ac:dyDescent="0.25">
      <c r="F465"/>
      <c r="L465"/>
      <c r="U465"/>
      <c r="V465"/>
    </row>
    <row r="466" spans="6:22" x14ac:dyDescent="0.25">
      <c r="F466"/>
      <c r="L466"/>
      <c r="U466"/>
      <c r="V466"/>
    </row>
    <row r="467" spans="6:22" x14ac:dyDescent="0.25">
      <c r="F467"/>
      <c r="L467"/>
      <c r="U467"/>
      <c r="V467"/>
    </row>
    <row r="468" spans="6:22" x14ac:dyDescent="0.25">
      <c r="F468"/>
      <c r="L468"/>
      <c r="U468"/>
      <c r="V468"/>
    </row>
    <row r="469" spans="6:22" x14ac:dyDescent="0.25">
      <c r="F469"/>
      <c r="L469"/>
      <c r="U469"/>
      <c r="V469"/>
    </row>
    <row r="470" spans="6:22" x14ac:dyDescent="0.25">
      <c r="F470"/>
      <c r="L470"/>
      <c r="U470"/>
      <c r="V470"/>
    </row>
    <row r="471" spans="6:22" x14ac:dyDescent="0.25">
      <c r="F471"/>
      <c r="L471"/>
      <c r="U471"/>
      <c r="V471"/>
    </row>
    <row r="472" spans="6:22" x14ac:dyDescent="0.25">
      <c r="F472"/>
      <c r="L472"/>
      <c r="U472"/>
      <c r="V472"/>
    </row>
    <row r="473" spans="6:22" x14ac:dyDescent="0.25">
      <c r="F473"/>
      <c r="L473"/>
      <c r="U473"/>
      <c r="V473"/>
    </row>
    <row r="474" spans="6:22" x14ac:dyDescent="0.25">
      <c r="F474"/>
      <c r="L474"/>
      <c r="U474"/>
      <c r="V474"/>
    </row>
    <row r="475" spans="6:22" x14ac:dyDescent="0.25">
      <c r="F475"/>
      <c r="L475"/>
      <c r="U475"/>
      <c r="V475"/>
    </row>
    <row r="476" spans="6:22" x14ac:dyDescent="0.25">
      <c r="F476"/>
      <c r="L476"/>
      <c r="U476"/>
      <c r="V476"/>
    </row>
    <row r="477" spans="6:22" x14ac:dyDescent="0.25">
      <c r="F477"/>
      <c r="L477"/>
      <c r="U477"/>
      <c r="V477"/>
    </row>
    <row r="478" spans="6:22" x14ac:dyDescent="0.25">
      <c r="F478"/>
      <c r="L478"/>
      <c r="U478"/>
      <c r="V478"/>
    </row>
  </sheetData>
  <autoFilter ref="A6:AN337" xr:uid="{00000000-0001-0000-0000-000000000000}">
    <filterColumn colId="1">
      <filters>
        <filter val="ENERO"/>
        <filter val="FEBRERO"/>
      </filters>
    </filterColumn>
  </autoFilter>
  <dataConsolidate/>
  <mergeCells count="1">
    <mergeCell ref="E1:O1"/>
  </mergeCells>
  <phoneticPr fontId="38" type="noConversion"/>
  <dataValidations count="1">
    <dataValidation type="list" allowBlank="1" showInputMessage="1" showErrorMessage="1" sqref="T129 S6:S337 S340:S65535 T230" xr:uid="{00000000-0002-0000-0000-000000000000}">
      <formula1>$L$442:$L$453</formula1>
    </dataValidation>
  </dataValidations>
  <pageMargins left="0.7" right="0.7" top="0.75" bottom="0.75" header="0.3" footer="0.3"/>
  <pageSetup scale="12" orientation="portrait" r:id="rId1"/>
  <colBreaks count="1" manualBreakCount="1">
    <brk id="40"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U34"/>
  <sheetViews>
    <sheetView showGridLines="0" zoomScale="90" zoomScaleNormal="90" workbookViewId="0">
      <selection activeCell="N18" sqref="N18"/>
    </sheetView>
  </sheetViews>
  <sheetFormatPr baseColWidth="10" defaultColWidth="11.42578125" defaultRowHeight="15" x14ac:dyDescent="0.25"/>
  <cols>
    <col min="1" max="1" width="9.140625" style="6" customWidth="1"/>
    <col min="2" max="2" width="5.85546875" style="6" customWidth="1"/>
    <col min="3" max="3" width="11.28515625" style="6" customWidth="1"/>
    <col min="4" max="4" width="9.28515625" style="6" bestFit="1" customWidth="1"/>
    <col min="5" max="5" width="13.85546875" style="6" customWidth="1"/>
    <col min="6" max="6" width="18.140625" style="6" bestFit="1" customWidth="1"/>
    <col min="7" max="7" width="11.28515625" bestFit="1" customWidth="1"/>
    <col min="8" max="8" width="9.42578125" bestFit="1" customWidth="1"/>
    <col min="9" max="9" width="11.140625" style="6" customWidth="1"/>
    <col min="10" max="11" width="11.28515625" style="6" bestFit="1" customWidth="1"/>
    <col min="12" max="12" width="12.42578125" hidden="1" customWidth="1"/>
    <col min="13" max="13" width="16.42578125" hidden="1" customWidth="1"/>
    <col min="14" max="14" width="22.85546875" style="6" customWidth="1"/>
    <col min="15" max="15" width="16" style="6" customWidth="1"/>
    <col min="16" max="16" width="16.85546875" bestFit="1" customWidth="1"/>
    <col min="17" max="17" width="16" style="6" bestFit="1" customWidth="1"/>
    <col min="18" max="18" width="11.140625" style="6" bestFit="1" customWidth="1"/>
    <col min="19" max="19" width="11.28515625" style="6" bestFit="1" customWidth="1"/>
    <col min="20" max="20" width="10" style="6" bestFit="1" customWidth="1"/>
    <col min="21" max="21" width="151.140625" style="6" customWidth="1"/>
  </cols>
  <sheetData>
    <row r="5" spans="1:21" s="3" customFormat="1" ht="36" x14ac:dyDescent="0.2">
      <c r="A5" s="2" t="s">
        <v>3</v>
      </c>
      <c r="B5" s="2" t="s">
        <v>1</v>
      </c>
      <c r="C5" s="2" t="s">
        <v>2</v>
      </c>
      <c r="D5" s="2" t="s">
        <v>1352</v>
      </c>
      <c r="E5" s="2" t="s">
        <v>1353</v>
      </c>
      <c r="F5" s="2" t="s">
        <v>1354</v>
      </c>
      <c r="G5" s="2" t="s">
        <v>1355</v>
      </c>
      <c r="H5" s="2" t="s">
        <v>1356</v>
      </c>
      <c r="I5" s="2" t="s">
        <v>1357</v>
      </c>
      <c r="J5" s="2" t="s">
        <v>26</v>
      </c>
      <c r="K5" s="2" t="s">
        <v>1358</v>
      </c>
      <c r="L5" s="2" t="s">
        <v>30</v>
      </c>
      <c r="M5" s="2" t="s">
        <v>31</v>
      </c>
      <c r="N5" s="2" t="s">
        <v>1359</v>
      </c>
      <c r="O5" s="2" t="s">
        <v>1360</v>
      </c>
      <c r="P5" s="2" t="s">
        <v>1361</v>
      </c>
      <c r="Q5" s="2" t="s">
        <v>1362</v>
      </c>
      <c r="R5" s="2" t="s">
        <v>1363</v>
      </c>
      <c r="S5" s="2" t="s">
        <v>1364</v>
      </c>
      <c r="T5" s="2" t="s">
        <v>1365</v>
      </c>
      <c r="U5" s="2" t="s">
        <v>1366</v>
      </c>
    </row>
    <row r="6" spans="1:21" x14ac:dyDescent="0.25">
      <c r="A6" s="10" t="s">
        <v>42</v>
      </c>
      <c r="B6" s="10">
        <v>2021</v>
      </c>
      <c r="C6" s="10" t="s">
        <v>41</v>
      </c>
      <c r="D6" s="10" t="s">
        <v>1367</v>
      </c>
      <c r="E6" s="10" t="s">
        <v>1368</v>
      </c>
      <c r="F6" s="12" t="s">
        <v>1369</v>
      </c>
      <c r="G6" s="13">
        <v>44209</v>
      </c>
      <c r="H6" s="22">
        <v>0.82638888888888884</v>
      </c>
      <c r="I6" s="11">
        <v>44209</v>
      </c>
      <c r="J6" s="11">
        <v>44209</v>
      </c>
      <c r="K6" s="10" t="s">
        <v>166</v>
      </c>
      <c r="L6" s="10"/>
      <c r="M6" s="10"/>
      <c r="N6" s="10" t="s">
        <v>1370</v>
      </c>
      <c r="O6" s="10" t="s">
        <v>1371</v>
      </c>
      <c r="P6" s="10" t="s">
        <v>1372</v>
      </c>
      <c r="Q6" s="10" t="s">
        <v>1373</v>
      </c>
      <c r="R6" s="10" t="s">
        <v>1374</v>
      </c>
      <c r="S6" s="10" t="s">
        <v>1374</v>
      </c>
      <c r="T6" s="10" t="s">
        <v>1375</v>
      </c>
      <c r="U6" s="24" t="s">
        <v>1376</v>
      </c>
    </row>
    <row r="7" spans="1:21" x14ac:dyDescent="0.25">
      <c r="A7" s="10" t="s">
        <v>42</v>
      </c>
      <c r="B7" s="10">
        <v>2021</v>
      </c>
      <c r="C7" s="10" t="s">
        <v>41</v>
      </c>
      <c r="D7" s="10" t="s">
        <v>1377</v>
      </c>
      <c r="E7" s="10" t="s">
        <v>1368</v>
      </c>
      <c r="F7" s="12" t="s">
        <v>1369</v>
      </c>
      <c r="G7" s="13">
        <v>44222</v>
      </c>
      <c r="H7" s="22">
        <v>0.52083333333333337</v>
      </c>
      <c r="I7" s="11">
        <v>44222</v>
      </c>
      <c r="J7" s="11">
        <v>44222</v>
      </c>
      <c r="K7" s="10" t="s">
        <v>166</v>
      </c>
      <c r="L7" s="10"/>
      <c r="M7" s="10"/>
      <c r="N7" s="10" t="s">
        <v>1378</v>
      </c>
      <c r="O7" s="10" t="s">
        <v>1379</v>
      </c>
      <c r="P7" s="10" t="s">
        <v>1372</v>
      </c>
      <c r="Q7" s="10" t="s">
        <v>1373</v>
      </c>
      <c r="R7" s="10" t="s">
        <v>1374</v>
      </c>
      <c r="S7" s="10" t="s">
        <v>1374</v>
      </c>
      <c r="T7" s="10" t="s">
        <v>1375</v>
      </c>
      <c r="U7" s="24" t="s">
        <v>1380</v>
      </c>
    </row>
    <row r="8" spans="1:21" ht="30" x14ac:dyDescent="0.25">
      <c r="A8" s="95" t="s">
        <v>42</v>
      </c>
      <c r="B8" s="10">
        <v>2021</v>
      </c>
      <c r="C8" s="10" t="s">
        <v>41</v>
      </c>
      <c r="D8" s="10" t="s">
        <v>1381</v>
      </c>
      <c r="E8" s="10" t="s">
        <v>1368</v>
      </c>
      <c r="F8" s="12" t="s">
        <v>1382</v>
      </c>
      <c r="G8" s="13">
        <v>44223</v>
      </c>
      <c r="H8" s="22">
        <v>0.82638888888888884</v>
      </c>
      <c r="I8" s="11">
        <v>44224</v>
      </c>
      <c r="J8" s="11">
        <v>44223</v>
      </c>
      <c r="K8" s="10" t="s">
        <v>303</v>
      </c>
      <c r="L8" s="10"/>
      <c r="M8" s="10"/>
      <c r="N8" s="10" t="s">
        <v>1383</v>
      </c>
      <c r="O8" s="10" t="s">
        <v>1384</v>
      </c>
      <c r="P8" s="10" t="s">
        <v>1385</v>
      </c>
      <c r="Q8" s="10" t="s">
        <v>1373</v>
      </c>
      <c r="R8" s="10" t="s">
        <v>1374</v>
      </c>
      <c r="S8" s="10" t="s">
        <v>1374</v>
      </c>
      <c r="T8" s="10" t="s">
        <v>1375</v>
      </c>
      <c r="U8" s="85" t="s">
        <v>1386</v>
      </c>
    </row>
    <row r="9" spans="1:21" ht="30" x14ac:dyDescent="0.25">
      <c r="A9" s="95" t="s">
        <v>42</v>
      </c>
      <c r="B9" s="10">
        <v>2021</v>
      </c>
      <c r="C9" s="10" t="s">
        <v>230</v>
      </c>
      <c r="D9" s="10" t="s">
        <v>1387</v>
      </c>
      <c r="E9" s="10" t="s">
        <v>1368</v>
      </c>
      <c r="F9" s="12" t="s">
        <v>1369</v>
      </c>
      <c r="G9" s="13">
        <v>44254</v>
      </c>
      <c r="H9" s="22">
        <v>0.59027777777777779</v>
      </c>
      <c r="I9" s="11">
        <v>44254</v>
      </c>
      <c r="J9" s="11">
        <v>44254</v>
      </c>
      <c r="K9" s="10" t="s">
        <v>166</v>
      </c>
      <c r="L9" s="10"/>
      <c r="M9" s="10"/>
      <c r="N9" s="10" t="s">
        <v>472</v>
      </c>
      <c r="O9" s="10" t="s">
        <v>1388</v>
      </c>
      <c r="P9" s="10" t="s">
        <v>1389</v>
      </c>
      <c r="Q9" s="10" t="s">
        <v>1390</v>
      </c>
      <c r="R9" s="10" t="s">
        <v>1374</v>
      </c>
      <c r="S9" s="10" t="s">
        <v>63</v>
      </c>
      <c r="T9" s="10" t="s">
        <v>63</v>
      </c>
      <c r="U9" s="85" t="s">
        <v>1391</v>
      </c>
    </row>
    <row r="10" spans="1:21" x14ac:dyDescent="0.25">
      <c r="A10" s="10" t="s">
        <v>42</v>
      </c>
      <c r="B10" s="10">
        <v>2021</v>
      </c>
      <c r="C10" s="10" t="s">
        <v>516</v>
      </c>
      <c r="D10" s="10" t="s">
        <v>1392</v>
      </c>
      <c r="E10" s="10" t="s">
        <v>1368</v>
      </c>
      <c r="F10" s="12" t="s">
        <v>1369</v>
      </c>
      <c r="G10" s="13">
        <v>44312</v>
      </c>
      <c r="H10" s="22">
        <v>0.85416666666666663</v>
      </c>
      <c r="I10" s="11">
        <v>44312</v>
      </c>
      <c r="J10" s="11">
        <v>44312</v>
      </c>
      <c r="K10" s="10" t="s">
        <v>166</v>
      </c>
      <c r="L10" s="10"/>
      <c r="M10" s="10"/>
      <c r="N10" s="10" t="s">
        <v>1393</v>
      </c>
      <c r="O10" s="10" t="s">
        <v>1394</v>
      </c>
      <c r="P10" s="10" t="s">
        <v>1372</v>
      </c>
      <c r="Q10" s="10" t="s">
        <v>1390</v>
      </c>
      <c r="R10" s="10" t="s">
        <v>1374</v>
      </c>
      <c r="S10" s="10" t="s">
        <v>1374</v>
      </c>
      <c r="T10" s="10" t="s">
        <v>1375</v>
      </c>
      <c r="U10" s="24" t="s">
        <v>1395</v>
      </c>
    </row>
    <row r="11" spans="1:21" x14ac:dyDescent="0.25">
      <c r="A11" s="10" t="s">
        <v>42</v>
      </c>
      <c r="B11" s="10">
        <v>2021</v>
      </c>
      <c r="C11" s="10" t="s">
        <v>621</v>
      </c>
      <c r="D11" s="10" t="s">
        <v>1396</v>
      </c>
      <c r="E11" s="10" t="s">
        <v>1368</v>
      </c>
      <c r="F11" s="12" t="s">
        <v>1369</v>
      </c>
      <c r="G11" s="13">
        <v>44335</v>
      </c>
      <c r="H11" s="22">
        <v>0.79166666666666663</v>
      </c>
      <c r="I11" s="11">
        <v>44335</v>
      </c>
      <c r="J11" s="11">
        <v>44335</v>
      </c>
      <c r="K11" s="10" t="s">
        <v>166</v>
      </c>
      <c r="L11" s="10"/>
      <c r="M11" s="10"/>
      <c r="N11" s="10" t="s">
        <v>1397</v>
      </c>
      <c r="O11" s="10" t="s">
        <v>1398</v>
      </c>
      <c r="P11" s="10" t="s">
        <v>1399</v>
      </c>
      <c r="Q11" s="10" t="s">
        <v>1390</v>
      </c>
      <c r="R11" s="10" t="s">
        <v>1374</v>
      </c>
      <c r="S11" s="10" t="s">
        <v>1374</v>
      </c>
      <c r="T11" s="10" t="s">
        <v>1375</v>
      </c>
      <c r="U11" s="24" t="s">
        <v>1400</v>
      </c>
    </row>
    <row r="12" spans="1:21" x14ac:dyDescent="0.25">
      <c r="A12" s="10"/>
      <c r="B12" s="10"/>
      <c r="C12" s="10"/>
      <c r="D12" s="10"/>
      <c r="E12" s="10"/>
      <c r="F12" s="12"/>
      <c r="G12" s="13"/>
      <c r="H12" s="22"/>
      <c r="I12" s="11"/>
      <c r="J12" s="10"/>
      <c r="K12" s="10"/>
      <c r="L12" s="10"/>
      <c r="M12" s="10"/>
      <c r="N12" s="10"/>
      <c r="O12" s="10"/>
      <c r="P12" s="10"/>
      <c r="Q12" s="10"/>
      <c r="R12" s="10"/>
      <c r="S12" s="10"/>
      <c r="T12" s="10"/>
      <c r="U12" s="24"/>
    </row>
    <row r="13" spans="1:21" x14ac:dyDescent="0.25">
      <c r="A13" s="10"/>
      <c r="B13" s="10"/>
      <c r="C13" s="10"/>
      <c r="D13" s="10"/>
      <c r="E13" s="10"/>
      <c r="F13" s="12"/>
      <c r="G13" s="13"/>
      <c r="H13" s="22"/>
      <c r="I13" s="11"/>
      <c r="J13" s="10"/>
      <c r="K13" s="10"/>
      <c r="L13" s="10"/>
      <c r="M13" s="10"/>
      <c r="N13" s="10"/>
      <c r="O13" s="10"/>
      <c r="P13" s="10"/>
      <c r="Q13" s="10"/>
      <c r="R13" s="10"/>
      <c r="S13" s="10"/>
      <c r="T13" s="10"/>
      <c r="U13" s="10"/>
    </row>
    <row r="16" spans="1:21" x14ac:dyDescent="0.25">
      <c r="E16" s="5"/>
      <c r="F16" s="23" t="s">
        <v>41</v>
      </c>
      <c r="G16" s="5"/>
      <c r="H16" s="4" t="s">
        <v>1368</v>
      </c>
      <c r="I16" s="5" t="s">
        <v>1401</v>
      </c>
      <c r="J16" s="5"/>
    </row>
    <row r="17" spans="5:10" x14ac:dyDescent="0.25">
      <c r="E17" s="5"/>
      <c r="F17" s="23" t="s">
        <v>230</v>
      </c>
      <c r="G17" s="5"/>
      <c r="H17" s="4" t="s">
        <v>1402</v>
      </c>
      <c r="I17" s="5" t="s">
        <v>1403</v>
      </c>
      <c r="J17" s="5"/>
    </row>
    <row r="18" spans="5:10" x14ac:dyDescent="0.25">
      <c r="E18" s="5"/>
      <c r="F18" s="23" t="s">
        <v>391</v>
      </c>
      <c r="G18" s="5"/>
      <c r="H18" s="4" t="s">
        <v>1312</v>
      </c>
      <c r="I18" s="5" t="s">
        <v>1404</v>
      </c>
      <c r="J18" s="5"/>
    </row>
    <row r="19" spans="5:10" x14ac:dyDescent="0.25">
      <c r="E19" s="5"/>
      <c r="F19" s="23" t="s">
        <v>516</v>
      </c>
      <c r="G19" s="5"/>
      <c r="H19" s="4" t="s">
        <v>1405</v>
      </c>
      <c r="I19" s="5" t="s">
        <v>1406</v>
      </c>
      <c r="J19" s="5"/>
    </row>
    <row r="20" spans="5:10" x14ac:dyDescent="0.25">
      <c r="E20" s="5"/>
      <c r="F20" s="23" t="s">
        <v>621</v>
      </c>
      <c r="G20" s="5"/>
      <c r="H20" s="4" t="s">
        <v>1407</v>
      </c>
      <c r="I20" s="5" t="s">
        <v>1382</v>
      </c>
      <c r="J20" s="5"/>
    </row>
    <row r="21" spans="5:10" x14ac:dyDescent="0.25">
      <c r="E21" s="5"/>
      <c r="F21" s="23" t="s">
        <v>703</v>
      </c>
      <c r="G21" s="5"/>
      <c r="H21" s="4" t="s">
        <v>1408</v>
      </c>
      <c r="I21" s="5" t="s">
        <v>1409</v>
      </c>
      <c r="J21" s="5"/>
    </row>
    <row r="22" spans="5:10" x14ac:dyDescent="0.25">
      <c r="E22" s="5"/>
      <c r="F22" s="23" t="s">
        <v>814</v>
      </c>
      <c r="G22" s="5"/>
      <c r="H22" s="4" t="s">
        <v>1410</v>
      </c>
      <c r="I22" s="5" t="s">
        <v>1411</v>
      </c>
      <c r="J22" s="5"/>
    </row>
    <row r="23" spans="5:10" x14ac:dyDescent="0.25">
      <c r="E23" s="5"/>
      <c r="F23" s="23" t="s">
        <v>940</v>
      </c>
      <c r="G23" s="5"/>
      <c r="H23" s="4" t="s">
        <v>1412</v>
      </c>
      <c r="I23" s="5" t="s">
        <v>1413</v>
      </c>
      <c r="J23" s="5"/>
    </row>
    <row r="24" spans="5:10" x14ac:dyDescent="0.25">
      <c r="E24" s="5"/>
      <c r="F24" s="23" t="s">
        <v>1013</v>
      </c>
      <c r="G24" s="5"/>
      <c r="H24" s="4"/>
      <c r="I24" s="5" t="s">
        <v>1414</v>
      </c>
      <c r="J24" s="5"/>
    </row>
    <row r="25" spans="5:10" x14ac:dyDescent="0.25">
      <c r="E25" s="5"/>
      <c r="F25" s="23" t="s">
        <v>1079</v>
      </c>
      <c r="G25" s="5"/>
      <c r="H25" s="4"/>
      <c r="I25" s="5" t="s">
        <v>1415</v>
      </c>
      <c r="J25" s="5"/>
    </row>
    <row r="26" spans="5:10" x14ac:dyDescent="0.25">
      <c r="E26" s="5"/>
      <c r="F26" s="23" t="s">
        <v>1179</v>
      </c>
      <c r="G26" s="5"/>
      <c r="H26" s="4"/>
      <c r="I26" s="5" t="s">
        <v>1416</v>
      </c>
      <c r="J26" s="5"/>
    </row>
    <row r="27" spans="5:10" x14ac:dyDescent="0.25">
      <c r="E27" s="5"/>
      <c r="F27" s="23" t="s">
        <v>1246</v>
      </c>
      <c r="G27" s="5"/>
      <c r="H27" s="4"/>
      <c r="I27" s="5" t="s">
        <v>1417</v>
      </c>
      <c r="J27" s="5"/>
    </row>
    <row r="28" spans="5:10" x14ac:dyDescent="0.25">
      <c r="E28" s="5"/>
      <c r="F28" s="5"/>
      <c r="G28" s="5"/>
      <c r="H28" s="4"/>
      <c r="I28" s="5" t="s">
        <v>1418</v>
      </c>
      <c r="J28" s="5"/>
    </row>
    <row r="29" spans="5:10" x14ac:dyDescent="0.25">
      <c r="E29" s="5"/>
      <c r="F29" s="5"/>
      <c r="G29" s="5"/>
      <c r="H29" s="4"/>
      <c r="I29" s="5" t="s">
        <v>1419</v>
      </c>
      <c r="J29" s="5"/>
    </row>
    <row r="30" spans="5:10" x14ac:dyDescent="0.25">
      <c r="E30" s="5"/>
      <c r="F30" s="5"/>
      <c r="G30" s="5"/>
      <c r="H30" s="4"/>
      <c r="I30" s="5" t="s">
        <v>1420</v>
      </c>
      <c r="J30" s="5"/>
    </row>
    <row r="31" spans="5:10" x14ac:dyDescent="0.25">
      <c r="E31" s="5"/>
      <c r="F31" s="5"/>
      <c r="G31" s="5"/>
      <c r="H31" s="4"/>
      <c r="I31" s="5" t="s">
        <v>1369</v>
      </c>
      <c r="J31" s="5"/>
    </row>
    <row r="32" spans="5:10" x14ac:dyDescent="0.25">
      <c r="E32" s="5"/>
      <c r="F32" s="5"/>
      <c r="G32" s="5"/>
      <c r="H32" s="4"/>
      <c r="I32" s="5" t="s">
        <v>1421</v>
      </c>
      <c r="J32" s="5"/>
    </row>
    <row r="33" spans="5:10" x14ac:dyDescent="0.25">
      <c r="E33" s="5"/>
      <c r="F33" s="5"/>
      <c r="G33" s="5"/>
      <c r="H33" s="4"/>
      <c r="I33" s="5" t="s">
        <v>1422</v>
      </c>
      <c r="J33" s="5"/>
    </row>
    <row r="34" spans="5:10" x14ac:dyDescent="0.25">
      <c r="E34" s="5"/>
      <c r="F34" s="5"/>
      <c r="G34" s="5"/>
      <c r="H34" s="4"/>
      <c r="I34" s="5"/>
      <c r="J34" s="5"/>
    </row>
  </sheetData>
  <autoFilter ref="A5:U5" xr:uid="{00000000-0009-0000-0000-000001000000}"/>
  <dataValidations count="3">
    <dataValidation type="list" allowBlank="1" showInputMessage="1" showErrorMessage="1" sqref="E6:E13" xr:uid="{00000000-0002-0000-0100-000000000000}">
      <formula1>$H$16:$H$23</formula1>
    </dataValidation>
    <dataValidation type="list" allowBlank="1" showInputMessage="1" showErrorMessage="1" sqref="F6:F13" xr:uid="{00000000-0002-0000-0100-000001000000}">
      <formula1>$I$16:$I$33</formula1>
    </dataValidation>
    <dataValidation type="list" allowBlank="1" showInputMessage="1" showErrorMessage="1" sqref="C6:C13" xr:uid="{00000000-0002-0000-0100-000002000000}">
      <formula1>$F$16:$F$27</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106"/>
  <sheetViews>
    <sheetView showGridLines="0" zoomScale="80" zoomScaleNormal="80" workbookViewId="0">
      <selection activeCell="L4" sqref="L4:M8"/>
    </sheetView>
  </sheetViews>
  <sheetFormatPr baseColWidth="10" defaultColWidth="11" defaultRowHeight="12.75" x14ac:dyDescent="0.2"/>
  <cols>
    <col min="1" max="1" width="1.42578125" style="107" customWidth="1"/>
    <col min="2" max="2" width="34.7109375" style="107" bestFit="1" customWidth="1"/>
    <col min="3" max="3" width="6.140625" style="107" bestFit="1" customWidth="1"/>
    <col min="4" max="4" width="11" style="107" bestFit="1" customWidth="1"/>
    <col min="5" max="5" width="9.42578125" style="107" customWidth="1"/>
    <col min="6" max="6" width="1.42578125" style="107" customWidth="1"/>
    <col min="7" max="7" width="28.5703125" style="107" customWidth="1"/>
    <col min="8" max="8" width="10.85546875" style="107" bestFit="1" customWidth="1"/>
    <col min="9" max="9" width="11" style="107" bestFit="1" customWidth="1"/>
    <col min="10" max="10" width="9.42578125" style="107" customWidth="1"/>
    <col min="11" max="11" width="1.42578125" style="107" customWidth="1"/>
    <col min="12" max="12" width="28" style="107" customWidth="1"/>
    <col min="13" max="13" width="12" style="107" customWidth="1"/>
    <col min="14" max="15" width="11" style="107"/>
    <col min="16" max="16" width="1.85546875" style="107" customWidth="1"/>
    <col min="17" max="17" width="11" style="107"/>
    <col min="18" max="18" width="29.28515625" style="107" customWidth="1"/>
    <col min="19" max="16384" width="11" style="107"/>
  </cols>
  <sheetData>
    <row r="2" spans="2:20" ht="13.5" thickBot="1" x14ac:dyDescent="0.25"/>
    <row r="3" spans="2:20" ht="13.5" thickBot="1" x14ac:dyDescent="0.25">
      <c r="B3" s="108" t="s">
        <v>1423</v>
      </c>
      <c r="C3" s="109" t="s">
        <v>1424</v>
      </c>
      <c r="D3" s="110" t="s">
        <v>1425</v>
      </c>
      <c r="E3" s="109" t="s">
        <v>1426</v>
      </c>
      <c r="G3" s="111" t="s">
        <v>1427</v>
      </c>
      <c r="H3" s="109" t="s">
        <v>1424</v>
      </c>
      <c r="I3" s="109" t="s">
        <v>1425</v>
      </c>
      <c r="J3" s="109" t="s">
        <v>1426</v>
      </c>
      <c r="L3" s="108" t="s">
        <v>19</v>
      </c>
      <c r="M3" s="112" t="s">
        <v>1424</v>
      </c>
      <c r="N3" s="110" t="s">
        <v>1425</v>
      </c>
      <c r="O3" s="109" t="s">
        <v>1426</v>
      </c>
      <c r="R3" s="189" t="s">
        <v>19</v>
      </c>
      <c r="S3" s="190" t="s">
        <v>195</v>
      </c>
      <c r="T3" s="191" t="s">
        <v>1425</v>
      </c>
    </row>
    <row r="4" spans="2:20" x14ac:dyDescent="0.2">
      <c r="B4" s="104" t="s">
        <v>1428</v>
      </c>
      <c r="C4" s="113">
        <f>'Grafica Sup.'!D9</f>
        <v>12</v>
      </c>
      <c r="D4" s="114">
        <f t="shared" ref="D4:D14" si="0">C4/$C$16</f>
        <v>0.27906976744186046</v>
      </c>
      <c r="E4" s="115">
        <f>D4</f>
        <v>0.27906976744186046</v>
      </c>
      <c r="G4" s="116" t="s">
        <v>58</v>
      </c>
      <c r="H4" s="117">
        <f>COUNTIF('Consolidado Accidentes'!$AH$6:$AH$423,"Manos / dedos")</f>
        <v>95</v>
      </c>
      <c r="I4" s="114">
        <f t="shared" ref="I4:I16" si="1">H4/$H$19</f>
        <v>0.41304347826086957</v>
      </c>
      <c r="J4" s="114">
        <f>I4</f>
        <v>0.41304347826086957</v>
      </c>
      <c r="L4" s="104" t="s">
        <v>1428</v>
      </c>
      <c r="M4" s="117">
        <f>COUNTIF('Consolidado Accidentes'!S7:S436,"TROZADO DE POLLO")</f>
        <v>61</v>
      </c>
      <c r="N4" s="118">
        <f t="shared" ref="N4:N15" si="2">M4/$M$16</f>
        <v>0.26521739130434785</v>
      </c>
      <c r="O4" s="115">
        <f>N4</f>
        <v>0.26521739130434785</v>
      </c>
      <c r="R4" s="240" t="s">
        <v>1428</v>
      </c>
      <c r="S4" s="212">
        <f>COUNTIFS('Consolidado Accidentes'!S:S,"TROZADO DE POLLO",'Consolidado Accidentes'!Q:Q,"LGF")</f>
        <v>9</v>
      </c>
      <c r="T4" s="213">
        <f t="shared" ref="T4:T15" si="3">S4*$T$16/$S$16</f>
        <v>0.26470588235294118</v>
      </c>
    </row>
    <row r="5" spans="2:20" x14ac:dyDescent="0.2">
      <c r="B5" s="105" t="s">
        <v>156</v>
      </c>
      <c r="C5" s="113">
        <f>'Grafica Sup.'!D24</f>
        <v>7</v>
      </c>
      <c r="D5" s="119">
        <f t="shared" si="0"/>
        <v>0.16279069767441862</v>
      </c>
      <c r="E5" s="115">
        <f>E4+D5</f>
        <v>0.44186046511627908</v>
      </c>
      <c r="G5" s="106" t="s">
        <v>102</v>
      </c>
      <c r="H5" s="120">
        <f>COUNTIF('Consolidado Accidentes'!$AH$7:$AH$423,"Pie")</f>
        <v>31</v>
      </c>
      <c r="I5" s="119">
        <f t="shared" si="1"/>
        <v>0.13478260869565217</v>
      </c>
      <c r="J5" s="119">
        <f t="shared" ref="J5:J16" si="4">J4+I5</f>
        <v>0.54782608695652169</v>
      </c>
      <c r="L5" s="105" t="s">
        <v>156</v>
      </c>
      <c r="M5" s="120">
        <f>COUNTIF('Consolidado Accidentes'!S7:S436,"SSGG")</f>
        <v>37</v>
      </c>
      <c r="N5" s="115">
        <f t="shared" si="2"/>
        <v>0.16086956521739129</v>
      </c>
      <c r="O5" s="115">
        <f t="shared" ref="O5:O15" si="5">O4+N5</f>
        <v>0.42608695652173911</v>
      </c>
      <c r="R5" s="203" t="s">
        <v>107</v>
      </c>
      <c r="S5" s="202">
        <f>COUNTIFS('Consolidado Accidentes'!S:S,"FAENACION",'Consolidado Accidentes'!Q:Q,"LGF")</f>
        <v>4</v>
      </c>
      <c r="T5" s="208">
        <f t="shared" si="3"/>
        <v>0.11764705882352941</v>
      </c>
    </row>
    <row r="6" spans="2:20" x14ac:dyDescent="0.2">
      <c r="B6" s="105" t="s">
        <v>107</v>
      </c>
      <c r="C6" s="113">
        <f>'Grafica Sup.'!D48</f>
        <v>5</v>
      </c>
      <c r="D6" s="119">
        <f t="shared" si="0"/>
        <v>0.11627906976744186</v>
      </c>
      <c r="E6" s="115">
        <f t="shared" ref="E6:E14" si="6">E5+D6</f>
        <v>0.55813953488372092</v>
      </c>
      <c r="G6" s="106" t="s">
        <v>123</v>
      </c>
      <c r="H6" s="120">
        <f>COUNTIF('Consolidado Accidentes'!$AH$6:$AH$423,"Ojos")</f>
        <v>29</v>
      </c>
      <c r="I6" s="119">
        <f t="shared" si="1"/>
        <v>0.12608695652173912</v>
      </c>
      <c r="J6" s="119">
        <f t="shared" si="4"/>
        <v>0.67391304347826075</v>
      </c>
      <c r="L6" s="105" t="s">
        <v>1429</v>
      </c>
      <c r="M6" s="120">
        <f>COUNTIF('Consolidado Accidentes'!S5:S436,"P. POSTERIORES")</f>
        <v>31</v>
      </c>
      <c r="N6" s="115">
        <f t="shared" si="2"/>
        <v>0.13478260869565217</v>
      </c>
      <c r="O6" s="115">
        <f t="shared" si="5"/>
        <v>0.56086956521739129</v>
      </c>
      <c r="R6" s="203" t="s">
        <v>1430</v>
      </c>
      <c r="S6" s="202">
        <f>COUNTIFS('Consolidado Accidentes'!S:S,"TROZADO DE PAVO",'Consolidado Accidentes'!Q:Q,"LGF")</f>
        <v>2</v>
      </c>
      <c r="T6" s="208">
        <f t="shared" si="3"/>
        <v>5.8823529411764705E-2</v>
      </c>
    </row>
    <row r="7" spans="2:20" x14ac:dyDescent="0.2">
      <c r="B7" s="105" t="s">
        <v>165</v>
      </c>
      <c r="C7" s="113">
        <f>'Grafica Sup.'!D96</f>
        <v>5</v>
      </c>
      <c r="D7" s="119">
        <f t="shared" si="0"/>
        <v>0.11627906976744186</v>
      </c>
      <c r="E7" s="115">
        <f t="shared" si="6"/>
        <v>0.67441860465116277</v>
      </c>
      <c r="G7" s="106" t="s">
        <v>149</v>
      </c>
      <c r="H7" s="120">
        <f>COUNTIF('Consolidado Accidentes'!$AH$6:$AH$423,"Brazo")</f>
        <v>24</v>
      </c>
      <c r="I7" s="119">
        <f t="shared" si="1"/>
        <v>0.10434782608695652</v>
      </c>
      <c r="J7" s="119">
        <f t="shared" si="4"/>
        <v>0.77826086956521723</v>
      </c>
      <c r="L7" s="105" t="s">
        <v>107</v>
      </c>
      <c r="M7" s="120">
        <f>COUNTIF('Consolidado Accidentes'!S7:S436,"FAENACION")</f>
        <v>29</v>
      </c>
      <c r="N7" s="115">
        <f t="shared" si="2"/>
        <v>0.12608695652173912</v>
      </c>
      <c r="O7" s="115">
        <f t="shared" si="5"/>
        <v>0.68695652173913047</v>
      </c>
      <c r="R7" s="240" t="s">
        <v>156</v>
      </c>
      <c r="S7" s="212">
        <f>COUNTIFS('Consolidado Accidentes'!S:S,"SSGG",'Consolidado Accidentes'!Q:Q,"LGF")</f>
        <v>7</v>
      </c>
      <c r="T7" s="213">
        <f t="shared" si="3"/>
        <v>0.20588235294117646</v>
      </c>
    </row>
    <row r="8" spans="2:20" x14ac:dyDescent="0.2">
      <c r="B8" s="105" t="s">
        <v>83</v>
      </c>
      <c r="C8" s="113">
        <f>'Grafica Sup.'!D125</f>
        <v>4</v>
      </c>
      <c r="D8" s="119">
        <f t="shared" si="0"/>
        <v>9.3023255813953487E-2</v>
      </c>
      <c r="E8" s="115">
        <f t="shared" si="6"/>
        <v>0.76744186046511631</v>
      </c>
      <c r="G8" s="106" t="s">
        <v>419</v>
      </c>
      <c r="H8" s="120">
        <f>COUNTIF('Consolidado Accidentes'!$AH$6:$AH$423,"Pierna")</f>
        <v>18</v>
      </c>
      <c r="I8" s="119">
        <f t="shared" si="1"/>
        <v>7.8260869565217397E-2</v>
      </c>
      <c r="J8" s="119">
        <f t="shared" si="4"/>
        <v>0.85652173913043461</v>
      </c>
      <c r="L8" s="105" t="s">
        <v>83</v>
      </c>
      <c r="M8" s="120">
        <f>COUNTIF('Consolidado Accidentes'!S7:S436,"IQF Y CALIBRADO")</f>
        <v>22</v>
      </c>
      <c r="N8" s="115">
        <f t="shared" si="2"/>
        <v>9.5652173913043481E-2</v>
      </c>
      <c r="O8" s="115">
        <f t="shared" si="5"/>
        <v>0.78260869565217395</v>
      </c>
      <c r="R8" s="240" t="s">
        <v>1429</v>
      </c>
      <c r="S8" s="212">
        <f>COUNTIFS('Consolidado Accidentes'!S:S,"P. POSTERIORES",'Consolidado Accidentes'!Q:Q,"LGF")</f>
        <v>4</v>
      </c>
      <c r="T8" s="213">
        <f t="shared" si="3"/>
        <v>0.11764705882352941</v>
      </c>
    </row>
    <row r="9" spans="2:20" x14ac:dyDescent="0.2">
      <c r="B9" s="105" t="s">
        <v>1429</v>
      </c>
      <c r="C9" s="113">
        <f>'Grafica Sup.'!D36</f>
        <v>5</v>
      </c>
      <c r="D9" s="119">
        <f t="shared" si="0"/>
        <v>0.11627906976744186</v>
      </c>
      <c r="E9" s="115">
        <f t="shared" si="6"/>
        <v>0.88372093023255816</v>
      </c>
      <c r="G9" s="106" t="s">
        <v>93</v>
      </c>
      <c r="H9" s="120">
        <f>COUNTIF('Consolidado Accidentes'!$AH$6:$AH$423,"rostro")</f>
        <v>11</v>
      </c>
      <c r="I9" s="119">
        <f t="shared" si="1"/>
        <v>4.7826086956521741E-2</v>
      </c>
      <c r="J9" s="119">
        <f t="shared" si="4"/>
        <v>0.90434782608695641</v>
      </c>
      <c r="L9" s="105" t="s">
        <v>1430</v>
      </c>
      <c r="M9" s="120">
        <f>COUNTIF('Consolidado Accidentes'!S7:S436,"TROZADO DE PAVO")</f>
        <v>17</v>
      </c>
      <c r="N9" s="115">
        <f t="shared" si="2"/>
        <v>7.3913043478260873E-2</v>
      </c>
      <c r="O9" s="115">
        <f t="shared" si="5"/>
        <v>0.85652173913043483</v>
      </c>
      <c r="R9" s="203" t="s">
        <v>1431</v>
      </c>
      <c r="S9" s="202">
        <f>COUNTIFS('Consolidado Accidentes'!S:S,"FRIGORIFICO",'Consolidado Accidentes'!Q:Q,"LGF")</f>
        <v>3</v>
      </c>
      <c r="T9" s="208">
        <f t="shared" si="3"/>
        <v>8.8235294117647065E-2</v>
      </c>
    </row>
    <row r="10" spans="2:20" x14ac:dyDescent="0.2">
      <c r="B10" s="105" t="s">
        <v>1430</v>
      </c>
      <c r="C10" s="113">
        <f>'Grafica Sup.'!D60</f>
        <v>2</v>
      </c>
      <c r="D10" s="119">
        <f t="shared" si="0"/>
        <v>4.6511627906976744E-2</v>
      </c>
      <c r="E10" s="115">
        <f t="shared" si="6"/>
        <v>0.93023255813953487</v>
      </c>
      <c r="G10" s="106" t="s">
        <v>236</v>
      </c>
      <c r="H10" s="120">
        <f>COUNTIF('Consolidado Accidentes'!$AH$6:$AH$423,"Espalda")</f>
        <v>8</v>
      </c>
      <c r="I10" s="119">
        <f t="shared" si="1"/>
        <v>3.4782608695652174E-2</v>
      </c>
      <c r="J10" s="119">
        <f t="shared" si="4"/>
        <v>0.9391304347826086</v>
      </c>
      <c r="L10" s="105" t="s">
        <v>165</v>
      </c>
      <c r="M10" s="120">
        <f>COUNTIF('Consolidado Accidentes'!S7:S436,"MANTENCION")</f>
        <v>16</v>
      </c>
      <c r="N10" s="115">
        <f t="shared" si="2"/>
        <v>6.9565217391304349E-2</v>
      </c>
      <c r="O10" s="115">
        <f t="shared" si="5"/>
        <v>0.92608695652173922</v>
      </c>
      <c r="R10" s="203" t="s">
        <v>165</v>
      </c>
      <c r="S10" s="202">
        <f>COUNTIFS('Consolidado Accidentes'!S:S,"MANTENCION",'Consolidado Accidentes'!Q:Q,"LGF")</f>
        <v>2</v>
      </c>
      <c r="T10" s="208">
        <f t="shared" si="3"/>
        <v>5.8823529411764705E-2</v>
      </c>
    </row>
    <row r="11" spans="2:20" x14ac:dyDescent="0.2">
      <c r="B11" s="105" t="s">
        <v>1431</v>
      </c>
      <c r="C11" s="113">
        <f>'Grafica Sup.'!D75</f>
        <v>2</v>
      </c>
      <c r="D11" s="119">
        <f t="shared" si="0"/>
        <v>4.6511627906976744E-2</v>
      </c>
      <c r="E11" s="115">
        <f t="shared" si="6"/>
        <v>0.97674418604651159</v>
      </c>
      <c r="G11" s="106" t="s">
        <v>133</v>
      </c>
      <c r="H11" s="120">
        <f>COUNTIF('Consolidado Accidentes'!$AH$6:$AH$423,"Tronco")</f>
        <v>6</v>
      </c>
      <c r="I11" s="119">
        <f t="shared" si="1"/>
        <v>2.6086956521739129E-2</v>
      </c>
      <c r="J11" s="119">
        <f t="shared" si="4"/>
        <v>0.96521739130434769</v>
      </c>
      <c r="L11" s="105" t="s">
        <v>1431</v>
      </c>
      <c r="M11" s="120">
        <f>COUNTIF('Consolidado Accidentes'!S7:S436,"FRIGORIFICO")</f>
        <v>13</v>
      </c>
      <c r="N11" s="115">
        <f t="shared" si="2"/>
        <v>5.6521739130434782E-2</v>
      </c>
      <c r="O11" s="115">
        <f t="shared" si="5"/>
        <v>0.98260869565217401</v>
      </c>
      <c r="R11" s="203" t="s">
        <v>83</v>
      </c>
      <c r="S11" s="202">
        <f>COUNTIFS('Consolidado Accidentes'!S:S,"IQF Y CALIBRADO",'Consolidado Accidentes'!Q:Q,"LGF")</f>
        <v>2</v>
      </c>
      <c r="T11" s="208">
        <f t="shared" si="3"/>
        <v>5.8823529411764705E-2</v>
      </c>
    </row>
    <row r="12" spans="2:20" x14ac:dyDescent="0.2">
      <c r="B12" s="105" t="s">
        <v>303</v>
      </c>
      <c r="C12" s="113">
        <f>'Grafica Sup.'!D136</f>
        <v>1</v>
      </c>
      <c r="D12" s="119">
        <f t="shared" si="0"/>
        <v>2.3255813953488372E-2</v>
      </c>
      <c r="E12" s="115">
        <f t="shared" si="6"/>
        <v>1</v>
      </c>
      <c r="G12" s="106" t="s">
        <v>205</v>
      </c>
      <c r="H12" s="120">
        <f>COUNTIF('Consolidado Accidentes'!$AH$6:$AH$423,"Cabeza")</f>
        <v>6</v>
      </c>
      <c r="I12" s="119">
        <f t="shared" si="1"/>
        <v>2.6086956521739129E-2</v>
      </c>
      <c r="J12" s="119">
        <f t="shared" si="4"/>
        <v>0.99130434782608678</v>
      </c>
      <c r="L12" s="105" t="s">
        <v>303</v>
      </c>
      <c r="M12" s="120">
        <f>COUNTIF('Consolidado Accidentes'!S7:S436,"BODEGA")</f>
        <v>2</v>
      </c>
      <c r="N12" s="115">
        <f t="shared" si="2"/>
        <v>8.6956521739130436E-3</v>
      </c>
      <c r="O12" s="115">
        <f t="shared" si="5"/>
        <v>0.99130434782608701</v>
      </c>
      <c r="R12" s="203" t="s">
        <v>303</v>
      </c>
      <c r="S12" s="202">
        <f>COUNTIFS('Consolidado Accidentes'!S:S,"BODEGA",'Consolidado Accidentes'!Q:Q,"LGF")</f>
        <v>1</v>
      </c>
      <c r="T12" s="208">
        <f t="shared" si="3"/>
        <v>2.9411764705882353E-2</v>
      </c>
    </row>
    <row r="13" spans="2:20" x14ac:dyDescent="0.2">
      <c r="B13" s="40" t="s">
        <v>1312</v>
      </c>
      <c r="C13" s="113">
        <f>'Grafica Sup.'!D106</f>
        <v>0</v>
      </c>
      <c r="D13" s="119">
        <f t="shared" si="0"/>
        <v>0</v>
      </c>
      <c r="E13" s="115">
        <f t="shared" si="6"/>
        <v>1</v>
      </c>
      <c r="G13" s="121" t="s">
        <v>77</v>
      </c>
      <c r="H13" s="120">
        <f>COUNTIF('Consolidado Accidentes'!$AH$6:$AH$423,"Pelvis")</f>
        <v>1</v>
      </c>
      <c r="I13" s="119">
        <f t="shared" si="1"/>
        <v>4.3478260869565218E-3</v>
      </c>
      <c r="J13" s="119">
        <f t="shared" si="4"/>
        <v>0.99565217391304328</v>
      </c>
      <c r="L13" s="105" t="s">
        <v>1432</v>
      </c>
      <c r="M13" s="120">
        <f>COUNTIF('Consolidado Accidentes'!S7:S437,"PERSONAL")</f>
        <v>2</v>
      </c>
      <c r="N13" s="115">
        <f t="shared" si="2"/>
        <v>8.6956521739130436E-3</v>
      </c>
      <c r="O13" s="115">
        <f t="shared" si="5"/>
        <v>1</v>
      </c>
      <c r="R13" s="203" t="s">
        <v>1432</v>
      </c>
      <c r="S13" s="202">
        <f>COUNTIFS('Consolidado Accidentes'!S:S,"PERSONAL",'Consolidado Accidentes'!Q:Q,"LGF")</f>
        <v>0</v>
      </c>
      <c r="T13" s="208">
        <f t="shared" si="3"/>
        <v>0</v>
      </c>
    </row>
    <row r="14" spans="2:20" x14ac:dyDescent="0.2">
      <c r="B14" s="105" t="s">
        <v>1433</v>
      </c>
      <c r="C14" s="113">
        <v>0</v>
      </c>
      <c r="D14" s="119">
        <f t="shared" si="0"/>
        <v>0</v>
      </c>
      <c r="E14" s="115">
        <f t="shared" si="6"/>
        <v>1</v>
      </c>
      <c r="G14" s="106" t="s">
        <v>1434</v>
      </c>
      <c r="H14" s="120">
        <f>COUNTIF('Consolidado Accidentes'!$AH$6:$AH$423,"Multiple")</f>
        <v>1</v>
      </c>
      <c r="I14" s="119">
        <f t="shared" si="1"/>
        <v>4.3478260869565218E-3</v>
      </c>
      <c r="J14" s="119">
        <f t="shared" si="4"/>
        <v>0.99999999999999978</v>
      </c>
      <c r="L14" s="40" t="s">
        <v>1312</v>
      </c>
      <c r="M14" s="120">
        <f>COUNTIF('Consolidado Accidentes'!S7:S436,"CALIDAD")</f>
        <v>0</v>
      </c>
      <c r="N14" s="115">
        <f t="shared" si="2"/>
        <v>0</v>
      </c>
      <c r="O14" s="115">
        <f t="shared" si="5"/>
        <v>1</v>
      </c>
      <c r="R14" s="204" t="s">
        <v>1312</v>
      </c>
      <c r="S14" s="202">
        <f>COUNTIFS('Consolidado Accidentes'!S:S,"CALIDAD",'Consolidado Accidentes'!Q:Q,"LGF")</f>
        <v>0</v>
      </c>
      <c r="T14" s="208">
        <f t="shared" si="3"/>
        <v>0</v>
      </c>
    </row>
    <row r="15" spans="2:20" x14ac:dyDescent="0.2">
      <c r="B15" s="105"/>
      <c r="C15" s="113"/>
      <c r="D15" s="122"/>
      <c r="E15" s="115"/>
      <c r="G15" s="106" t="s">
        <v>1435</v>
      </c>
      <c r="H15" s="120">
        <f>COUNTIF('Consolidado Accidentes'!$AH$6:$AH$423,"Otro")</f>
        <v>0</v>
      </c>
      <c r="I15" s="119">
        <f t="shared" si="1"/>
        <v>0</v>
      </c>
      <c r="J15" s="119">
        <f t="shared" si="4"/>
        <v>0.99999999999999978</v>
      </c>
      <c r="L15" s="105" t="s">
        <v>1433</v>
      </c>
      <c r="M15" s="120">
        <f>COUNTIF('Consolidado Accidentes'!S7:S436,"ADMINISTRACION")</f>
        <v>0</v>
      </c>
      <c r="N15" s="115">
        <f t="shared" si="2"/>
        <v>0</v>
      </c>
      <c r="O15" s="115">
        <f t="shared" si="5"/>
        <v>1</v>
      </c>
      <c r="R15" s="203" t="s">
        <v>1433</v>
      </c>
      <c r="S15" s="202">
        <f>COUNTIFS('Consolidado Accidentes'!S:S,"ADMINISTRACION",'Consolidado Accidentes'!Q:Q,"LGF")</f>
        <v>0</v>
      </c>
      <c r="T15" s="208">
        <f t="shared" si="3"/>
        <v>0</v>
      </c>
    </row>
    <row r="16" spans="2:20" x14ac:dyDescent="0.2">
      <c r="B16" s="123" t="s">
        <v>1436</v>
      </c>
      <c r="C16" s="124">
        <f>SUM(C4:C14)</f>
        <v>43</v>
      </c>
      <c r="D16" s="125">
        <f>SUM(D4:D14)</f>
        <v>1</v>
      </c>
      <c r="E16" s="126"/>
      <c r="G16" s="106" t="s">
        <v>1437</v>
      </c>
      <c r="H16" s="120">
        <f>COUNTIF('Consolidado Accidentes'!$AH$6:$AH$423,"Lesion Interna")</f>
        <v>0</v>
      </c>
      <c r="I16" s="119">
        <f t="shared" si="1"/>
        <v>0</v>
      </c>
      <c r="J16" s="119">
        <f t="shared" si="4"/>
        <v>0.99999999999999978</v>
      </c>
      <c r="L16" s="123" t="s">
        <v>1436</v>
      </c>
      <c r="M16" s="124">
        <f>SUM(M4:M15)</f>
        <v>230</v>
      </c>
      <c r="N16" s="126">
        <f>SUM(N4:N14)</f>
        <v>1</v>
      </c>
      <c r="O16" s="126"/>
      <c r="R16" s="205" t="s">
        <v>1438</v>
      </c>
      <c r="S16" s="207">
        <f>SUM(S4:S15)</f>
        <v>34</v>
      </c>
      <c r="T16" s="206">
        <v>1</v>
      </c>
    </row>
    <row r="17" spans="2:20" ht="13.5" thickBot="1" x14ac:dyDescent="0.25">
      <c r="B17" s="127" t="s">
        <v>1439</v>
      </c>
      <c r="C17" s="128" t="s">
        <v>1424</v>
      </c>
      <c r="D17" s="129" t="s">
        <v>1425</v>
      </c>
      <c r="E17" s="128" t="s">
        <v>1426</v>
      </c>
      <c r="G17" s="106"/>
      <c r="H17" s="120"/>
      <c r="I17" s="119"/>
      <c r="J17" s="119"/>
      <c r="L17" s="130"/>
      <c r="M17" s="113"/>
      <c r="N17" s="119"/>
      <c r="O17" s="115"/>
    </row>
    <row r="18" spans="2:20" ht="13.5" thickBot="1" x14ac:dyDescent="0.25">
      <c r="B18" s="131" t="s">
        <v>1325</v>
      </c>
      <c r="C18" s="120">
        <f>COUNTIF('Consolidado Accidentes'!AJ7:AJ423,"Golpeado por")</f>
        <v>80</v>
      </c>
      <c r="D18" s="132">
        <f t="shared" ref="D18:D33" si="7">C18/$C$36</f>
        <v>0.34782608695652173</v>
      </c>
      <c r="E18" s="119">
        <f>D18</f>
        <v>0.34782608695652173</v>
      </c>
      <c r="G18" s="133"/>
      <c r="H18" s="133"/>
      <c r="I18" s="133"/>
      <c r="J18" s="133"/>
      <c r="L18" s="108" t="s">
        <v>1440</v>
      </c>
      <c r="M18" s="109" t="s">
        <v>1424</v>
      </c>
      <c r="N18" s="134" t="s">
        <v>1425</v>
      </c>
      <c r="O18" s="109" t="s">
        <v>1426</v>
      </c>
      <c r="R18" s="189" t="s">
        <v>1441</v>
      </c>
      <c r="S18" s="190" t="s">
        <v>1442</v>
      </c>
      <c r="T18" s="191" t="s">
        <v>1425</v>
      </c>
    </row>
    <row r="19" spans="2:20" x14ac:dyDescent="0.2">
      <c r="B19" s="131" t="s">
        <v>134</v>
      </c>
      <c r="C19" s="120">
        <f>COUNTIF('Consolidado Accidentes'!AJ7:AJ423,"Caida de mismo nivel")</f>
        <v>33</v>
      </c>
      <c r="D19" s="132">
        <f t="shared" si="7"/>
        <v>0.14347826086956522</v>
      </c>
      <c r="E19" s="119">
        <f t="shared" ref="E19:E33" si="8">E18+D19</f>
        <v>0.49130434782608695</v>
      </c>
      <c r="G19" s="135" t="s">
        <v>1424</v>
      </c>
      <c r="H19" s="123">
        <f>SUM(H4:H16)</f>
        <v>230</v>
      </c>
      <c r="I19" s="136">
        <f>SUM(I4:I16)</f>
        <v>0.99999999999999978</v>
      </c>
      <c r="J19" s="126"/>
      <c r="L19" s="137" t="s">
        <v>1443</v>
      </c>
      <c r="M19" s="138">
        <f>COUNTIF('Consolidado Accidentes'!B6:B492,"Enero")</f>
        <v>20</v>
      </c>
      <c r="N19" s="132">
        <f t="shared" ref="N19:N30" si="9">M19/$M$32</f>
        <v>8.6956521739130432E-2</v>
      </c>
      <c r="O19" s="119"/>
      <c r="R19" s="211" t="s">
        <v>1444</v>
      </c>
      <c r="S19" s="212">
        <f>COUNTIF('Consolidado Accidentes'!R:R,"LGF4")</f>
        <v>12</v>
      </c>
      <c r="T19" s="213">
        <f t="shared" ref="T19:T25" si="10">S19*$T$26/$S$26</f>
        <v>0.35294117647058826</v>
      </c>
    </row>
    <row r="20" spans="2:20" x14ac:dyDescent="0.2">
      <c r="B20" s="131" t="s">
        <v>199</v>
      </c>
      <c r="C20" s="120">
        <f>COUNTIF('Consolidado Accidentes'!AJ7:AJ423,"Contacto con cuerpo cortante")</f>
        <v>26</v>
      </c>
      <c r="D20" s="132">
        <f t="shared" si="7"/>
        <v>0.11304347826086956</v>
      </c>
      <c r="E20" s="119">
        <f t="shared" si="8"/>
        <v>0.60434782608695647</v>
      </c>
      <c r="G20" s="249"/>
      <c r="H20" s="247"/>
      <c r="I20" s="139"/>
      <c r="J20" s="139"/>
      <c r="L20" s="137" t="s">
        <v>1445</v>
      </c>
      <c r="M20" s="140">
        <f>COUNTIF('Consolidado Accidentes'!B7:B412,"Febrero")</f>
        <v>24</v>
      </c>
      <c r="N20" s="132">
        <f t="shared" si="9"/>
        <v>0.10434782608695652</v>
      </c>
      <c r="O20" s="119"/>
      <c r="R20" s="211" t="s">
        <v>1446</v>
      </c>
      <c r="S20" s="212">
        <f>COUNTIF('Consolidado Accidentes'!R:R,"LGF7")</f>
        <v>6</v>
      </c>
      <c r="T20" s="213">
        <f t="shared" si="10"/>
        <v>0.17647058823529413</v>
      </c>
    </row>
    <row r="21" spans="2:20" x14ac:dyDescent="0.2">
      <c r="B21" s="131" t="s">
        <v>125</v>
      </c>
      <c r="C21" s="120">
        <f>COUNTIF('Consolidado Accidentes'!AJ7:AJ423,"Proyeccion de particulas")</f>
        <v>27</v>
      </c>
      <c r="D21" s="132">
        <f t="shared" si="7"/>
        <v>0.11739130434782609</v>
      </c>
      <c r="E21" s="119">
        <f t="shared" si="8"/>
        <v>0.72173913043478255</v>
      </c>
      <c r="G21" s="111" t="s">
        <v>1447</v>
      </c>
      <c r="H21" s="109" t="s">
        <v>1424</v>
      </c>
      <c r="I21" s="139"/>
      <c r="J21" s="139"/>
      <c r="K21" s="107">
        <v>1</v>
      </c>
      <c r="L21" s="137" t="s">
        <v>1448</v>
      </c>
      <c r="M21" s="140">
        <f>COUNTIF('Consolidado Accidentes'!B7:B412,"Marzo")</f>
        <v>23</v>
      </c>
      <c r="N21" s="132">
        <f t="shared" si="9"/>
        <v>0.1</v>
      </c>
      <c r="O21" s="119"/>
      <c r="R21" s="211" t="s">
        <v>1449</v>
      </c>
      <c r="S21" s="212">
        <f>COUNTIF('Consolidado Accidentes'!R:R,"LGF2")</f>
        <v>13</v>
      </c>
      <c r="T21" s="213">
        <f t="shared" si="10"/>
        <v>0.38235294117647056</v>
      </c>
    </row>
    <row r="22" spans="2:20" x14ac:dyDescent="0.2">
      <c r="B22" s="131" t="s">
        <v>78</v>
      </c>
      <c r="C22" s="120">
        <f>COUNTIF('Consolidado Accidentes'!AJ7:AJ423,"Golpeado Contra")</f>
        <v>27</v>
      </c>
      <c r="D22" s="132">
        <f t="shared" si="7"/>
        <v>0.11739130434782609</v>
      </c>
      <c r="E22" s="119">
        <f t="shared" si="8"/>
        <v>0.83913043478260863</v>
      </c>
      <c r="G22" s="141" t="s">
        <v>1450</v>
      </c>
      <c r="H22" s="142">
        <f>SUM('Consolidado Accidentes'!O7:O425)</f>
        <v>438</v>
      </c>
      <c r="I22" s="139"/>
      <c r="J22" s="139"/>
      <c r="K22" s="107">
        <v>2</v>
      </c>
      <c r="L22" s="137" t="s">
        <v>1451</v>
      </c>
      <c r="M22" s="140">
        <f>COUNTIF('Consolidado Accidentes'!B8:B413,"Abril")</f>
        <v>19</v>
      </c>
      <c r="N22" s="132">
        <f t="shared" si="9"/>
        <v>8.2608695652173908E-2</v>
      </c>
      <c r="O22" s="119"/>
      <c r="R22" s="174" t="s">
        <v>1452</v>
      </c>
      <c r="S22" s="202">
        <f>COUNTIF('Consolidado Accidentes'!R:R,"LGF1")</f>
        <v>0</v>
      </c>
      <c r="T22" s="208">
        <f t="shared" si="10"/>
        <v>0</v>
      </c>
    </row>
    <row r="23" spans="2:20" ht="13.5" thickBot="1" x14ac:dyDescent="0.25">
      <c r="B23" s="131" t="s">
        <v>224</v>
      </c>
      <c r="C23" s="120">
        <f>COUNTIF('Consolidado Accidentes'!AJ7:AJ423,"Sobreesfuerzo")</f>
        <v>12</v>
      </c>
      <c r="D23" s="132">
        <f t="shared" si="7"/>
        <v>5.2173913043478258E-2</v>
      </c>
      <c r="E23" s="119">
        <f t="shared" si="8"/>
        <v>0.89130434782608692</v>
      </c>
      <c r="G23" s="248"/>
      <c r="H23" s="247"/>
      <c r="I23" s="139"/>
      <c r="J23" s="139"/>
      <c r="K23" s="107">
        <v>3</v>
      </c>
      <c r="L23" s="137" t="s">
        <v>1453</v>
      </c>
      <c r="M23" s="140">
        <f>COUNTIF('Consolidado Accidentes'!B9:B414,"Mayo")</f>
        <v>18</v>
      </c>
      <c r="N23" s="132">
        <f t="shared" si="9"/>
        <v>7.8260869565217397E-2</v>
      </c>
      <c r="O23" s="119"/>
      <c r="R23" s="174" t="s">
        <v>1454</v>
      </c>
      <c r="S23" s="202">
        <f>COUNTIF('Consolidado Accidentes'!R:R,"LGF3")</f>
        <v>3</v>
      </c>
      <c r="T23" s="208">
        <f t="shared" si="10"/>
        <v>8.8235294117647065E-2</v>
      </c>
    </row>
    <row r="24" spans="2:20" x14ac:dyDescent="0.2">
      <c r="B24" s="131" t="s">
        <v>462</v>
      </c>
      <c r="C24" s="120">
        <f>COUNTIF('Consolidado Accidentes'!AJ7:AJ423,"Atrapamiento")</f>
        <v>12</v>
      </c>
      <c r="D24" s="132">
        <f t="shared" si="7"/>
        <v>5.2173913043478258E-2</v>
      </c>
      <c r="E24" s="119">
        <f t="shared" si="8"/>
        <v>0.94347826086956521</v>
      </c>
      <c r="G24" s="143" t="s">
        <v>1455</v>
      </c>
      <c r="H24" s="144">
        <f>AVERAGE(M19:M27)</f>
        <v>20.333333333333332</v>
      </c>
      <c r="K24" s="107">
        <v>4</v>
      </c>
      <c r="L24" s="137" t="s">
        <v>1456</v>
      </c>
      <c r="M24" s="140">
        <f>COUNTIF('Consolidado Accidentes'!B10:B415,"Junio")</f>
        <v>23</v>
      </c>
      <c r="N24" s="132">
        <f t="shared" si="9"/>
        <v>0.1</v>
      </c>
      <c r="O24" s="119"/>
      <c r="R24" s="174" t="s">
        <v>1457</v>
      </c>
      <c r="S24" s="202">
        <f>COUNTIF('Consolidado Accidentes'!R:R,"LGF5")</f>
        <v>0</v>
      </c>
      <c r="T24" s="208">
        <f t="shared" si="10"/>
        <v>0</v>
      </c>
    </row>
    <row r="25" spans="2:20" x14ac:dyDescent="0.2">
      <c r="B25" s="131" t="s">
        <v>244</v>
      </c>
      <c r="C25" s="120">
        <f>COUNTIF('Consolidado Accidentes'!AJ7:AJ423,"Caida de distinto nivel")</f>
        <v>7</v>
      </c>
      <c r="D25" s="132">
        <f t="shared" si="7"/>
        <v>3.0434782608695653E-2</v>
      </c>
      <c r="E25" s="119">
        <f t="shared" si="8"/>
        <v>0.97391304347826091</v>
      </c>
      <c r="K25" s="107">
        <v>5</v>
      </c>
      <c r="L25" s="137" t="s">
        <v>1458</v>
      </c>
      <c r="M25" s="140">
        <f>COUNTIF('Consolidado Accidentes'!B11:B224,"Julio")</f>
        <v>26</v>
      </c>
      <c r="N25" s="132">
        <f t="shared" si="9"/>
        <v>0.11304347826086956</v>
      </c>
      <c r="O25" s="119"/>
      <c r="R25" s="174" t="s">
        <v>1459</v>
      </c>
      <c r="S25" s="202">
        <f>COUNTIF('Consolidado Accidentes'!R:R,"LGF6")</f>
        <v>0</v>
      </c>
      <c r="T25" s="208">
        <f t="shared" si="10"/>
        <v>0</v>
      </c>
    </row>
    <row r="26" spans="2:20" x14ac:dyDescent="0.2">
      <c r="B26" s="131" t="s">
        <v>151</v>
      </c>
      <c r="C26" s="120">
        <f>COUNTIF('Consolidado Accidentes'!AJ7:AJ423,"Contacto con temperaturas extremas")</f>
        <v>2</v>
      </c>
      <c r="D26" s="132">
        <f t="shared" si="7"/>
        <v>8.6956521739130436E-3</v>
      </c>
      <c r="E26" s="119">
        <f t="shared" si="8"/>
        <v>0.9826086956521739</v>
      </c>
      <c r="G26" s="108" t="s">
        <v>1460</v>
      </c>
      <c r="H26" s="109" t="s">
        <v>1424</v>
      </c>
      <c r="I26" s="134" t="s">
        <v>1425</v>
      </c>
      <c r="J26" s="109" t="s">
        <v>1426</v>
      </c>
      <c r="K26" s="107">
        <v>6</v>
      </c>
      <c r="L26" s="137" t="s">
        <v>1461</v>
      </c>
      <c r="M26" s="140">
        <f>COUNTIF('Consolidado Accidentes'!B12:B333,"Agosto")</f>
        <v>15</v>
      </c>
      <c r="N26" s="132">
        <f t="shared" si="9"/>
        <v>6.5217391304347824E-2</v>
      </c>
      <c r="O26" s="119"/>
      <c r="R26" s="205" t="s">
        <v>1438</v>
      </c>
      <c r="S26" s="209">
        <f>SUM(S19:S25)</f>
        <v>34</v>
      </c>
      <c r="T26" s="206">
        <v>1</v>
      </c>
    </row>
    <row r="27" spans="2:20" x14ac:dyDescent="0.2">
      <c r="B27" s="160" t="s">
        <v>316</v>
      </c>
      <c r="C27" s="120">
        <f>COUNTIF('Consolidado Accidentes'!AJ7:AJ423,"Picadura")</f>
        <v>2</v>
      </c>
      <c r="D27" s="132">
        <f t="shared" si="7"/>
        <v>8.6956521739130436E-3</v>
      </c>
      <c r="E27" s="119">
        <f t="shared" si="8"/>
        <v>0.9913043478260869</v>
      </c>
      <c r="G27" s="145" t="s">
        <v>57</v>
      </c>
      <c r="H27" s="120">
        <f>COUNTIF('Consolidado Accidentes'!AG7:AG426,"Maquinarias")</f>
        <v>41</v>
      </c>
      <c r="I27" s="132">
        <f t="shared" ref="I27:I45" si="11">H27/$H$48</f>
        <v>0.17826086956521739</v>
      </c>
      <c r="J27" s="119">
        <f>I27</f>
        <v>0.17826086956521739</v>
      </c>
      <c r="K27" s="107">
        <v>7</v>
      </c>
      <c r="L27" s="137" t="s">
        <v>1462</v>
      </c>
      <c r="M27" s="140">
        <f>COUNTIF('Consolidado Accidentes'!B13:B334,"Septiembre")</f>
        <v>15</v>
      </c>
      <c r="N27" s="132">
        <f t="shared" si="9"/>
        <v>6.5217391304347824E-2</v>
      </c>
      <c r="O27" s="119"/>
    </row>
    <row r="28" spans="2:20" x14ac:dyDescent="0.2">
      <c r="B28" s="131" t="s">
        <v>559</v>
      </c>
      <c r="C28" s="120">
        <f>COUNTIF('Consolidado Accidentes'!AJ7:AJ423,"Otros")</f>
        <v>1</v>
      </c>
      <c r="D28" s="132">
        <f t="shared" si="7"/>
        <v>4.3478260869565218E-3</v>
      </c>
      <c r="E28" s="119">
        <f t="shared" si="8"/>
        <v>0.99565217391304339</v>
      </c>
      <c r="G28" s="146" t="s">
        <v>140</v>
      </c>
      <c r="H28" s="120">
        <f>COUNTIF('Consolidado Accidentes'!AG7:AG426,"Materiales")</f>
        <v>27</v>
      </c>
      <c r="I28" s="132">
        <f t="shared" si="11"/>
        <v>0.11739130434782609</v>
      </c>
      <c r="J28" s="119">
        <f t="shared" ref="J28:J45" si="12">J27+I28</f>
        <v>0.29565217391304349</v>
      </c>
      <c r="K28" s="107">
        <v>8</v>
      </c>
      <c r="L28" s="137" t="s">
        <v>1463</v>
      </c>
      <c r="M28" s="140">
        <f>COUNTIF('Consolidado Accidentes'!B14:B335,"Octubre")</f>
        <v>20</v>
      </c>
      <c r="N28" s="132">
        <f t="shared" si="9"/>
        <v>8.6956521739130432E-2</v>
      </c>
      <c r="O28" s="119"/>
    </row>
    <row r="29" spans="2:20" x14ac:dyDescent="0.2">
      <c r="B29" s="131" t="s">
        <v>1132</v>
      </c>
      <c r="C29" s="120">
        <f>COUNTIF('Consolidado Accidentes'!AJ7:AJ423,"Contacto con electricidad")</f>
        <v>1</v>
      </c>
      <c r="D29" s="132">
        <f t="shared" si="7"/>
        <v>4.3478260869565218E-3</v>
      </c>
      <c r="E29" s="119">
        <f t="shared" si="8"/>
        <v>0.99999999999999989</v>
      </c>
      <c r="G29" s="146" t="s">
        <v>92</v>
      </c>
      <c r="H29" s="120">
        <f>COUNTIF('Consolidado Accidentes'!AG7:AG427,"Infraestructura")</f>
        <v>24</v>
      </c>
      <c r="I29" s="132">
        <f t="shared" si="11"/>
        <v>0.10434782608695652</v>
      </c>
      <c r="J29" s="119">
        <f t="shared" si="12"/>
        <v>0.4</v>
      </c>
      <c r="L29" s="137" t="s">
        <v>1464</v>
      </c>
      <c r="M29" s="140">
        <f>COUNTIF('Consolidado Accidentes'!B15:B336,"Noviembre")</f>
        <v>16</v>
      </c>
      <c r="N29" s="132">
        <f t="shared" si="9"/>
        <v>6.9565217391304349E-2</v>
      </c>
      <c r="O29" s="119"/>
      <c r="R29" s="108" t="s">
        <v>1465</v>
      </c>
      <c r="S29" s="218" t="s">
        <v>68</v>
      </c>
      <c r="T29" s="134" t="s">
        <v>1425</v>
      </c>
    </row>
    <row r="30" spans="2:20" x14ac:dyDescent="0.2">
      <c r="B30" s="131" t="s">
        <v>1300</v>
      </c>
      <c r="C30" s="120">
        <f>COUNTIF('Consolidado Accidentes'!AJ7:AJ423,"Contacto con sustancias corrosivas")</f>
        <v>0</v>
      </c>
      <c r="D30" s="132">
        <f t="shared" si="7"/>
        <v>0</v>
      </c>
      <c r="E30" s="119">
        <f t="shared" si="8"/>
        <v>0.99999999999999989</v>
      </c>
      <c r="G30" s="146" t="s">
        <v>132</v>
      </c>
      <c r="H30" s="120">
        <f>COUNTIF('Consolidado Accidentes'!AG7:AG426,"Superficies de trabajo")</f>
        <v>24</v>
      </c>
      <c r="I30" s="132">
        <f t="shared" si="11"/>
        <v>0.10434782608695652</v>
      </c>
      <c r="J30" s="119">
        <f t="shared" si="12"/>
        <v>0.5043478260869565</v>
      </c>
      <c r="K30" s="107">
        <v>9</v>
      </c>
      <c r="L30" s="137" t="s">
        <v>1466</v>
      </c>
      <c r="M30" s="140">
        <f>COUNTIF('Consolidado Accidentes'!B16:B337,"Diciembre")</f>
        <v>11</v>
      </c>
      <c r="N30" s="132">
        <f t="shared" si="9"/>
        <v>4.7826086956521741E-2</v>
      </c>
      <c r="O30" s="119"/>
      <c r="R30" s="224" t="s">
        <v>194</v>
      </c>
      <c r="S30" s="225">
        <f>COUNTIFS('Consolidado Accidentes'!K:K,"NUEVO",'Consolidado Accidentes'!P:P,"CTP")</f>
        <v>22</v>
      </c>
      <c r="T30" s="226">
        <f>S30*$T$33/$S$33</f>
        <v>0.51162790697674421</v>
      </c>
    </row>
    <row r="31" spans="2:20" x14ac:dyDescent="0.2">
      <c r="B31" s="131" t="s">
        <v>1316</v>
      </c>
      <c r="C31" s="120">
        <f>COUNTIF('Consolidado Accidentes'!AJ7:AJ423,"Contacto con cuerpo punzante")</f>
        <v>0</v>
      </c>
      <c r="D31" s="132">
        <f t="shared" si="7"/>
        <v>0</v>
      </c>
      <c r="E31" s="119">
        <f t="shared" si="8"/>
        <v>0.99999999999999989</v>
      </c>
      <c r="G31" s="146" t="s">
        <v>275</v>
      </c>
      <c r="H31" s="120">
        <f>COUNTIF('Consolidado Accidentes'!AG7:AG426,"Equipos Transporte de carga")</f>
        <v>19</v>
      </c>
      <c r="I31" s="132">
        <f t="shared" si="11"/>
        <v>8.2608695652173908E-2</v>
      </c>
      <c r="J31" s="119">
        <f t="shared" si="12"/>
        <v>0.58695652173913038</v>
      </c>
      <c r="K31" s="107">
        <v>10</v>
      </c>
      <c r="L31" s="147"/>
      <c r="M31" s="148"/>
      <c r="N31" s="149"/>
      <c r="O31" s="150"/>
      <c r="R31" s="174" t="s">
        <v>1467</v>
      </c>
      <c r="S31" s="202">
        <f>COUNTIFS('Consolidado Accidentes'!K:K,"INTERMEDIO",'Consolidado Accidentes'!P:P,"CTP")</f>
        <v>5</v>
      </c>
      <c r="T31" s="222">
        <f>S31*$T$33/$S$33</f>
        <v>0.11627906976744186</v>
      </c>
    </row>
    <row r="32" spans="2:20" x14ac:dyDescent="0.2">
      <c r="B32" s="131" t="s">
        <v>1346</v>
      </c>
      <c r="C32" s="120">
        <f>COUNTIF('Consolidado Accidentes'!AJ7:AJ423,"Exposicion a humo y gases")</f>
        <v>0</v>
      </c>
      <c r="D32" s="132">
        <f t="shared" si="7"/>
        <v>0</v>
      </c>
      <c r="E32" s="119">
        <f t="shared" si="8"/>
        <v>0.99999999999999989</v>
      </c>
      <c r="G32" s="146" t="s">
        <v>270</v>
      </c>
      <c r="H32" s="120">
        <f>COUNTIF('Consolidado Accidentes'!AG7:AG426,"Producto Quimico")</f>
        <v>16</v>
      </c>
      <c r="I32" s="132">
        <f t="shared" si="11"/>
        <v>6.9565217391304349E-2</v>
      </c>
      <c r="J32" s="119">
        <f t="shared" si="12"/>
        <v>0.65652173913043477</v>
      </c>
      <c r="K32" s="107">
        <v>11</v>
      </c>
      <c r="L32" s="151" t="s">
        <v>1424</v>
      </c>
      <c r="M32" s="124">
        <f>SUM(M19:M31)</f>
        <v>230</v>
      </c>
      <c r="N32" s="126">
        <f>SUM(N19:N30)</f>
        <v>0.99999999999999978</v>
      </c>
      <c r="O32" s="125"/>
      <c r="R32" s="174" t="s">
        <v>1468</v>
      </c>
      <c r="S32" s="202">
        <f>COUNTIFS('Consolidado Accidentes'!K:K,"ANTIGUO",'Consolidado Accidentes'!P:P,"CTP")</f>
        <v>16</v>
      </c>
      <c r="T32" s="222">
        <f>S32*$T$33/$S$33</f>
        <v>0.37209302325581395</v>
      </c>
    </row>
    <row r="33" spans="2:20" x14ac:dyDescent="0.2">
      <c r="B33" s="251" t="s">
        <v>1306</v>
      </c>
      <c r="C33" s="120">
        <f>COUNTIF('Consolidado Accidentes'!AJ7:AJ423,"Contacto con sustancias toxicas")</f>
        <v>0</v>
      </c>
      <c r="D33" s="132">
        <f t="shared" si="7"/>
        <v>0</v>
      </c>
      <c r="E33" s="119">
        <f t="shared" si="8"/>
        <v>0.99999999999999989</v>
      </c>
      <c r="G33" s="146" t="s">
        <v>76</v>
      </c>
      <c r="H33" s="120">
        <f>COUNTIF('Consolidado Accidentes'!AG7:AG426,"Bandejas")</f>
        <v>15</v>
      </c>
      <c r="I33" s="132">
        <f t="shared" si="11"/>
        <v>6.5217391304347824E-2</v>
      </c>
      <c r="J33" s="119">
        <f t="shared" si="12"/>
        <v>0.72173913043478255</v>
      </c>
      <c r="K33" s="107">
        <v>12</v>
      </c>
      <c r="R33" s="216" t="s">
        <v>1438</v>
      </c>
      <c r="S33" s="217">
        <f>SUM(S30:S32)</f>
        <v>43</v>
      </c>
      <c r="T33" s="221">
        <v>1</v>
      </c>
    </row>
    <row r="34" spans="2:20" x14ac:dyDescent="0.2">
      <c r="B34" s="152"/>
      <c r="C34" s="120"/>
      <c r="D34" s="132"/>
      <c r="E34" s="119"/>
      <c r="G34" s="146" t="s">
        <v>122</v>
      </c>
      <c r="H34" s="120">
        <f>COUNTIF('Consolidado Accidentes'!AG7:AG426,"Materia Prima")</f>
        <v>14</v>
      </c>
      <c r="I34" s="132">
        <f t="shared" si="11"/>
        <v>6.0869565217391307E-2</v>
      </c>
      <c r="J34" s="119">
        <f t="shared" si="12"/>
        <v>0.78260869565217384</v>
      </c>
      <c r="L34" s="108" t="s">
        <v>1469</v>
      </c>
      <c r="M34" s="112" t="s">
        <v>1424</v>
      </c>
      <c r="N34" s="110" t="s">
        <v>1425</v>
      </c>
      <c r="O34" s="109" t="s">
        <v>1426</v>
      </c>
      <c r="R34" s="108" t="s">
        <v>1465</v>
      </c>
      <c r="S34" s="219" t="s">
        <v>47</v>
      </c>
      <c r="T34" s="220" t="s">
        <v>1425</v>
      </c>
    </row>
    <row r="35" spans="2:20" x14ac:dyDescent="0.2">
      <c r="B35" s="152"/>
      <c r="C35" s="120"/>
      <c r="D35" s="132"/>
      <c r="E35" s="119"/>
      <c r="G35" s="146" t="s">
        <v>328</v>
      </c>
      <c r="H35" s="120">
        <f>COUNTIF('Consolidado Accidentes'!AG7:AG427,"Cuchillo")</f>
        <v>10</v>
      </c>
      <c r="I35" s="132">
        <f t="shared" si="11"/>
        <v>4.3478260869565216E-2</v>
      </c>
      <c r="J35" s="119">
        <f t="shared" si="12"/>
        <v>0.82608695652173902</v>
      </c>
      <c r="L35" s="153" t="s">
        <v>45</v>
      </c>
      <c r="M35" s="154">
        <f>COUNTIF('Consolidado Accidentes'!F7:F345,"MASCULINO")</f>
        <v>159</v>
      </c>
      <c r="N35" s="114">
        <f>M35/$M$37</f>
        <v>0.69432314410480345</v>
      </c>
      <c r="O35" s="115">
        <f>N35</f>
        <v>0.69432314410480345</v>
      </c>
      <c r="P35" s="155"/>
      <c r="R35" s="224" t="s">
        <v>194</v>
      </c>
      <c r="S35" s="225">
        <f>COUNTIFS('Consolidado Accidentes'!K:K,"NUEVO",'Consolidado Accidentes'!P:P,"STP",'Consolidado Accidentes'!AN:AN,"SI")</f>
        <v>11</v>
      </c>
      <c r="T35" s="226">
        <f>S35*$T$38/$S$38</f>
        <v>0.39285714285714285</v>
      </c>
    </row>
    <row r="36" spans="2:20" ht="13.5" thickBot="1" x14ac:dyDescent="0.25">
      <c r="B36" s="156" t="s">
        <v>1424</v>
      </c>
      <c r="C36" s="123">
        <f>SUM(C18:C33)</f>
        <v>230</v>
      </c>
      <c r="D36" s="157">
        <f>SUM(D18:D33)</f>
        <v>0.99999999999999989</v>
      </c>
      <c r="E36" s="126"/>
      <c r="G36" s="146" t="s">
        <v>389</v>
      </c>
      <c r="H36" s="120">
        <f>COUNTIF('Consolidado Accidentes'!AG7:AG426,"Pallet")</f>
        <v>9</v>
      </c>
      <c r="I36" s="132">
        <f t="shared" si="11"/>
        <v>3.9130434782608699E-2</v>
      </c>
      <c r="J36" s="119">
        <f t="shared" si="12"/>
        <v>0.86521739130434772</v>
      </c>
      <c r="L36" s="130" t="s">
        <v>116</v>
      </c>
      <c r="M36" s="113">
        <f>COUNTIF('Consolidado Accidentes'!F7:F345,"FEMENINO")</f>
        <v>70</v>
      </c>
      <c r="N36" s="119">
        <f>M36/$M$37</f>
        <v>0.3056768558951965</v>
      </c>
      <c r="O36" s="115">
        <f>O35+N36</f>
        <v>1</v>
      </c>
      <c r="R36" s="174" t="s">
        <v>1467</v>
      </c>
      <c r="S36" s="202">
        <f>COUNTIFS('Consolidado Accidentes'!K:K,"INTERMEDIO",'Consolidado Accidentes'!P:P,"STP",'Consolidado Accidentes'!AN:AN,"SI")</f>
        <v>6</v>
      </c>
      <c r="T36" s="222">
        <f>S36*$T$38/$S$38</f>
        <v>0.21428571428571427</v>
      </c>
    </row>
    <row r="37" spans="2:20" x14ac:dyDescent="0.2">
      <c r="G37" s="146" t="s">
        <v>413</v>
      </c>
      <c r="H37" s="120">
        <f>COUNTIF('Consolidado Accidentes'!AG7:AG426,"Bins")</f>
        <v>8</v>
      </c>
      <c r="I37" s="132">
        <f t="shared" si="11"/>
        <v>3.4782608695652174E-2</v>
      </c>
      <c r="J37" s="119">
        <f t="shared" si="12"/>
        <v>0.89999999999999991</v>
      </c>
      <c r="L37" s="123" t="s">
        <v>1436</v>
      </c>
      <c r="M37" s="158">
        <f>SUM(M35:M36)</f>
        <v>229</v>
      </c>
      <c r="N37" s="126">
        <f>SUM(N35:N36)</f>
        <v>1</v>
      </c>
      <c r="O37" s="126"/>
      <c r="R37" s="174" t="s">
        <v>1468</v>
      </c>
      <c r="S37" s="202">
        <f>COUNTIFS('Consolidado Accidentes'!K:K,"ANTIGUO",'Consolidado Accidentes'!P:P,"STP",'Consolidado Accidentes'!AN:AN,"SI")</f>
        <v>11</v>
      </c>
      <c r="T37" s="222">
        <f>S37*$T$38/$S$38</f>
        <v>0.39285714285714285</v>
      </c>
    </row>
    <row r="38" spans="2:20" x14ac:dyDescent="0.2">
      <c r="B38" s="159" t="s">
        <v>26</v>
      </c>
      <c r="C38" s="112" t="s">
        <v>1424</v>
      </c>
      <c r="D38" s="110" t="s">
        <v>1425</v>
      </c>
      <c r="E38" s="109" t="s">
        <v>1426</v>
      </c>
      <c r="G38" s="106" t="s">
        <v>559</v>
      </c>
      <c r="H38" s="120">
        <f>COUNTIF('Consolidado Accidentes'!AG7:AG426,"Otros")</f>
        <v>8</v>
      </c>
      <c r="I38" s="132">
        <f t="shared" si="11"/>
        <v>3.4782608695652174E-2</v>
      </c>
      <c r="J38" s="119">
        <f t="shared" si="12"/>
        <v>0.93478260869565211</v>
      </c>
      <c r="P38" s="155"/>
      <c r="R38" s="214" t="s">
        <v>1438</v>
      </c>
      <c r="S38" s="215">
        <f>SUM(S35:S37)</f>
        <v>28</v>
      </c>
      <c r="T38" s="223">
        <v>1</v>
      </c>
    </row>
    <row r="39" spans="2:20" x14ac:dyDescent="0.2">
      <c r="B39" s="252" t="s">
        <v>100</v>
      </c>
      <c r="C39" s="117">
        <f>COUNTIF('Consolidado Accidentes'!Z7:Z423,"Jueves")</f>
        <v>47</v>
      </c>
      <c r="D39" s="118">
        <f t="shared" ref="D39:D45" si="13">C39/$C$47</f>
        <v>0.20434782608695654</v>
      </c>
      <c r="E39" s="115">
        <f>D39</f>
        <v>0.20434782608695654</v>
      </c>
      <c r="G39" s="146" t="s">
        <v>529</v>
      </c>
      <c r="H39" s="120">
        <f>COUNTIF('Consolidado Accidentes'!AG7:AG426,"Cajas")</f>
        <v>7</v>
      </c>
      <c r="I39" s="132">
        <f t="shared" si="11"/>
        <v>3.0434782608695653E-2</v>
      </c>
      <c r="J39" s="119">
        <f t="shared" si="12"/>
        <v>0.9652173913043478</v>
      </c>
      <c r="L39" s="159" t="s">
        <v>1470</v>
      </c>
      <c r="M39" s="112" t="s">
        <v>1424</v>
      </c>
      <c r="N39" s="110" t="s">
        <v>1425</v>
      </c>
      <c r="O39" s="109" t="s">
        <v>1426</v>
      </c>
      <c r="P39" s="155"/>
    </row>
    <row r="40" spans="2:20" x14ac:dyDescent="0.2">
      <c r="B40" s="130" t="s">
        <v>110</v>
      </c>
      <c r="C40" s="120">
        <f>COUNTIF('Consolidado Accidentes'!Z7:Z423,"Viernes")</f>
        <v>43</v>
      </c>
      <c r="D40" s="115">
        <f t="shared" si="13"/>
        <v>0.18695652173913044</v>
      </c>
      <c r="E40" s="115">
        <f>E39+D40</f>
        <v>0.39130434782608697</v>
      </c>
      <c r="G40" s="146" t="s">
        <v>652</v>
      </c>
      <c r="H40" s="120">
        <f>COUNTIF('Consolidado Accidentes'!AG7:AG426,"Animales - Insectos")</f>
        <v>5</v>
      </c>
      <c r="I40" s="132">
        <f t="shared" si="11"/>
        <v>2.1739130434782608E-2</v>
      </c>
      <c r="J40" s="119">
        <f t="shared" si="12"/>
        <v>0.9869565217391304</v>
      </c>
      <c r="L40" s="153" t="s">
        <v>1471</v>
      </c>
      <c r="M40" s="154">
        <f>COUNTIF('Consolidado Accidentes'!AL7:AL335,"Accion")</f>
        <v>160</v>
      </c>
      <c r="N40" s="114">
        <f>M40/$M$42</f>
        <v>0.69565217391304346</v>
      </c>
      <c r="O40" s="115">
        <f>N40</f>
        <v>0.69565217391304346</v>
      </c>
    </row>
    <row r="41" spans="2:20" x14ac:dyDescent="0.2">
      <c r="B41" s="130" t="s">
        <v>72</v>
      </c>
      <c r="C41" s="120">
        <f>COUNTIF('Consolidado Accidentes'!Z7:Z423,"Martes")</f>
        <v>44</v>
      </c>
      <c r="D41" s="115">
        <f t="shared" si="13"/>
        <v>0.19130434782608696</v>
      </c>
      <c r="E41" s="115">
        <f t="shared" ref="E41:E45" si="14">E40+D41</f>
        <v>0.58260869565217388</v>
      </c>
      <c r="G41" s="146" t="s">
        <v>192</v>
      </c>
      <c r="H41" s="120">
        <f>COUNTIF('Consolidado Accidentes'!AG7:AG426,"Vehículos")</f>
        <v>2</v>
      </c>
      <c r="I41" s="132">
        <f t="shared" si="11"/>
        <v>8.6956521739130436E-3</v>
      </c>
      <c r="J41" s="119">
        <f t="shared" si="12"/>
        <v>0.99565217391304339</v>
      </c>
      <c r="L41" s="130" t="s">
        <v>1472</v>
      </c>
      <c r="M41" s="113">
        <f>COUNTIF('Consolidado Accidentes'!AL7:AL335,"Condicion")</f>
        <v>70</v>
      </c>
      <c r="N41" s="119">
        <f>M41/$M$42</f>
        <v>0.30434782608695654</v>
      </c>
      <c r="O41" s="115">
        <f>O40+N41</f>
        <v>1</v>
      </c>
    </row>
    <row r="42" spans="2:20" x14ac:dyDescent="0.2">
      <c r="B42" s="130" t="s">
        <v>53</v>
      </c>
      <c r="C42" s="120">
        <f>COUNTIF('Consolidado Accidentes'!Z7:Z423,"Lunes")</f>
        <v>36</v>
      </c>
      <c r="D42" s="115">
        <f t="shared" si="13"/>
        <v>0.15652173913043479</v>
      </c>
      <c r="E42" s="115">
        <f t="shared" si="14"/>
        <v>0.73913043478260865</v>
      </c>
      <c r="G42" s="146" t="s">
        <v>1131</v>
      </c>
      <c r="H42" s="120">
        <f>COUNTIF('Consolidado Accidentes'!AG7:AG426,"Equipo electricos")</f>
        <v>1</v>
      </c>
      <c r="I42" s="132">
        <f t="shared" si="11"/>
        <v>4.3478260869565218E-3</v>
      </c>
      <c r="J42" s="119">
        <f t="shared" si="12"/>
        <v>0.99999999999999989</v>
      </c>
      <c r="L42" s="123" t="s">
        <v>1436</v>
      </c>
      <c r="M42" s="158">
        <f>SUM(M40:M41)</f>
        <v>230</v>
      </c>
      <c r="N42" s="126">
        <f>SUM(N40:N41)</f>
        <v>1</v>
      </c>
      <c r="O42" s="126"/>
    </row>
    <row r="43" spans="2:20" x14ac:dyDescent="0.2">
      <c r="B43" s="130" t="s">
        <v>88</v>
      </c>
      <c r="C43" s="120">
        <f>COUNTIF('Consolidado Accidentes'!Z7:Z423,"Miercoles")</f>
        <v>35</v>
      </c>
      <c r="D43" s="115">
        <f t="shared" si="13"/>
        <v>0.15217391304347827</v>
      </c>
      <c r="E43" s="115">
        <f t="shared" si="14"/>
        <v>0.89130434782608692</v>
      </c>
      <c r="G43" s="146" t="s">
        <v>1330</v>
      </c>
      <c r="H43" s="120">
        <f>COUNTIF('Consolidado Accidentes'!AG7:AG426,"Herramientas de mano")</f>
        <v>0</v>
      </c>
      <c r="I43" s="132">
        <f t="shared" si="11"/>
        <v>0</v>
      </c>
      <c r="J43" s="119">
        <f t="shared" si="12"/>
        <v>0.99999999999999989</v>
      </c>
      <c r="L43" s="161"/>
      <c r="M43" s="161"/>
      <c r="N43" s="150"/>
      <c r="O43" s="162"/>
    </row>
    <row r="44" spans="2:20" x14ac:dyDescent="0.2">
      <c r="B44" s="130" t="s">
        <v>147</v>
      </c>
      <c r="C44" s="120">
        <f>COUNTIF('Consolidado Accidentes'!Z7:Z423,"Sabado")</f>
        <v>22</v>
      </c>
      <c r="D44" s="115">
        <f t="shared" si="13"/>
        <v>9.5652173913043481E-2</v>
      </c>
      <c r="E44" s="115">
        <f t="shared" si="14"/>
        <v>0.9869565217391304</v>
      </c>
      <c r="G44" s="146" t="s">
        <v>1350</v>
      </c>
      <c r="H44" s="120">
        <f>COUNTIF('Consolidado Accidentes'!AG7:AG426,"Elemento Cortante")</f>
        <v>0</v>
      </c>
      <c r="I44" s="132">
        <f t="shared" si="11"/>
        <v>0</v>
      </c>
      <c r="J44" s="119">
        <f t="shared" si="12"/>
        <v>0.99999999999999989</v>
      </c>
      <c r="L44" s="108" t="s">
        <v>1473</v>
      </c>
      <c r="M44" s="109" t="s">
        <v>1424</v>
      </c>
      <c r="N44" s="134" t="s">
        <v>1425</v>
      </c>
      <c r="O44" s="109" t="s">
        <v>1426</v>
      </c>
    </row>
    <row r="45" spans="2:20" x14ac:dyDescent="0.2">
      <c r="B45" s="160" t="s">
        <v>158</v>
      </c>
      <c r="C45" s="120">
        <f>COUNTIF('Consolidado Accidentes'!Z7:Z423,"Domingo")</f>
        <v>3</v>
      </c>
      <c r="D45" s="115">
        <f t="shared" si="13"/>
        <v>1.3043478260869565E-2</v>
      </c>
      <c r="E45" s="115">
        <f t="shared" si="14"/>
        <v>1</v>
      </c>
      <c r="G45" s="146" t="s">
        <v>1333</v>
      </c>
      <c r="H45" s="120">
        <f>COUNTIF('Consolidado Accidentes'!AG7:AG426,"Gases - Vapores")</f>
        <v>0</v>
      </c>
      <c r="I45" s="132">
        <f t="shared" si="11"/>
        <v>0</v>
      </c>
      <c r="J45" s="119">
        <f t="shared" si="12"/>
        <v>0.99999999999999989</v>
      </c>
      <c r="L45" s="130" t="s">
        <v>1474</v>
      </c>
      <c r="M45" s="120">
        <f>COUNTIF('Consolidado Accidentes'!X7:X332,"Mañana")</f>
        <v>96</v>
      </c>
      <c r="N45" s="115">
        <f>M45/$M$49</f>
        <v>0.41739130434782606</v>
      </c>
      <c r="O45" s="119">
        <f>N45</f>
        <v>0.41739130434782606</v>
      </c>
    </row>
    <row r="46" spans="2:20" ht="13.5" thickBot="1" x14ac:dyDescent="0.25">
      <c r="B46" s="161"/>
      <c r="C46" s="150"/>
      <c r="D46" s="162"/>
      <c r="E46" s="162"/>
      <c r="G46" s="106"/>
      <c r="H46" s="120"/>
      <c r="I46" s="132"/>
      <c r="J46" s="119"/>
      <c r="L46" s="130" t="s">
        <v>1475</v>
      </c>
      <c r="M46" s="120">
        <f>COUNTIF('Consolidado Accidentes'!X7:X332,"Tarde")</f>
        <v>93</v>
      </c>
      <c r="N46" s="115">
        <f>M46/$M$49</f>
        <v>0.40434782608695652</v>
      </c>
      <c r="O46" s="119">
        <f>O45+N46</f>
        <v>0.82173913043478253</v>
      </c>
    </row>
    <row r="47" spans="2:20" ht="13.5" thickBot="1" x14ac:dyDescent="0.25">
      <c r="B47" s="163" t="s">
        <v>1436</v>
      </c>
      <c r="C47" s="164">
        <f>SUM(C39:C45)</f>
        <v>230</v>
      </c>
      <c r="D47" s="125">
        <f>SUM(D39:D45)</f>
        <v>1</v>
      </c>
      <c r="E47" s="125"/>
      <c r="G47" s="150"/>
      <c r="H47" s="120"/>
      <c r="I47" s="132"/>
      <c r="J47" s="119"/>
      <c r="L47" s="130" t="s">
        <v>1476</v>
      </c>
      <c r="M47" s="120">
        <f>COUNTIF('Consolidado Accidentes'!X7:X332,"Noche")</f>
        <v>41</v>
      </c>
      <c r="N47" s="115">
        <f>M47/$M$49</f>
        <v>0.17826086956521739</v>
      </c>
      <c r="O47" s="119">
        <f>O46+N47</f>
        <v>0.99999999999999989</v>
      </c>
    </row>
    <row r="48" spans="2:20" ht="13.5" thickBot="1" x14ac:dyDescent="0.25">
      <c r="G48" s="135" t="s">
        <v>1436</v>
      </c>
      <c r="H48" s="123">
        <f>SUM(H27:H45)</f>
        <v>230</v>
      </c>
      <c r="I48" s="136">
        <f>SUM(I27:I46)</f>
        <v>0.99999999999999989</v>
      </c>
      <c r="J48" s="126"/>
      <c r="L48" s="161" t="s">
        <v>1477</v>
      </c>
      <c r="M48" s="165">
        <f>COUNTIF('Consolidado Accidentes'!X7:X332,"Administrativo")</f>
        <v>0</v>
      </c>
      <c r="N48" s="115">
        <f>M48/$M$16</f>
        <v>0</v>
      </c>
      <c r="O48" s="119">
        <f>O47+N48</f>
        <v>0.99999999999999989</v>
      </c>
    </row>
    <row r="49" spans="2:15" ht="13.5" thickBot="1" x14ac:dyDescent="0.25">
      <c r="L49" s="123" t="s">
        <v>1436</v>
      </c>
      <c r="M49" s="164">
        <f>SUM(M45:M48)</f>
        <v>230</v>
      </c>
      <c r="N49" s="126">
        <f>SUM(N45:N48)</f>
        <v>0.99999999999999989</v>
      </c>
      <c r="O49" s="126"/>
    </row>
    <row r="50" spans="2:15" ht="13.5" thickBot="1" x14ac:dyDescent="0.25">
      <c r="B50" s="159" t="s">
        <v>1478</v>
      </c>
      <c r="C50" s="166" t="s">
        <v>1424</v>
      </c>
      <c r="D50" s="166" t="s">
        <v>1425</v>
      </c>
      <c r="E50" s="110" t="s">
        <v>1426</v>
      </c>
      <c r="G50" s="159" t="s">
        <v>1479</v>
      </c>
      <c r="H50" s="112" t="s">
        <v>1424</v>
      </c>
      <c r="I50" s="110" t="s">
        <v>1425</v>
      </c>
      <c r="J50" s="112" t="s">
        <v>1426</v>
      </c>
    </row>
    <row r="51" spans="2:15" ht="13.5" thickBot="1" x14ac:dyDescent="0.25">
      <c r="B51" s="167" t="s">
        <v>1480</v>
      </c>
      <c r="C51" s="168">
        <f>COUNTIF('Consolidado Accidentes'!K6:K429,"NUEVO")</f>
        <v>98</v>
      </c>
      <c r="D51" s="169">
        <f>C51/$C$54</f>
        <v>0.42608695652173911</v>
      </c>
      <c r="E51" s="170">
        <f>D51</f>
        <v>0.42608695652173911</v>
      </c>
      <c r="G51" s="171" t="s">
        <v>1298</v>
      </c>
      <c r="H51" s="172">
        <f>COUNTIF('Consolidado Accidentes'!$P$7:$P$392,"STP")</f>
        <v>185</v>
      </c>
      <c r="I51" s="173">
        <f>H51/$H$55</f>
        <v>0.81140350877192979</v>
      </c>
      <c r="J51" s="114">
        <f>I51</f>
        <v>0.81140350877192979</v>
      </c>
      <c r="L51" s="108" t="s">
        <v>1481</v>
      </c>
      <c r="M51" s="109" t="s">
        <v>1424</v>
      </c>
      <c r="N51" s="134" t="s">
        <v>1425</v>
      </c>
      <c r="O51" s="109" t="s">
        <v>1426</v>
      </c>
    </row>
    <row r="52" spans="2:15" x14ac:dyDescent="0.2">
      <c r="B52" s="174" t="s">
        <v>1482</v>
      </c>
      <c r="C52" s="175">
        <f>COUNTIF('Consolidado Accidentes'!K6:K429,"ANTIGUO")</f>
        <v>91</v>
      </c>
      <c r="D52" s="176">
        <f>C52/$C$54</f>
        <v>0.39565217391304347</v>
      </c>
      <c r="E52" s="177">
        <f>E51+D52</f>
        <v>0.82173913043478253</v>
      </c>
      <c r="G52" s="178" t="s">
        <v>1291</v>
      </c>
      <c r="H52" s="179">
        <f>COUNTIF('Consolidado Accidentes'!$P$7:$P$392,"CTP")</f>
        <v>43</v>
      </c>
      <c r="I52" s="180">
        <f>H52/$H$55</f>
        <v>0.18859649122807018</v>
      </c>
      <c r="J52" s="119">
        <f>J51+I52</f>
        <v>1</v>
      </c>
      <c r="L52" s="137" t="s">
        <v>1443</v>
      </c>
      <c r="M52" s="138">
        <f>COUNTIFS('Consolidado Accidentes'!B:B,"ENERO",'Consolidado Accidentes'!P:P,"CTP")</f>
        <v>3</v>
      </c>
      <c r="N52" s="132">
        <f t="shared" ref="N52:N63" si="15">M52/$M$65</f>
        <v>6.9767441860465115E-2</v>
      </c>
      <c r="O52" s="119"/>
    </row>
    <row r="53" spans="2:15" x14ac:dyDescent="0.2">
      <c r="B53" s="174" t="s">
        <v>1483</v>
      </c>
      <c r="C53" s="175">
        <f>COUNTIF('Consolidado Accidentes'!K7:K430,"INTERMEDIO")</f>
        <v>41</v>
      </c>
      <c r="D53" s="176">
        <f>C53/$C$54</f>
        <v>0.17826086956521739</v>
      </c>
      <c r="E53" s="115">
        <f>E52+D53</f>
        <v>0.99999999999999989</v>
      </c>
      <c r="G53" s="181" t="s">
        <v>1311</v>
      </c>
      <c r="H53" s="179">
        <f>COUNTIF('Consolidado Accidentes'!$P$7:$P$392,"Acc. Grave")</f>
        <v>0</v>
      </c>
      <c r="I53" s="180">
        <f>H53/$H$55</f>
        <v>0</v>
      </c>
      <c r="J53" s="119">
        <f>J52+I53</f>
        <v>1</v>
      </c>
      <c r="L53" s="137" t="s">
        <v>1445</v>
      </c>
      <c r="M53" s="138">
        <f>COUNTIFS('Consolidado Accidentes'!B:B,"FEBRERO",'Consolidado Accidentes'!P:P,"CTP")</f>
        <v>3</v>
      </c>
      <c r="N53" s="132">
        <f t="shared" si="15"/>
        <v>6.9767441860465115E-2</v>
      </c>
      <c r="O53" s="119"/>
    </row>
    <row r="54" spans="2:15" ht="13.5" thickBot="1" x14ac:dyDescent="0.25">
      <c r="B54" s="182" t="s">
        <v>1438</v>
      </c>
      <c r="C54" s="183">
        <f>SUM(C51:C53)</f>
        <v>230</v>
      </c>
      <c r="D54" s="184">
        <f>SUM(D51:D53)</f>
        <v>0.99999999999999989</v>
      </c>
      <c r="E54" s="185"/>
      <c r="G54" s="186" t="s">
        <v>1484</v>
      </c>
      <c r="H54" s="187">
        <f>COUNTIF('Consolidado Accidentes'!$P$7:$P$392,"EP")</f>
        <v>0</v>
      </c>
      <c r="I54" s="188">
        <f>H54/$H$55</f>
        <v>0</v>
      </c>
      <c r="J54" s="122">
        <f>J53+I54</f>
        <v>1</v>
      </c>
      <c r="L54" s="137" t="s">
        <v>1448</v>
      </c>
      <c r="M54" s="138">
        <f>COUNTIFS('Consolidado Accidentes'!B:B,"MARZO",'Consolidado Accidentes'!P:P,"CTP")</f>
        <v>5</v>
      </c>
      <c r="N54" s="132">
        <f t="shared" si="15"/>
        <v>0.11627906976744186</v>
      </c>
      <c r="O54" s="119"/>
    </row>
    <row r="55" spans="2:15" ht="13.5" thickBot="1" x14ac:dyDescent="0.25">
      <c r="G55" s="163" t="s">
        <v>1436</v>
      </c>
      <c r="H55" s="164">
        <f>SUM(H51:H54)</f>
        <v>228</v>
      </c>
      <c r="I55" s="125">
        <f>SUM(I51:I54)</f>
        <v>1</v>
      </c>
      <c r="J55" s="125"/>
      <c r="L55" s="137" t="s">
        <v>1451</v>
      </c>
      <c r="M55" s="138">
        <f>COUNTIFS('Consolidado Accidentes'!B:B,"ABRIL",'Consolidado Accidentes'!P:P,"CTP")</f>
        <v>1</v>
      </c>
      <c r="N55" s="132">
        <f t="shared" si="15"/>
        <v>2.3255813953488372E-2</v>
      </c>
      <c r="O55" s="119"/>
    </row>
    <row r="56" spans="2:15" x14ac:dyDescent="0.2">
      <c r="B56" s="189" t="s">
        <v>1485</v>
      </c>
      <c r="C56" s="190" t="s">
        <v>1424</v>
      </c>
      <c r="D56" s="190" t="s">
        <v>1425</v>
      </c>
      <c r="E56" s="191" t="s">
        <v>1426</v>
      </c>
      <c r="L56" s="137" t="s">
        <v>1453</v>
      </c>
      <c r="M56" s="138">
        <f>COUNTIFS('Consolidado Accidentes'!B:B,"MAYO",'Consolidado Accidentes'!P:P,"CTP")</f>
        <v>1</v>
      </c>
      <c r="N56" s="132">
        <f t="shared" si="15"/>
        <v>2.3255813953488372E-2</v>
      </c>
      <c r="O56" s="119"/>
    </row>
    <row r="57" spans="2:15" x14ac:dyDescent="0.2">
      <c r="B57" s="192" t="s">
        <v>1486</v>
      </c>
      <c r="C57" s="175">
        <f>COUNTIF('Consolidado Accidentes'!AM7:AM397,"Si")</f>
        <v>196</v>
      </c>
      <c r="D57" s="176">
        <f>C57/$C$59</f>
        <v>0.85217391304347823</v>
      </c>
      <c r="E57" s="177">
        <f>D57</f>
        <v>0.85217391304347823</v>
      </c>
      <c r="G57" s="193"/>
      <c r="H57" s="194"/>
      <c r="I57" s="195"/>
      <c r="J57" s="139"/>
      <c r="L57" s="137" t="s">
        <v>1456</v>
      </c>
      <c r="M57" s="138">
        <f>COUNTIFS('Consolidado Accidentes'!B:B,"JUNIO",'Consolidado Accidentes'!P:P,"CTP")</f>
        <v>9</v>
      </c>
      <c r="N57" s="132">
        <f t="shared" si="15"/>
        <v>0.20930232558139536</v>
      </c>
      <c r="O57" s="119"/>
    </row>
    <row r="58" spans="2:15" x14ac:dyDescent="0.2">
      <c r="B58" s="192" t="s">
        <v>1487</v>
      </c>
      <c r="C58" s="175">
        <f>COUNTIF('Consolidado Accidentes'!AM7:AM397,"No")</f>
        <v>34</v>
      </c>
      <c r="D58" s="176">
        <f>C58/$C$59</f>
        <v>0.14782608695652175</v>
      </c>
      <c r="E58" s="177">
        <f>E57+D58</f>
        <v>1</v>
      </c>
      <c r="G58" s="196"/>
      <c r="H58" s="194"/>
      <c r="I58" s="195"/>
      <c r="J58" s="139"/>
      <c r="L58" s="137" t="s">
        <v>1458</v>
      </c>
      <c r="M58" s="138">
        <f>COUNTIFS('Consolidado Accidentes'!B:B,"JULIO",'Consolidado Accidentes'!P:P,"CTP")</f>
        <v>2</v>
      </c>
      <c r="N58" s="132">
        <f t="shared" si="15"/>
        <v>4.6511627906976744E-2</v>
      </c>
      <c r="O58" s="119"/>
    </row>
    <row r="59" spans="2:15" ht="13.5" thickBot="1" x14ac:dyDescent="0.25">
      <c r="B59" s="182" t="s">
        <v>1436</v>
      </c>
      <c r="C59" s="183">
        <f>SUM(C57:C58)</f>
        <v>230</v>
      </c>
      <c r="D59" s="184">
        <f>SUM(D57:D58)</f>
        <v>1</v>
      </c>
      <c r="E59" s="185"/>
      <c r="G59" s="193"/>
      <c r="H59" s="194"/>
      <c r="I59" s="195"/>
      <c r="J59" s="139"/>
      <c r="L59" s="137" t="s">
        <v>1461</v>
      </c>
      <c r="M59" s="138">
        <f>COUNTIFS('Consolidado Accidentes'!B:B,"AGOSTO",'Consolidado Accidentes'!P:P,"CTP")</f>
        <v>6</v>
      </c>
      <c r="N59" s="132">
        <f t="shared" si="15"/>
        <v>0.13953488372093023</v>
      </c>
      <c r="O59" s="119"/>
    </row>
    <row r="60" spans="2:15" x14ac:dyDescent="0.2">
      <c r="G60" s="197"/>
      <c r="H60" s="194"/>
      <c r="I60" s="195"/>
      <c r="J60" s="139"/>
      <c r="L60" s="137" t="s">
        <v>1462</v>
      </c>
      <c r="M60" s="138">
        <f>COUNTIFS('Consolidado Accidentes'!B:B,"SEPTIEMBRE",'Consolidado Accidentes'!P:P,"CTP")</f>
        <v>3</v>
      </c>
      <c r="N60" s="132">
        <f t="shared" si="15"/>
        <v>6.9767441860465115E-2</v>
      </c>
      <c r="O60" s="119"/>
    </row>
    <row r="61" spans="2:15" x14ac:dyDescent="0.2">
      <c r="G61" s="196"/>
      <c r="H61" s="194"/>
      <c r="I61" s="195"/>
      <c r="J61" s="139" t="s">
        <v>211</v>
      </c>
      <c r="L61" s="137" t="s">
        <v>1463</v>
      </c>
      <c r="M61" s="138">
        <f>COUNTIFS('Consolidado Accidentes'!B:B,"octubre",'Consolidado Accidentes'!P:P,"CTP")</f>
        <v>6</v>
      </c>
      <c r="N61" s="132">
        <f t="shared" si="15"/>
        <v>0.13953488372093023</v>
      </c>
      <c r="O61" s="119"/>
    </row>
    <row r="62" spans="2:15" x14ac:dyDescent="0.2">
      <c r="G62" s="196"/>
      <c r="H62" s="194"/>
      <c r="I62" s="195"/>
      <c r="J62" s="139" t="s">
        <v>211</v>
      </c>
      <c r="L62" s="137" t="s">
        <v>1464</v>
      </c>
      <c r="M62" s="138">
        <f>COUNTIFS('Consolidado Accidentes'!B:B,"noviembre",'Consolidado Accidentes'!P:P,"CTP")</f>
        <v>3</v>
      </c>
      <c r="N62" s="132">
        <f t="shared" si="15"/>
        <v>6.9767441860465115E-2</v>
      </c>
      <c r="O62" s="119"/>
    </row>
    <row r="63" spans="2:15" x14ac:dyDescent="0.2">
      <c r="G63" s="197"/>
      <c r="H63" s="194"/>
      <c r="I63" s="195"/>
      <c r="J63" s="139" t="s">
        <v>211</v>
      </c>
      <c r="L63" s="137" t="s">
        <v>1466</v>
      </c>
      <c r="M63" s="138">
        <f>COUNTIFS('Consolidado Accidentes'!B:B,"diciembre",'Consolidado Accidentes'!P:P,"CTP")</f>
        <v>1</v>
      </c>
      <c r="N63" s="132">
        <f t="shared" si="15"/>
        <v>2.3255813953488372E-2</v>
      </c>
      <c r="O63" s="119"/>
    </row>
    <row r="64" spans="2:15" ht="13.5" thickBot="1" x14ac:dyDescent="0.25">
      <c r="G64" s="196"/>
      <c r="H64" s="194"/>
      <c r="I64" s="195"/>
      <c r="J64" s="139"/>
      <c r="L64" s="147"/>
      <c r="M64" s="198"/>
      <c r="N64" s="149"/>
      <c r="O64" s="150"/>
    </row>
    <row r="65" spans="7:15" ht="13.5" thickBot="1" x14ac:dyDescent="0.25">
      <c r="G65" s="193"/>
      <c r="H65" s="194"/>
      <c r="I65" s="195"/>
      <c r="J65" s="139"/>
      <c r="L65" s="151" t="s">
        <v>1424</v>
      </c>
      <c r="M65" s="124">
        <f>SUM(M52:M63)</f>
        <v>43</v>
      </c>
      <c r="N65" s="126">
        <f>SUM(N52:N63)</f>
        <v>1</v>
      </c>
      <c r="O65" s="125"/>
    </row>
    <row r="66" spans="7:15" x14ac:dyDescent="0.2">
      <c r="G66" s="193"/>
      <c r="H66" s="194"/>
      <c r="I66" s="195"/>
      <c r="J66" s="139"/>
    </row>
    <row r="67" spans="7:15" x14ac:dyDescent="0.2">
      <c r="G67" s="199"/>
      <c r="H67" s="194"/>
      <c r="I67" s="195"/>
      <c r="J67" s="139"/>
      <c r="M67" s="107" t="s">
        <v>211</v>
      </c>
    </row>
    <row r="68" spans="7:15" x14ac:dyDescent="0.2">
      <c r="G68" s="200"/>
      <c r="H68" s="194"/>
      <c r="I68" s="195"/>
      <c r="J68" s="195"/>
    </row>
    <row r="104" spans="7:7" x14ac:dyDescent="0.2">
      <c r="G104" s="201"/>
    </row>
    <row r="105" spans="7:7" x14ac:dyDescent="0.2">
      <c r="G105" s="201"/>
    </row>
    <row r="106" spans="7:7" x14ac:dyDescent="0.2">
      <c r="G106" s="201"/>
    </row>
  </sheetData>
  <sortState xmlns:xlrd2="http://schemas.microsoft.com/office/spreadsheetml/2017/richdata2" ref="B51:E53">
    <sortCondition descending="1" ref="C51:C53"/>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M93:M142"/>
  <sheetViews>
    <sheetView showGridLines="0" topLeftCell="A18" zoomScale="110" zoomScaleNormal="110" workbookViewId="0">
      <selection activeCell="N48" sqref="N48"/>
    </sheetView>
  </sheetViews>
  <sheetFormatPr baseColWidth="10" defaultColWidth="11" defaultRowHeight="12.75" x14ac:dyDescent="0.2"/>
  <cols>
    <col min="1" max="16384" width="11" style="8"/>
  </cols>
  <sheetData>
    <row r="93" spans="13:13" x14ac:dyDescent="0.2">
      <c r="M93" s="9"/>
    </row>
    <row r="94" spans="13:13" x14ac:dyDescent="0.2">
      <c r="M94" s="9"/>
    </row>
    <row r="95" spans="13:13" x14ac:dyDescent="0.2">
      <c r="M95" s="9"/>
    </row>
    <row r="96" spans="13:13" x14ac:dyDescent="0.2">
      <c r="M96" s="9"/>
    </row>
    <row r="97" spans="13:13" x14ac:dyDescent="0.2">
      <c r="M97" s="9"/>
    </row>
    <row r="98" spans="13:13" x14ac:dyDescent="0.2">
      <c r="M98" s="9"/>
    </row>
    <row r="99" spans="13:13" x14ac:dyDescent="0.2">
      <c r="M99" s="9"/>
    </row>
    <row r="100" spans="13:13" x14ac:dyDescent="0.2">
      <c r="M100" s="9"/>
    </row>
    <row r="101" spans="13:13" x14ac:dyDescent="0.2">
      <c r="M101" s="9"/>
    </row>
    <row r="102" spans="13:13" x14ac:dyDescent="0.2">
      <c r="M102" s="9"/>
    </row>
    <row r="103" spans="13:13" x14ac:dyDescent="0.2">
      <c r="M103" s="9"/>
    </row>
    <row r="104" spans="13:13" x14ac:dyDescent="0.2">
      <c r="M104" s="9"/>
    </row>
    <row r="105" spans="13:13" x14ac:dyDescent="0.2">
      <c r="M105" s="9"/>
    </row>
    <row r="106" spans="13:13" x14ac:dyDescent="0.2">
      <c r="M106" s="9"/>
    </row>
    <row r="107" spans="13:13" x14ac:dyDescent="0.2">
      <c r="M107" s="9"/>
    </row>
    <row r="108" spans="13:13" x14ac:dyDescent="0.2">
      <c r="M108" s="9"/>
    </row>
    <row r="109" spans="13:13" x14ac:dyDescent="0.2">
      <c r="M109" s="9"/>
    </row>
    <row r="110" spans="13:13" x14ac:dyDescent="0.2">
      <c r="M110" s="9"/>
    </row>
    <row r="111" spans="13:13" x14ac:dyDescent="0.2">
      <c r="M111" s="9"/>
    </row>
    <row r="112" spans="13:13" x14ac:dyDescent="0.2">
      <c r="M112" s="9"/>
    </row>
    <row r="113" spans="13:13" x14ac:dyDescent="0.2">
      <c r="M113" s="9"/>
    </row>
    <row r="114" spans="13:13" x14ac:dyDescent="0.2">
      <c r="M114" s="9"/>
    </row>
    <row r="115" spans="13:13" x14ac:dyDescent="0.2">
      <c r="M115" s="9"/>
    </row>
    <row r="116" spans="13:13" x14ac:dyDescent="0.2">
      <c r="M116" s="9"/>
    </row>
    <row r="117" spans="13:13" x14ac:dyDescent="0.2">
      <c r="M117" s="9"/>
    </row>
    <row r="118" spans="13:13" x14ac:dyDescent="0.2">
      <c r="M118" s="9"/>
    </row>
    <row r="119" spans="13:13" x14ac:dyDescent="0.2">
      <c r="M119" s="9"/>
    </row>
    <row r="120" spans="13:13" x14ac:dyDescent="0.2">
      <c r="M120" s="9"/>
    </row>
    <row r="121" spans="13:13" x14ac:dyDescent="0.2">
      <c r="M121" s="9"/>
    </row>
    <row r="122" spans="13:13" x14ac:dyDescent="0.2">
      <c r="M122" s="9"/>
    </row>
    <row r="123" spans="13:13" x14ac:dyDescent="0.2">
      <c r="M123" s="9"/>
    </row>
    <row r="124" spans="13:13" x14ac:dyDescent="0.2">
      <c r="M124" s="9"/>
    </row>
    <row r="125" spans="13:13" x14ac:dyDescent="0.2">
      <c r="M125" s="9"/>
    </row>
    <row r="126" spans="13:13" x14ac:dyDescent="0.2">
      <c r="M126" s="9"/>
    </row>
    <row r="127" spans="13:13" x14ac:dyDescent="0.2">
      <c r="M127" s="9"/>
    </row>
    <row r="128" spans="13:13" x14ac:dyDescent="0.2">
      <c r="M128" s="9"/>
    </row>
    <row r="129" spans="13:13" x14ac:dyDescent="0.2">
      <c r="M129" s="9"/>
    </row>
    <row r="130" spans="13:13" x14ac:dyDescent="0.2">
      <c r="M130" s="9"/>
    </row>
    <row r="131" spans="13:13" x14ac:dyDescent="0.2">
      <c r="M131" s="9"/>
    </row>
    <row r="132" spans="13:13" x14ac:dyDescent="0.2">
      <c r="M132" s="9"/>
    </row>
    <row r="133" spans="13:13" x14ac:dyDescent="0.2">
      <c r="M133" s="9"/>
    </row>
    <row r="134" spans="13:13" x14ac:dyDescent="0.2">
      <c r="M134" s="9"/>
    </row>
    <row r="135" spans="13:13" x14ac:dyDescent="0.2">
      <c r="M135" s="9"/>
    </row>
    <row r="136" spans="13:13" x14ac:dyDescent="0.2">
      <c r="M136" s="9"/>
    </row>
    <row r="137" spans="13:13" x14ac:dyDescent="0.2">
      <c r="M137" s="9"/>
    </row>
    <row r="138" spans="13:13" x14ac:dyDescent="0.2">
      <c r="M138" s="9"/>
    </row>
    <row r="139" spans="13:13" x14ac:dyDescent="0.2">
      <c r="M139" s="9"/>
    </row>
    <row r="140" spans="13:13" x14ac:dyDescent="0.2">
      <c r="M140" s="9"/>
    </row>
    <row r="141" spans="13:13" x14ac:dyDescent="0.2">
      <c r="M141" s="9"/>
    </row>
    <row r="142" spans="13:13" x14ac:dyDescent="0.2">
      <c r="M142"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29"/>
  <sheetViews>
    <sheetView showGridLines="0" topLeftCell="A70" zoomScale="70" zoomScaleNormal="70" workbookViewId="0">
      <selection activeCell="O83" sqref="O83"/>
    </sheetView>
  </sheetViews>
  <sheetFormatPr baseColWidth="10" defaultColWidth="11" defaultRowHeight="15" x14ac:dyDescent="0.25"/>
  <cols>
    <col min="1" max="1" width="14.85546875" bestFit="1" customWidth="1"/>
    <col min="2" max="2" width="25" style="14" customWidth="1"/>
    <col min="4" max="4" width="12.5703125" customWidth="1"/>
    <col min="5" max="5" width="13.42578125" customWidth="1"/>
  </cols>
  <sheetData>
    <row r="1" spans="1:14" x14ac:dyDescent="0.25">
      <c r="B1" s="21"/>
    </row>
    <row r="2" spans="1:14" x14ac:dyDescent="0.25">
      <c r="A2" s="17" t="s">
        <v>19</v>
      </c>
      <c r="B2" s="18" t="s">
        <v>1488</v>
      </c>
      <c r="C2" s="17" t="s">
        <v>1489</v>
      </c>
      <c r="D2" s="17" t="s">
        <v>1490</v>
      </c>
      <c r="E2" s="17" t="s">
        <v>1491</v>
      </c>
    </row>
    <row r="3" spans="1:14" x14ac:dyDescent="0.25">
      <c r="A3" s="259" t="s">
        <v>1428</v>
      </c>
      <c r="B3" s="28" t="s">
        <v>198</v>
      </c>
      <c r="C3" s="10">
        <f>COUNTIF('Consolidado Accidentes'!AE7:AE397,"ARNALDO VERA")</f>
        <v>14</v>
      </c>
      <c r="D3" s="30">
        <f>COUNTIFS('Consolidado Accidentes'!P:P,"CTP",'Consolidado Accidentes'!AE:AE,"ARNALDO VERA")</f>
        <v>3</v>
      </c>
      <c r="E3" s="30">
        <f>COUNTIFS('Consolidado Accidentes'!P:P,"STP",'Consolidado Accidentes'!AE:AE,"ARNALDO VERA",'Consolidado Accidentes'!AN:AN,"SI")</f>
        <v>1</v>
      </c>
      <c r="M3" s="34" t="s">
        <v>1424</v>
      </c>
      <c r="N3" s="33">
        <f>SUM(C9+C24+C36+C48+C60+C75+C96+C106+C125+C136+C155)</f>
        <v>224</v>
      </c>
    </row>
    <row r="4" spans="1:14" x14ac:dyDescent="0.25">
      <c r="A4" s="262"/>
      <c r="B4" s="29" t="s">
        <v>280</v>
      </c>
      <c r="C4" s="10">
        <f>COUNTIF('Consolidado Accidentes'!AE7:AE398,"RAMIRO RAMIREZ")</f>
        <v>16</v>
      </c>
      <c r="D4" s="30">
        <f>COUNTIFS('Consolidado Accidentes'!P:P,"CTP",'Consolidado Accidentes'!AE:AE,"RAMIRO RAMIREZ")</f>
        <v>1</v>
      </c>
      <c r="E4" s="30">
        <f>COUNTIFS('Consolidado Accidentes'!P:P,"STP",'Consolidado Accidentes'!AE:AE,"RAMIRO RAMIREZ",'Consolidado Accidentes'!AN:AN,"SI")</f>
        <v>5</v>
      </c>
      <c r="M4" s="34" t="s">
        <v>1492</v>
      </c>
      <c r="N4">
        <f>SUM(D9,D24,D36,D48,D60,D75,D96,D106,D125,D136,D155)</f>
        <v>43</v>
      </c>
    </row>
    <row r="5" spans="1:14" x14ac:dyDescent="0.25">
      <c r="A5" s="262"/>
      <c r="B5" s="29" t="s">
        <v>1059</v>
      </c>
      <c r="C5" s="10">
        <f>COUNTIF('Consolidado Accidentes'!AE7:AE398,"FABIAN GONZALEZ")</f>
        <v>1</v>
      </c>
      <c r="D5" s="30">
        <f>COUNTIFS('Consolidado Accidentes'!P:P,"CTP",'Consolidado Accidentes'!AE:AE,"FABIAN GONZALEZ")</f>
        <v>1</v>
      </c>
      <c r="E5" s="30">
        <f>COUNTIFS('Consolidado Accidentes'!P:P,"STP",'Consolidado Accidentes'!AE:AE,"FABIAN GONZALEZ",'Consolidado Accidentes'!AN:AN,"SI")</f>
        <v>0</v>
      </c>
      <c r="M5" s="34"/>
    </row>
    <row r="6" spans="1:14" x14ac:dyDescent="0.25">
      <c r="A6" s="262"/>
      <c r="B6" s="28" t="s">
        <v>131</v>
      </c>
      <c r="C6" s="10">
        <f>COUNTIF('Consolidado Accidentes'!AE7:AE399,"JOSE CARVALLO")</f>
        <v>13</v>
      </c>
      <c r="D6" s="30">
        <f>COUNTIFS('Consolidado Accidentes'!P:P,"CTP",'Consolidado Accidentes'!AE:AE,"JOSE CARVALLO")</f>
        <v>3</v>
      </c>
      <c r="E6" s="30">
        <f>COUNTIFS('Consolidado Accidentes'!P:P,"STP",'Consolidado Accidentes'!AE:AE,"JOSE CARVALLO",'Consolidado Accidentes'!AN:AN,"SI")</f>
        <v>1</v>
      </c>
      <c r="M6" s="34" t="s">
        <v>1493</v>
      </c>
      <c r="N6">
        <f>SUM(E9,E24,E36,E48,E60,E75,E96,E106,E125,E136,E155)</f>
        <v>28</v>
      </c>
    </row>
    <row r="7" spans="1:14" x14ac:dyDescent="0.25">
      <c r="A7" s="262"/>
      <c r="B7" s="28" t="s">
        <v>121</v>
      </c>
      <c r="C7" s="10">
        <f>COUNTIF('Consolidado Accidentes'!AE7:AE400,"RAFAEL ASTORGA")</f>
        <v>6</v>
      </c>
      <c r="D7" s="30">
        <f>COUNTIFS('Consolidado Accidentes'!P:P,"CTP",'Consolidado Accidentes'!AE:AE,"RAFAEL ASTORGA")</f>
        <v>2</v>
      </c>
      <c r="E7" s="30">
        <f>COUNTIFS('Consolidado Accidentes'!P:P,"STP",'Consolidado Accidentes'!AE:AE,"RAFAEL ASTORGA",'Consolidado Accidentes'!AN:AN,"SI")</f>
        <v>1</v>
      </c>
      <c r="M7" s="34" t="s">
        <v>1438</v>
      </c>
      <c r="N7">
        <f>SUM(N4:N6)</f>
        <v>71</v>
      </c>
    </row>
    <row r="8" spans="1:14" x14ac:dyDescent="0.25">
      <c r="A8" s="260"/>
      <c r="B8" s="28" t="s">
        <v>191</v>
      </c>
      <c r="C8" s="10">
        <f>COUNTIF('Consolidado Accidentes'!AE7:AE401,"GUSTAVO BLANCO")</f>
        <v>12</v>
      </c>
      <c r="D8" s="30">
        <f>COUNTIFS('Consolidado Accidentes'!P:P,"CTP",'Consolidado Accidentes'!AE:AE,"GUSTAVO BLANCO")</f>
        <v>2</v>
      </c>
      <c r="E8" s="30">
        <f>COUNTIFS('Consolidado Accidentes'!P:P,"STP",'Consolidado Accidentes'!AE:AE,"GUSTAVO BLANCO",'Consolidado Accidentes'!AN:AN,"SI")</f>
        <v>1</v>
      </c>
    </row>
    <row r="9" spans="1:14" x14ac:dyDescent="0.25">
      <c r="B9" s="19"/>
      <c r="C9" s="10">
        <f>SUM(C3:C8)</f>
        <v>62</v>
      </c>
      <c r="D9" s="10">
        <f>SUM(D3:D8)</f>
        <v>12</v>
      </c>
      <c r="E9" s="10">
        <f>SUM(E3:E8)</f>
        <v>9</v>
      </c>
    </row>
    <row r="10" spans="1:14" x14ac:dyDescent="0.25">
      <c r="B10" s="19"/>
    </row>
    <row r="11" spans="1:14" x14ac:dyDescent="0.25">
      <c r="B11" s="19"/>
    </row>
    <row r="12" spans="1:14" x14ac:dyDescent="0.25">
      <c r="B12" s="19"/>
    </row>
    <row r="13" spans="1:14" x14ac:dyDescent="0.25">
      <c r="B13" s="19"/>
    </row>
    <row r="14" spans="1:14" x14ac:dyDescent="0.25">
      <c r="B14" s="20"/>
    </row>
    <row r="15" spans="1:14" x14ac:dyDescent="0.25">
      <c r="B15" s="15"/>
    </row>
    <row r="16" spans="1:14" x14ac:dyDescent="0.25">
      <c r="A16" s="25" t="s">
        <v>19</v>
      </c>
      <c r="B16" s="18" t="s">
        <v>1488</v>
      </c>
      <c r="C16" s="17" t="s">
        <v>1489</v>
      </c>
      <c r="D16" s="17" t="s">
        <v>1490</v>
      </c>
      <c r="E16" s="17" t="s">
        <v>1491</v>
      </c>
    </row>
    <row r="17" spans="1:5" x14ac:dyDescent="0.25">
      <c r="A17" s="261" t="s">
        <v>156</v>
      </c>
      <c r="B17" s="41" t="s">
        <v>218</v>
      </c>
      <c r="C17" s="10">
        <f>COUNTIF('Consolidado Accidentes'!AE7:AE397,"SERGIO AQUEVEQUE")</f>
        <v>4</v>
      </c>
      <c r="D17" s="30">
        <f>COUNTIFS('Consolidado Accidentes'!P:P,"CTP",'Consolidado Accidentes'!AE:AE,"SERGIO AQUEVEQUE")</f>
        <v>0</v>
      </c>
      <c r="E17" s="30">
        <f>COUNTIFS('Consolidado Accidentes'!P:P,"STP",'Consolidado Accidentes'!AE:AE,"SERGIO AQUEVEQUE",'Consolidado Accidentes'!AN:AN,"SI")</f>
        <v>1</v>
      </c>
    </row>
    <row r="18" spans="1:5" x14ac:dyDescent="0.25">
      <c r="A18" s="261"/>
      <c r="B18" s="41" t="s">
        <v>184</v>
      </c>
      <c r="C18" s="10">
        <f>COUNTIF('Consolidado Accidentes'!AE7:AE399,"FELIPE HERRERA")</f>
        <v>10</v>
      </c>
      <c r="D18" s="30">
        <f>COUNTIFS('Consolidado Accidentes'!P:P,"CTP",'Consolidado Accidentes'!AE:AE,"FELIPE HERRERA")</f>
        <v>2</v>
      </c>
      <c r="E18" s="30">
        <f>COUNTIFS('Consolidado Accidentes'!P:P,"STP",'Consolidado Accidentes'!AE:AE,"FELIPE HERRERA",'Consolidado Accidentes'!AN:AN,"SI")</f>
        <v>1</v>
      </c>
    </row>
    <row r="19" spans="1:5" x14ac:dyDescent="0.25">
      <c r="A19" s="261"/>
      <c r="B19" s="41" t="s">
        <v>781</v>
      </c>
      <c r="C19" s="10">
        <f>COUNTIF('Consolidado Accidentes'!AE7:AE400,"DAVID ROMO")</f>
        <v>3</v>
      </c>
      <c r="D19" s="30">
        <f>COUNTIFS('Consolidado Accidentes'!P:P,"CTP",'Consolidado Accidentes'!AE:AE,"DAVID ROMO")</f>
        <v>2</v>
      </c>
      <c r="E19" s="30">
        <f>COUNTIFS('Consolidado Accidentes'!P:P,"STP",'Consolidado Accidentes'!AE:AE,"DAVID ROMO",'Consolidado Accidentes'!AN:AN,"SI")</f>
        <v>0</v>
      </c>
    </row>
    <row r="20" spans="1:5" x14ac:dyDescent="0.25">
      <c r="A20" s="261"/>
      <c r="B20" s="41" t="s">
        <v>694</v>
      </c>
      <c r="C20" s="10">
        <f>COUNTIF('Consolidado Accidentes'!AE7:AE403,"ROLANDO EMIHUEQUE")</f>
        <v>6</v>
      </c>
      <c r="D20" s="30">
        <f>COUNTIFS('Consolidado Accidentes'!P:P,"CTP",'Consolidado Accidentes'!AE:AE,"ROLANDO EMIHUEQUE")</f>
        <v>1</v>
      </c>
      <c r="E20" s="30">
        <f>COUNTIFS('Consolidado Accidentes'!P:P,"STP",'Consolidado Accidentes'!AE:AE,"ROLANDO EMIHUEQUE",'Consolidado Accidentes'!AN:AN,"SI")</f>
        <v>2</v>
      </c>
    </row>
    <row r="21" spans="1:5" x14ac:dyDescent="0.25">
      <c r="A21" s="261"/>
      <c r="B21" s="41" t="s">
        <v>1072</v>
      </c>
      <c r="C21" s="10">
        <f>COUNTIF('Consolidado Accidentes'!AE7:AE403,"PATRICIO PALACIOS")</f>
        <v>2</v>
      </c>
      <c r="D21" s="30">
        <f>COUNTIFS('Consolidado Accidentes'!P:P,"CTP",'Consolidado Accidentes'!AE:AE,"PATRICIO PALACIOS")</f>
        <v>0</v>
      </c>
      <c r="E21" s="30">
        <f>COUNTIFS('Consolidado Accidentes'!P:P,"STP",'Consolidado Accidentes'!AE:AE,"PATRICIO PALACIOS",'Consolidado Accidentes'!AN:AN,"SI")</f>
        <v>1</v>
      </c>
    </row>
    <row r="22" spans="1:5" x14ac:dyDescent="0.25">
      <c r="A22" s="261"/>
      <c r="B22" s="41" t="s">
        <v>541</v>
      </c>
      <c r="C22" s="10">
        <f>COUNTIF('Consolidado Accidentes'!AE7:AE403,"ORLANDO FARIAS")</f>
        <v>6</v>
      </c>
      <c r="D22" s="30">
        <f>COUNTIFS('Consolidado Accidentes'!P:P,"CTP",'Consolidado Accidentes'!AE:AE,"ORLANDO FARIAS")</f>
        <v>2</v>
      </c>
      <c r="E22" s="30">
        <f>COUNTIFS('Consolidado Accidentes'!P:P,"STP",'Consolidado Accidentes'!AE:AE,"ORLANDO FARIAS",'Consolidado Accidentes'!AN:AN,"SI")</f>
        <v>0</v>
      </c>
    </row>
    <row r="23" spans="1:5" x14ac:dyDescent="0.25">
      <c r="A23" s="261"/>
      <c r="B23" s="42" t="s">
        <v>160</v>
      </c>
      <c r="C23" s="10">
        <f>COUNTIF('Consolidado Accidentes'!AE14:AE404,"LUIS URBINA")</f>
        <v>3</v>
      </c>
      <c r="D23" s="30">
        <f>COUNTIFS('Consolidado Accidentes'!P:P,"CTP",'Consolidado Accidentes'!AE:AE,"LUIS URBINA")</f>
        <v>0</v>
      </c>
      <c r="E23" s="30">
        <f>COUNTIFS('Consolidado Accidentes'!P:P,"STP",'Consolidado Accidentes'!AE:AE,"LUIS URBINA",'Consolidado Accidentes'!AN:AN,"SI")</f>
        <v>0</v>
      </c>
    </row>
    <row r="24" spans="1:5" x14ac:dyDescent="0.25">
      <c r="B24" s="16"/>
      <c r="C24" s="10">
        <f>SUM(C17:C23)</f>
        <v>34</v>
      </c>
      <c r="D24" s="10">
        <f>SUM(D17:D23)</f>
        <v>7</v>
      </c>
      <c r="E24" s="10">
        <f>SUM(E17:E23)</f>
        <v>5</v>
      </c>
    </row>
    <row r="25" spans="1:5" x14ac:dyDescent="0.25">
      <c r="B25" s="19"/>
    </row>
    <row r="26" spans="1:5" x14ac:dyDescent="0.25">
      <c r="B26" s="15"/>
    </row>
    <row r="27" spans="1:5" x14ac:dyDescent="0.25">
      <c r="B27" s="15"/>
    </row>
    <row r="28" spans="1:5" x14ac:dyDescent="0.25">
      <c r="B28" s="15"/>
    </row>
    <row r="29" spans="1:5" x14ac:dyDescent="0.25">
      <c r="B29" s="15"/>
    </row>
    <row r="30" spans="1:5" x14ac:dyDescent="0.25">
      <c r="B30" s="15"/>
    </row>
    <row r="31" spans="1:5" x14ac:dyDescent="0.25">
      <c r="A31" s="17" t="s">
        <v>19</v>
      </c>
      <c r="B31" s="18" t="s">
        <v>1488</v>
      </c>
      <c r="C31" s="17" t="s">
        <v>1489</v>
      </c>
      <c r="D31" s="17" t="s">
        <v>1490</v>
      </c>
      <c r="E31" s="17" t="s">
        <v>1491</v>
      </c>
    </row>
    <row r="32" spans="1:5" x14ac:dyDescent="0.25">
      <c r="A32" s="263" t="s">
        <v>1429</v>
      </c>
      <c r="B32" s="43" t="s">
        <v>1184</v>
      </c>
      <c r="C32" s="10">
        <f>COUNTIF('Consolidado Accidentes'!AE7:AE416,"RONALD ONELL")</f>
        <v>1</v>
      </c>
      <c r="D32" s="30">
        <f>COUNTIFS('Consolidado Accidentes'!P:P,"CTP",'Consolidado Accidentes'!AE:AE,"RONALD ONELL")</f>
        <v>1</v>
      </c>
      <c r="E32" s="30">
        <f>COUNTIFS('Consolidado Accidentes'!P:P,"STP",'Consolidado Accidentes'!AE:AE,"RONALD ONELL",'Consolidado Accidentes'!AN:AN,"SI")</f>
        <v>0</v>
      </c>
    </row>
    <row r="33" spans="1:5" x14ac:dyDescent="0.25">
      <c r="A33" s="263"/>
      <c r="B33" s="43" t="s">
        <v>56</v>
      </c>
      <c r="C33" s="10">
        <f>COUNTIF('Consolidado Accidentes'!AE7:AE421,"MARCO QUINTANILLA")</f>
        <v>7</v>
      </c>
      <c r="D33" s="30">
        <f>COUNTIFS('Consolidado Accidentes'!P:P,"CTP",'Consolidado Accidentes'!AE:AE,"MARCO QUINTANILLA")</f>
        <v>2</v>
      </c>
      <c r="E33" s="30">
        <f>COUNTIFS('Consolidado Accidentes'!P:P,"STP",'Consolidado Accidentes'!AE:AE,"MARCO QUINTANILLA",'Consolidado Accidentes'!AN:AN,"SI")</f>
        <v>0</v>
      </c>
    </row>
    <row r="34" spans="1:5" x14ac:dyDescent="0.25">
      <c r="A34" s="264"/>
      <c r="B34" s="44" t="s">
        <v>101</v>
      </c>
      <c r="C34" s="10">
        <f>COUNTIF('Consolidado Accidentes'!AE7:AE425,"EDGAR HERNANDEZ")</f>
        <v>20</v>
      </c>
      <c r="D34" s="30">
        <f>COUNTIFS('Consolidado Accidentes'!P:P,"CTP",'Consolidado Accidentes'!AE:AE,"EDGAR HERNANDEZ")</f>
        <v>2</v>
      </c>
      <c r="E34" s="30">
        <f>COUNTIFS('Consolidado Accidentes'!P:P,"STP",'Consolidado Accidentes'!AE:AE,"EDGAR HERNANDEZ",'Consolidado Accidentes'!AN:AN,"SI")</f>
        <v>2</v>
      </c>
    </row>
    <row r="35" spans="1:5" x14ac:dyDescent="0.25">
      <c r="A35" s="86"/>
      <c r="B35" s="44" t="s">
        <v>287</v>
      </c>
      <c r="C35" s="10">
        <f>COUNTIF('Consolidado Accidentes'!AE7:AE426,"GERMAN RODRIGUEZ")</f>
        <v>2</v>
      </c>
      <c r="D35" s="30">
        <f>COUNTIFS('Consolidado Accidentes'!P:P,"CTP",'Consolidado Accidentes'!AE:AE,"GERMAN RODRIGUEZ")</f>
        <v>0</v>
      </c>
      <c r="E35" s="30">
        <f>COUNTIFS('Consolidado Accidentes'!P:P,"STP",'Consolidado Accidentes'!AE:AE,"GERMAN RODRIGUEZ",'Consolidado Accidentes'!AN:AN,"SI")</f>
        <v>0</v>
      </c>
    </row>
    <row r="36" spans="1:5" x14ac:dyDescent="0.25">
      <c r="B36" s="15"/>
      <c r="C36" s="39">
        <f>SUM(C32:C35)</f>
        <v>30</v>
      </c>
      <c r="D36" s="39">
        <f>SUM(D32:D35)</f>
        <v>5</v>
      </c>
      <c r="E36" s="39">
        <f>SUM(E32:E35)</f>
        <v>2</v>
      </c>
    </row>
    <row r="37" spans="1:5" x14ac:dyDescent="0.25">
      <c r="B37" s="15"/>
    </row>
    <row r="38" spans="1:5" x14ac:dyDescent="0.25">
      <c r="B38" s="15"/>
    </row>
    <row r="39" spans="1:5" x14ac:dyDescent="0.25">
      <c r="B39" s="15"/>
    </row>
    <row r="40" spans="1:5" x14ac:dyDescent="0.25">
      <c r="B40" s="16"/>
      <c r="C40" s="6"/>
      <c r="D40" s="6"/>
      <c r="E40" s="6"/>
    </row>
    <row r="41" spans="1:5" x14ac:dyDescent="0.25">
      <c r="B41" s="15"/>
    </row>
    <row r="42" spans="1:5" x14ac:dyDescent="0.25">
      <c r="B42" s="15"/>
    </row>
    <row r="43" spans="1:5" x14ac:dyDescent="0.25">
      <c r="A43" s="25" t="s">
        <v>19</v>
      </c>
      <c r="B43" s="18" t="s">
        <v>1488</v>
      </c>
      <c r="C43" s="17" t="s">
        <v>1489</v>
      </c>
      <c r="D43" s="17" t="s">
        <v>1490</v>
      </c>
      <c r="E43" s="17" t="s">
        <v>1491</v>
      </c>
    </row>
    <row r="44" spans="1:5" x14ac:dyDescent="0.25">
      <c r="A44" s="261" t="s">
        <v>1494</v>
      </c>
      <c r="B44" s="41" t="s">
        <v>112</v>
      </c>
      <c r="C44" s="10">
        <f>COUNTIF('Consolidado Accidentes'!AE7:AE415,"ERWIN GATICA")</f>
        <v>9</v>
      </c>
      <c r="D44" s="30">
        <f>COUNTIFS('Consolidado Accidentes'!P:P,"CTP",'Consolidado Accidentes'!AE:AE,"ERWIN GATICA")</f>
        <v>2</v>
      </c>
      <c r="E44" s="30">
        <f>COUNTIFS('Consolidado Accidentes'!P:P,"STP",'Consolidado Accidentes'!AE:AE,"ERWIN GATICA",'Consolidado Accidentes'!AN:AN,"SI")</f>
        <v>1</v>
      </c>
    </row>
    <row r="45" spans="1:5" x14ac:dyDescent="0.25">
      <c r="A45" s="261"/>
      <c r="B45" s="32" t="s">
        <v>178</v>
      </c>
      <c r="C45" s="64">
        <f>COUNTIF('Consolidado Accidentes'!AE7:AE416,"CESAR CARTAGENA")</f>
        <v>11</v>
      </c>
      <c r="D45" s="30">
        <f>COUNTIFS('Consolidado Accidentes'!P:P,"CTP",'Consolidado Accidentes'!AE:AE,"CESAR CARTAGENA")</f>
        <v>3</v>
      </c>
      <c r="E45" s="30">
        <f>COUNTIFS('Consolidado Accidentes'!P:P,"STP",'Consolidado Accidentes'!AE:AE,"CESAR CARTAGENA",'Consolidado Accidentes'!AN:AN,"SI")</f>
        <v>2</v>
      </c>
    </row>
    <row r="46" spans="1:5" x14ac:dyDescent="0.25">
      <c r="A46" s="261"/>
      <c r="B46" s="43" t="s">
        <v>298</v>
      </c>
      <c r="C46" s="10">
        <f>COUNTIF('Consolidado Accidentes'!AE7:AE417,"ANTONIO RIVAS")</f>
        <v>5</v>
      </c>
      <c r="D46" s="30">
        <f>COUNTIFS('Consolidado Accidentes'!P:P,"CTP",'Consolidado Accidentes'!AE:AE,"ANTONIO RIVAS")</f>
        <v>0</v>
      </c>
      <c r="E46" s="30">
        <f>COUNTIFS('Consolidado Accidentes'!P:P,"STP",'Consolidado Accidentes'!AE:AE,"ANTONIO RIVAS",'Consolidado Accidentes'!AN:AN,"SI")</f>
        <v>0</v>
      </c>
    </row>
    <row r="47" spans="1:5" x14ac:dyDescent="0.25">
      <c r="A47" s="261"/>
      <c r="B47" s="41" t="s">
        <v>555</v>
      </c>
      <c r="C47" s="10">
        <f>COUNTIF('Consolidado Accidentes'!AE7:AE419,"CRISTIAN MEZA")</f>
        <v>3</v>
      </c>
      <c r="D47" s="30">
        <f>COUNTIFS('Consolidado Accidentes'!P:P,"CTP",'Consolidado Accidentes'!AE:AE,"CRISTIAN MEZA")</f>
        <v>0</v>
      </c>
      <c r="E47" s="30">
        <f>COUNTIFS('Consolidado Accidentes'!P:P,"STP",'Consolidado Accidentes'!AE:AE,"CRISTIAN MEZA",'Consolidado Accidentes'!AN:AN,"SI")</f>
        <v>1</v>
      </c>
    </row>
    <row r="48" spans="1:5" x14ac:dyDescent="0.25">
      <c r="B48" s="15"/>
      <c r="C48" s="10">
        <f>SUM(C44:C47)</f>
        <v>28</v>
      </c>
      <c r="D48" s="10">
        <f>SUM(D44:D47)</f>
        <v>5</v>
      </c>
      <c r="E48" s="10">
        <f>SUM(E44:E47)</f>
        <v>4</v>
      </c>
    </row>
    <row r="49" spans="1:5" x14ac:dyDescent="0.25">
      <c r="B49" s="15"/>
    </row>
    <row r="50" spans="1:5" x14ac:dyDescent="0.25">
      <c r="B50" s="15"/>
    </row>
    <row r="51" spans="1:5" x14ac:dyDescent="0.25">
      <c r="B51" s="15"/>
    </row>
    <row r="52" spans="1:5" x14ac:dyDescent="0.25">
      <c r="B52" s="15"/>
    </row>
    <row r="53" spans="1:5" x14ac:dyDescent="0.25">
      <c r="B53" s="15"/>
    </row>
    <row r="54" spans="1:5" x14ac:dyDescent="0.25">
      <c r="B54" s="15"/>
    </row>
    <row r="55" spans="1:5" x14ac:dyDescent="0.25">
      <c r="B55" s="15"/>
    </row>
    <row r="56" spans="1:5" x14ac:dyDescent="0.25">
      <c r="B56" s="16"/>
      <c r="C56" s="6"/>
      <c r="D56" s="6"/>
      <c r="E56" s="6"/>
    </row>
    <row r="57" spans="1:5" x14ac:dyDescent="0.25">
      <c r="A57" s="25" t="s">
        <v>19</v>
      </c>
      <c r="B57" s="18" t="s">
        <v>1488</v>
      </c>
      <c r="C57" s="17" t="s">
        <v>1489</v>
      </c>
      <c r="D57" s="17" t="s">
        <v>1490</v>
      </c>
      <c r="E57" s="17" t="s">
        <v>1491</v>
      </c>
    </row>
    <row r="58" spans="1:5" x14ac:dyDescent="0.25">
      <c r="A58" s="261" t="s">
        <v>1430</v>
      </c>
      <c r="B58" s="31" t="s">
        <v>75</v>
      </c>
      <c r="C58" s="10">
        <f>COUNTIF('Consolidado Accidentes'!AE7:AE415,"JAQUELINE PAVEZ")</f>
        <v>14</v>
      </c>
      <c r="D58" s="30">
        <f>COUNTIFS('Consolidado Accidentes'!P:P,"CTP",'Consolidado Accidentes'!AE:AE,"JAQUELINE PAVEZ")</f>
        <v>2</v>
      </c>
      <c r="E58" s="30">
        <f>COUNTIFS('Consolidado Accidentes'!P:P,"STP",'Consolidado Accidentes'!AE:AE,"JAQUELINE PAVEZ",'Consolidado Accidentes'!AN:AN,"SI")</f>
        <v>0</v>
      </c>
    </row>
    <row r="59" spans="1:5" x14ac:dyDescent="0.25">
      <c r="A59" s="261"/>
      <c r="B59" s="29" t="s">
        <v>293</v>
      </c>
      <c r="C59" s="10">
        <f>COUNTIF('Consolidado Accidentes'!AE7:AE416,"ADRIAN TEJIAS")</f>
        <v>2</v>
      </c>
      <c r="D59" s="30">
        <f>COUNTIFS('Consolidado Accidentes'!P:P,"CTP",'Consolidado Accidentes'!AE:AE,"ADRIAN TEJIAS")</f>
        <v>0</v>
      </c>
      <c r="E59" s="30">
        <f>COUNTIFS('Consolidado Accidentes'!P:P,"STP",'Consolidado Accidentes'!AE:AE,"ADRIAN TEJIAS",'Consolidado Accidentes'!AN:AN,"SI")</f>
        <v>0</v>
      </c>
    </row>
    <row r="60" spans="1:5" x14ac:dyDescent="0.25">
      <c r="B60" s="15"/>
      <c r="C60" s="10">
        <f>SUM(C58:C59)</f>
        <v>16</v>
      </c>
      <c r="D60" s="10">
        <f>SUM(D58:D59)</f>
        <v>2</v>
      </c>
      <c r="E60" s="10">
        <f>SUM(E58:E59)</f>
        <v>0</v>
      </c>
    </row>
    <row r="61" spans="1:5" x14ac:dyDescent="0.25">
      <c r="B61" s="15"/>
    </row>
    <row r="62" spans="1:5" x14ac:dyDescent="0.25">
      <c r="B62" s="15"/>
    </row>
    <row r="63" spans="1:5" x14ac:dyDescent="0.25">
      <c r="B63" s="15"/>
    </row>
    <row r="64" spans="1:5" x14ac:dyDescent="0.25">
      <c r="B64" s="15"/>
    </row>
    <row r="65" spans="1:5" x14ac:dyDescent="0.25">
      <c r="B65" s="15"/>
    </row>
    <row r="66" spans="1:5" x14ac:dyDescent="0.25">
      <c r="B66" s="15"/>
    </row>
    <row r="67" spans="1:5" x14ac:dyDescent="0.25">
      <c r="B67" s="15"/>
    </row>
    <row r="68" spans="1:5" x14ac:dyDescent="0.25">
      <c r="B68" s="15"/>
    </row>
    <row r="69" spans="1:5" x14ac:dyDescent="0.25">
      <c r="B69" s="15"/>
    </row>
    <row r="70" spans="1:5" x14ac:dyDescent="0.25">
      <c r="B70" s="16"/>
      <c r="C70" s="6"/>
      <c r="D70" s="6"/>
      <c r="E70" s="6"/>
    </row>
    <row r="71" spans="1:5" x14ac:dyDescent="0.25">
      <c r="A71" s="25" t="s">
        <v>19</v>
      </c>
      <c r="B71" s="18" t="s">
        <v>1488</v>
      </c>
      <c r="C71" s="17" t="s">
        <v>1489</v>
      </c>
      <c r="D71" s="17" t="s">
        <v>1490</v>
      </c>
      <c r="E71" s="17" t="s">
        <v>1491</v>
      </c>
    </row>
    <row r="72" spans="1:5" x14ac:dyDescent="0.25">
      <c r="A72" s="259" t="s">
        <v>255</v>
      </c>
      <c r="B72" s="41" t="s">
        <v>260</v>
      </c>
      <c r="C72" s="10">
        <f>COUNTIF('Consolidado Accidentes'!AE7:AE415,"MAURICIO HERNANDEZ")</f>
        <v>1</v>
      </c>
      <c r="D72" s="30">
        <f>COUNTIFS('Consolidado Accidentes'!P:P,"CTP",'Consolidado Accidentes'!AE:AE,"MAURICIO HERNANDEZ")</f>
        <v>0</v>
      </c>
      <c r="E72" s="30">
        <f>COUNTIFS('Consolidado Accidentes'!P:P,"STP",'Consolidado Accidentes'!AE:AE,"MAURICIO HERNANDEZ",'Consolidado Accidentes'!AN:AN,"SI")</f>
        <v>1</v>
      </c>
    </row>
    <row r="73" spans="1:5" x14ac:dyDescent="0.25">
      <c r="A73" s="262"/>
      <c r="B73" s="41" t="s">
        <v>547</v>
      </c>
      <c r="C73" s="10">
        <f>COUNTIF('Consolidado Accidentes'!AE7:AE418,"MARIA EUGENIA YAÑEZ")</f>
        <v>11</v>
      </c>
      <c r="D73" s="30">
        <f>COUNTIFS('Consolidado Accidentes'!P:P,"CTP",'Consolidado Accidentes'!AE:AE,"MARIA EUGENIA YAÑEZ")</f>
        <v>2</v>
      </c>
      <c r="E73" s="30">
        <f>COUNTIFS('Consolidado Accidentes'!P:P,"STP",'Consolidado Accidentes'!AE:AE,"MARIA EUGENIA YAÑEZ",'Consolidado Accidentes'!AN:AN,"SI")</f>
        <v>1</v>
      </c>
    </row>
    <row r="74" spans="1:5" x14ac:dyDescent="0.25">
      <c r="A74" s="260"/>
      <c r="B74" s="42" t="s">
        <v>1495</v>
      </c>
      <c r="C74" s="10">
        <f>COUNTIF('Consolidado Accidentes'!AE7:AE420,"JUAN VILLAVICENCIO")</f>
        <v>0</v>
      </c>
      <c r="D74" s="30">
        <f>COUNTIFS('Consolidado Accidentes'!P:P,"CTP",'Consolidado Accidentes'!AE:AE,"JUAN VILLAVICENCIO")</f>
        <v>0</v>
      </c>
      <c r="E74" s="30">
        <f>COUNTIFS('Consolidado Accidentes'!P:P,"STP",'Consolidado Accidentes'!AE:AE,"JUAN VILLAVICENCIO",'Consolidado Accidentes'!AN:AN,"SI")</f>
        <v>0</v>
      </c>
    </row>
    <row r="75" spans="1:5" x14ac:dyDescent="0.25">
      <c r="B75" s="15"/>
      <c r="C75" s="10">
        <f>SUM(C72:C74)</f>
        <v>12</v>
      </c>
      <c r="D75" s="10">
        <f>SUM(D72:D74)</f>
        <v>2</v>
      </c>
      <c r="E75" s="10">
        <f>SUM(E72:E74)</f>
        <v>2</v>
      </c>
    </row>
    <row r="76" spans="1:5" x14ac:dyDescent="0.25">
      <c r="B76" s="15"/>
    </row>
    <row r="77" spans="1:5" x14ac:dyDescent="0.25">
      <c r="B77" s="15"/>
    </row>
    <row r="78" spans="1:5" x14ac:dyDescent="0.25">
      <c r="B78" s="15"/>
    </row>
    <row r="79" spans="1:5" x14ac:dyDescent="0.25">
      <c r="B79" s="15"/>
    </row>
    <row r="80" spans="1:5" x14ac:dyDescent="0.25">
      <c r="B80" s="15"/>
    </row>
    <row r="81" spans="1:5" x14ac:dyDescent="0.25">
      <c r="B81" s="15"/>
    </row>
    <row r="82" spans="1:5" x14ac:dyDescent="0.25">
      <c r="B82" s="15"/>
    </row>
    <row r="83" spans="1:5" x14ac:dyDescent="0.25">
      <c r="B83" s="15"/>
    </row>
    <row r="84" spans="1:5" x14ac:dyDescent="0.25">
      <c r="A84" s="25" t="s">
        <v>19</v>
      </c>
      <c r="B84" s="18" t="s">
        <v>1488</v>
      </c>
      <c r="C84" s="17" t="s">
        <v>1489</v>
      </c>
      <c r="D84" s="17" t="s">
        <v>1490</v>
      </c>
      <c r="E84" s="17" t="s">
        <v>1491</v>
      </c>
    </row>
    <row r="85" spans="1:5" x14ac:dyDescent="0.25">
      <c r="A85" s="258" t="s">
        <v>165</v>
      </c>
      <c r="B85" s="69" t="s">
        <v>1496</v>
      </c>
      <c r="C85" s="10">
        <f>COUNTIF('Consolidado Accidentes'!AE7:AE416,"MICHEL CARVAJAL")</f>
        <v>0</v>
      </c>
      <c r="D85" s="30">
        <f>COUNTIFS('Consolidado Accidentes'!P:P,"CTP",'Consolidado Accidentes'!AE:AE,"MICHEL CARVAJAL")</f>
        <v>0</v>
      </c>
      <c r="E85" s="30">
        <f>COUNTIFS('Consolidado Accidentes'!P:P,"STP",'Consolidado Accidentes'!AE:AE,"MICHEL CARVAJAL",'Consolidado Accidentes'!AN:AN,"SI")</f>
        <v>0</v>
      </c>
    </row>
    <row r="86" spans="1:5" x14ac:dyDescent="0.25">
      <c r="A86" s="258"/>
      <c r="B86" s="70" t="s">
        <v>1288</v>
      </c>
      <c r="C86" s="10">
        <f>COUNTIF('Consolidado Accidentes'!AE7:AE417,"ISMAEL SANTIS")</f>
        <v>1</v>
      </c>
      <c r="D86" s="30">
        <f>COUNTIFS('Consolidado Accidentes'!P:P,"CTP",'Consolidado Accidentes'!AE:AE,"ISMAEL SANTIS")</f>
        <v>0</v>
      </c>
      <c r="E86" s="30">
        <f>COUNTIFS('Consolidado Accidentes'!P:P,"STP",'Consolidado Accidentes'!AE:AE,"ISMAEL SANTIS",'Consolidado Accidentes'!AN:AN,"SI")</f>
        <v>0</v>
      </c>
    </row>
    <row r="87" spans="1:5" x14ac:dyDescent="0.25">
      <c r="A87" s="258"/>
      <c r="B87" s="31" t="s">
        <v>1497</v>
      </c>
      <c r="C87" s="10">
        <f>COUNTIF('Consolidado Accidentes'!AE7:AE418,"DANIEL GONZALEZ")</f>
        <v>0</v>
      </c>
      <c r="D87" s="30">
        <f>COUNTIFS('Consolidado Accidentes'!P:P,"CTP",'Consolidado Accidentes'!AE:AE,"DANIEL GONZALEZ")</f>
        <v>0</v>
      </c>
      <c r="E87" s="30">
        <f>COUNTIFS('Consolidado Accidentes'!P:P,"STP",'Consolidado Accidentes'!AE:AE,"DANIEL GONZALEZ",'Consolidado Accidentes'!AN:AN,"SI")</f>
        <v>0</v>
      </c>
    </row>
    <row r="88" spans="1:5" x14ac:dyDescent="0.25">
      <c r="A88" s="258"/>
      <c r="B88" s="31" t="s">
        <v>223</v>
      </c>
      <c r="C88" s="10">
        <f>COUNTIF('Consolidado Accidentes'!AE7:AE421,"NICOLAS ROJAS")</f>
        <v>3</v>
      </c>
      <c r="D88" s="30">
        <f>COUNTIFS('Consolidado Accidentes'!P:P,"CTP",'Consolidado Accidentes'!AE:AE,"NICOLAS ROJAS")</f>
        <v>0</v>
      </c>
      <c r="E88" s="30">
        <f>COUNTIFS('Consolidado Accidentes'!P:P,"STP",'Consolidado Accidentes'!AE:AE,"NICOLAS ROJAS",'Consolidado Accidentes'!AN:AN,"SI")</f>
        <v>0</v>
      </c>
    </row>
    <row r="89" spans="1:5" x14ac:dyDescent="0.25">
      <c r="A89" s="258"/>
      <c r="B89" s="31" t="s">
        <v>314</v>
      </c>
      <c r="C89" s="10">
        <f>COUNTIF('Consolidado Accidentes'!AE7:AE422,"EMANUEL MELLADO")</f>
        <v>4</v>
      </c>
      <c r="D89" s="30">
        <f>COUNTIFS('Consolidado Accidentes'!P:P,"CTP",'Consolidado Accidentes'!AE:AE,"EMANUEL MELLADO")</f>
        <v>1</v>
      </c>
      <c r="E89" s="30">
        <f>COUNTIFS('Consolidado Accidentes'!P:P,"STP",'Consolidado Accidentes'!AE:AE,"EMANUEL MELLADO",'Consolidado Accidentes'!AN:AN,"SI")</f>
        <v>1</v>
      </c>
    </row>
    <row r="90" spans="1:5" x14ac:dyDescent="0.25">
      <c r="A90" s="258"/>
      <c r="B90" s="70" t="s">
        <v>1498</v>
      </c>
      <c r="C90" s="10">
        <f>COUNTIF('Consolidado Accidentes'!AE7:AE423,"DAVID ROJAS")</f>
        <v>0</v>
      </c>
      <c r="D90" s="30">
        <f>COUNTIFS('Consolidado Accidentes'!P:P,"CTP",'Consolidado Accidentes'!AE:AE,"DAVID ROJAS")</f>
        <v>0</v>
      </c>
      <c r="E90" s="30">
        <f>COUNTIFS('Consolidado Accidentes'!P:P,"STP",'Consolidado Accidentes'!AE:AE,"DAVID ROJAS",'Consolidado Accidentes'!AN:AN,"SI")</f>
        <v>0</v>
      </c>
    </row>
    <row r="91" spans="1:5" x14ac:dyDescent="0.25">
      <c r="A91" s="258"/>
      <c r="B91" s="32" t="s">
        <v>714</v>
      </c>
      <c r="C91" s="10">
        <f>COUNTIF('Consolidado Accidentes'!AE7:AE424,"DAVID MADARIAGA")</f>
        <v>2</v>
      </c>
      <c r="D91" s="30">
        <f>COUNTIFS('Consolidado Accidentes'!P:P,"CTP",'Consolidado Accidentes'!AE:AE,"DAVID MADARIAGA")</f>
        <v>1</v>
      </c>
      <c r="E91" s="30">
        <f>COUNTIFS('Consolidado Accidentes'!P:P,"STP",'Consolidado Accidentes'!AE:AE,"DAVID MADARIAGA",'Consolidado Accidentes'!AN:AN,"SI")</f>
        <v>0</v>
      </c>
    </row>
    <row r="92" spans="1:5" x14ac:dyDescent="0.25">
      <c r="A92" s="258"/>
      <c r="B92" s="31" t="s">
        <v>1119</v>
      </c>
      <c r="C92" s="10">
        <f>COUNTIF('Consolidado Accidentes'!AE7:AE425,"JORGE CONTRERAS")</f>
        <v>2</v>
      </c>
      <c r="D92" s="30">
        <f>COUNTIFS('Consolidado Accidentes'!P:P,"CTP",'Consolidado Accidentes'!AE:AE,"JORGE CONTRERAS")</f>
        <v>1</v>
      </c>
      <c r="E92" s="30">
        <f>COUNTIFS('Consolidado Accidentes'!P:P,"STP",'Consolidado Accidentes'!AE:AE,"JORGE CONTRERAS",'Consolidado Accidentes'!AN:AN,"SI")</f>
        <v>0</v>
      </c>
    </row>
    <row r="93" spans="1:5" x14ac:dyDescent="0.25">
      <c r="A93" s="258"/>
      <c r="B93" s="31" t="s">
        <v>169</v>
      </c>
      <c r="C93" s="10">
        <f>COUNTIF('Consolidado Accidentes'!AE8:AE426,"SERGIO LETELIER")</f>
        <v>2</v>
      </c>
      <c r="D93" s="30">
        <f>COUNTIFS('Consolidado Accidentes'!P:P,"CTP",'Consolidado Accidentes'!AE:AE,"SERGIO LETELIER")</f>
        <v>1</v>
      </c>
      <c r="E93" s="30">
        <f>COUNTIFS('Consolidado Accidentes'!P:P,"STP",'Consolidado Accidentes'!AE:AE,"SERGIO LETELIER",'Consolidado Accidentes'!AN:AN,"SI")</f>
        <v>0</v>
      </c>
    </row>
    <row r="94" spans="1:5" x14ac:dyDescent="0.25">
      <c r="A94" s="258"/>
      <c r="B94" s="31" t="s">
        <v>513</v>
      </c>
      <c r="C94" s="10">
        <f>COUNTIF('Consolidado Accidentes'!AE9:AE427,"FRANCISCO ACEVEDO")</f>
        <v>2</v>
      </c>
      <c r="D94" s="30">
        <f>COUNTIFS('Consolidado Accidentes'!P:P,"CTP",'Consolidado Accidentes'!AE:AE,"FRANCISCO ACEVEDO")</f>
        <v>1</v>
      </c>
      <c r="E94" s="30">
        <f>COUNTIFS('Consolidado Accidentes'!P:P,"STP",'Consolidado Accidentes'!AE:AE,"FRANCISCO ACEVEDO",'Consolidado Accidentes'!AN:AN,"SI")</f>
        <v>0</v>
      </c>
    </row>
    <row r="95" spans="1:5" x14ac:dyDescent="0.25">
      <c r="A95" s="258"/>
      <c r="B95" s="70" t="s">
        <v>1499</v>
      </c>
      <c r="C95" s="10">
        <f>COUNTIF('Consolidado Accidentes'!AE7:AE426,"PEDRO HUERTA")</f>
        <v>0</v>
      </c>
      <c r="D95" s="30">
        <f>COUNTIFS('Consolidado Accidentes'!P:P,"CTP",'Consolidado Accidentes'!AE:AE,"PEDRO HUERTA")</f>
        <v>0</v>
      </c>
      <c r="E95" s="30">
        <f>COUNTIFS('Consolidado Accidentes'!P:P,"STP",'Consolidado Accidentes'!AE:AE,"PEDRO HUERTA",'Consolidado Accidentes'!AN:AN,"SI")</f>
        <v>0</v>
      </c>
    </row>
    <row r="96" spans="1:5" x14ac:dyDescent="0.25">
      <c r="B96" s="15"/>
      <c r="C96" s="10">
        <f>SUM(C85:C95)</f>
        <v>16</v>
      </c>
      <c r="D96" s="10">
        <f>SUM(D85:D95)</f>
        <v>5</v>
      </c>
      <c r="E96" s="10">
        <f>SUM(E85:E95)</f>
        <v>1</v>
      </c>
    </row>
    <row r="97" spans="1:5" x14ac:dyDescent="0.25">
      <c r="B97" s="15"/>
    </row>
    <row r="98" spans="1:5" x14ac:dyDescent="0.25">
      <c r="B98" s="15"/>
    </row>
    <row r="99" spans="1:5" x14ac:dyDescent="0.25">
      <c r="B99" s="15"/>
    </row>
    <row r="100" spans="1:5" x14ac:dyDescent="0.25">
      <c r="B100" s="15"/>
    </row>
    <row r="101" spans="1:5" x14ac:dyDescent="0.25">
      <c r="B101" s="15"/>
    </row>
    <row r="102" spans="1:5" x14ac:dyDescent="0.25">
      <c r="B102" s="15"/>
    </row>
    <row r="103" spans="1:5" x14ac:dyDescent="0.25">
      <c r="A103" s="25" t="s">
        <v>19</v>
      </c>
      <c r="B103" s="18" t="s">
        <v>1488</v>
      </c>
      <c r="C103" s="17" t="s">
        <v>1489</v>
      </c>
      <c r="D103" s="17" t="s">
        <v>1490</v>
      </c>
      <c r="E103" s="17" t="s">
        <v>1491</v>
      </c>
    </row>
    <row r="104" spans="1:5" x14ac:dyDescent="0.25">
      <c r="A104" s="259" t="s">
        <v>1312</v>
      </c>
      <c r="B104" s="32" t="s">
        <v>1500</v>
      </c>
      <c r="C104" s="10">
        <f>COUNTIF('Consolidado Accidentes'!AE7:AE430,"SOLEDAD CARRASCO")</f>
        <v>0</v>
      </c>
      <c r="D104" s="30">
        <f>COUNTIFS('Consolidado Accidentes'!P:P,"CTP",'Consolidado Accidentes'!AE:AE,"SOLEDAD CARRASCO")</f>
        <v>0</v>
      </c>
      <c r="E104" s="30">
        <v>0</v>
      </c>
    </row>
    <row r="105" spans="1:5" x14ac:dyDescent="0.25">
      <c r="A105" s="260"/>
      <c r="B105" s="28" t="s">
        <v>1501</v>
      </c>
      <c r="C105" s="10">
        <f>COUNTIF('Consolidado Accidentes'!AE7:AE431,"HECNIMAR URDANETA")</f>
        <v>0</v>
      </c>
      <c r="D105" s="30">
        <f>COUNTIFS('Consolidado Accidentes'!P:P,"CTP",'Consolidado Accidentes'!AE:AE,"HECNIMAR URDANETA")</f>
        <v>0</v>
      </c>
      <c r="E105" s="30">
        <v>0</v>
      </c>
    </row>
    <row r="106" spans="1:5" x14ac:dyDescent="0.25">
      <c r="B106" s="15"/>
      <c r="C106" s="10">
        <f>SUM(C104:C105)</f>
        <v>0</v>
      </c>
      <c r="D106" s="10">
        <f>SUM(D104:D105)</f>
        <v>0</v>
      </c>
      <c r="E106" s="10">
        <f>SUM(E104:E105)</f>
        <v>0</v>
      </c>
    </row>
    <row r="107" spans="1:5" x14ac:dyDescent="0.25">
      <c r="B107" s="15"/>
    </row>
    <row r="108" spans="1:5" x14ac:dyDescent="0.25">
      <c r="B108" s="15"/>
    </row>
    <row r="109" spans="1:5" x14ac:dyDescent="0.25">
      <c r="B109" s="15"/>
    </row>
    <row r="110" spans="1:5" x14ac:dyDescent="0.25">
      <c r="B110" s="15"/>
    </row>
    <row r="111" spans="1:5" x14ac:dyDescent="0.25">
      <c r="B111" s="15"/>
    </row>
    <row r="112" spans="1:5" x14ac:dyDescent="0.25">
      <c r="B112" s="15"/>
    </row>
    <row r="113" spans="1:5" x14ac:dyDescent="0.25">
      <c r="B113" s="15"/>
    </row>
    <row r="114" spans="1:5" x14ac:dyDescent="0.25">
      <c r="B114" s="15"/>
    </row>
    <row r="115" spans="1:5" x14ac:dyDescent="0.25">
      <c r="B115" s="15"/>
    </row>
    <row r="116" spans="1:5" x14ac:dyDescent="0.25">
      <c r="B116" s="15"/>
    </row>
    <row r="117" spans="1:5" x14ac:dyDescent="0.25">
      <c r="B117" s="15"/>
    </row>
    <row r="118" spans="1:5" x14ac:dyDescent="0.25">
      <c r="B118" s="15"/>
    </row>
    <row r="119" spans="1:5" x14ac:dyDescent="0.25">
      <c r="A119" s="17" t="s">
        <v>19</v>
      </c>
      <c r="B119" s="18" t="s">
        <v>1488</v>
      </c>
      <c r="C119" s="17" t="s">
        <v>1489</v>
      </c>
      <c r="D119" s="17" t="s">
        <v>1490</v>
      </c>
      <c r="E119" s="17" t="s">
        <v>1491</v>
      </c>
    </row>
    <row r="120" spans="1:5" ht="15" customHeight="1" x14ac:dyDescent="0.25">
      <c r="A120" s="261" t="s">
        <v>83</v>
      </c>
      <c r="B120" s="71" t="s">
        <v>1502</v>
      </c>
      <c r="C120" s="10">
        <f>COUNTIF('Consolidado Accidentes'!AE7:AE446,"MAXIMO CAMPOS")</f>
        <v>9</v>
      </c>
      <c r="D120" s="30">
        <f>COUNTIFS('Consolidado Accidentes'!P:P,"CTP",'Consolidado Accidentes'!AE:AE,"MAXIMO CAMPOS")</f>
        <v>1</v>
      </c>
      <c r="E120" s="10">
        <f>COUNTIFS('Consolidado Accidentes'!P:P,"STP",'Consolidado Accidentes'!AE:AE,"MAXIMO CAMPOS",'Consolidado Accidentes'!AN:AN,"SI")</f>
        <v>3</v>
      </c>
    </row>
    <row r="121" spans="1:5" x14ac:dyDescent="0.25">
      <c r="A121" s="261"/>
      <c r="B121" s="72" t="s">
        <v>485</v>
      </c>
      <c r="C121" s="10">
        <f>COUNTIF('Consolidado Accidentes'!AE7:AE447,"FERNANDO FUENTEALBA")</f>
        <v>4</v>
      </c>
      <c r="D121" s="30">
        <f>COUNTIFS('Consolidado Accidentes'!P:P,"CTP",'Consolidado Accidentes'!AE:AE,"FERNANDO FUENTEALBA")</f>
        <v>1</v>
      </c>
      <c r="E121" s="10">
        <f>COUNTIFS('Consolidado Accidentes'!P:P,"STP",'Consolidado Accidentes'!AE:AE,"FERNANDO FUENTEALBA",'Consolidado Accidentes'!AN:AN,"SI")</f>
        <v>1</v>
      </c>
    </row>
    <row r="122" spans="1:5" x14ac:dyDescent="0.25">
      <c r="A122" s="261"/>
      <c r="B122" s="71" t="s">
        <v>211</v>
      </c>
      <c r="C122" s="10" t="s">
        <v>211</v>
      </c>
      <c r="D122" s="30" t="s">
        <v>211</v>
      </c>
      <c r="E122" s="10" t="s">
        <v>211</v>
      </c>
    </row>
    <row r="123" spans="1:5" x14ac:dyDescent="0.25">
      <c r="A123" s="261"/>
      <c r="B123" s="71" t="s">
        <v>364</v>
      </c>
      <c r="C123" s="10">
        <f>COUNTIF('Consolidado Accidentes'!AE8:AE449,"FRANCISCO SANCHEZ")</f>
        <v>3</v>
      </c>
      <c r="D123" s="30">
        <f>COUNTIFS('Consolidado Accidentes'!P:P,"CTP",'Consolidado Accidentes'!AE:AE,"FRANCISCO SANCHEZ")</f>
        <v>0</v>
      </c>
      <c r="E123" s="10">
        <f>COUNTIFS('Consolidado Accidentes'!P:P,"STP",'Consolidado Accidentes'!AE:AE,"FRANCISCO SANCHEZ",'Consolidado Accidentes'!AN:AN,"SI")</f>
        <v>0</v>
      </c>
    </row>
    <row r="124" spans="1:5" x14ac:dyDescent="0.25">
      <c r="A124" s="261"/>
      <c r="B124" s="72" t="s">
        <v>91</v>
      </c>
      <c r="C124" s="10">
        <f>COUNTIF('Consolidado Accidentes'!AE7:AE449,"MIGUEL HENRRIQUEZ")</f>
        <v>6</v>
      </c>
      <c r="D124" s="30">
        <f>COUNTIFS('Consolidado Accidentes'!P:P,"CTP",'Consolidado Accidentes'!AE:AE,"MIGUEL HENRRIQUEZ")</f>
        <v>2</v>
      </c>
      <c r="E124" s="10">
        <f>COUNTIFS('Consolidado Accidentes'!P:P,"STP",'Consolidado Accidentes'!AE:AE,"MIGUEL HENRRIQUEZ",'Consolidado Accidentes'!AN:AN,"SI")</f>
        <v>1</v>
      </c>
    </row>
    <row r="125" spans="1:5" x14ac:dyDescent="0.25">
      <c r="B125" s="15"/>
      <c r="C125" s="39">
        <f>SUM(C120:C124)</f>
        <v>22</v>
      </c>
      <c r="D125" s="39">
        <f>SUM(D120:D124)</f>
        <v>4</v>
      </c>
      <c r="E125" s="39">
        <f>SUM(E120:E124)</f>
        <v>5</v>
      </c>
    </row>
    <row r="126" spans="1:5" x14ac:dyDescent="0.25">
      <c r="B126" s="15"/>
    </row>
    <row r="127" spans="1:5" x14ac:dyDescent="0.25">
      <c r="B127" s="15"/>
    </row>
    <row r="128" spans="1:5" x14ac:dyDescent="0.25">
      <c r="B128" s="15"/>
    </row>
    <row r="129" spans="1:5" x14ac:dyDescent="0.25">
      <c r="B129" s="15"/>
      <c r="D129" t="s">
        <v>211</v>
      </c>
    </row>
    <row r="130" spans="1:5" x14ac:dyDescent="0.25">
      <c r="B130" s="15"/>
      <c r="D130" t="s">
        <v>211</v>
      </c>
    </row>
    <row r="131" spans="1:5" x14ac:dyDescent="0.25">
      <c r="B131" s="15"/>
    </row>
    <row r="132" spans="1:5" x14ac:dyDescent="0.25">
      <c r="B132" s="15"/>
    </row>
    <row r="133" spans="1:5" x14ac:dyDescent="0.25">
      <c r="B133" s="15"/>
    </row>
    <row r="134" spans="1:5" x14ac:dyDescent="0.25">
      <c r="B134" s="15"/>
    </row>
    <row r="135" spans="1:5" x14ac:dyDescent="0.25">
      <c r="A135" s="17" t="s">
        <v>19</v>
      </c>
      <c r="B135" s="18" t="s">
        <v>1488</v>
      </c>
      <c r="C135" s="17" t="s">
        <v>1489</v>
      </c>
      <c r="D135" s="17" t="s">
        <v>1490</v>
      </c>
      <c r="E135" s="17" t="s">
        <v>1491</v>
      </c>
    </row>
    <row r="136" spans="1:5" x14ac:dyDescent="0.25">
      <c r="A136" s="1" t="s">
        <v>303</v>
      </c>
      <c r="B136" s="72" t="s">
        <v>306</v>
      </c>
      <c r="C136" s="10">
        <f>COUNTIF('Consolidado Accidentes'!AE19:AE461,"BORIS PONCE")</f>
        <v>2</v>
      </c>
      <c r="D136" s="30">
        <f>COUNTIFS('Consolidado Accidentes'!P:P,"CTP",'Consolidado Accidentes'!AE:AE,"BORIS PONCE")</f>
        <v>1</v>
      </c>
      <c r="E136" s="10">
        <v>0</v>
      </c>
    </row>
    <row r="137" spans="1:5" x14ac:dyDescent="0.25">
      <c r="B137" s="15"/>
    </row>
    <row r="138" spans="1:5" x14ac:dyDescent="0.25">
      <c r="B138" s="15"/>
    </row>
    <row r="139" spans="1:5" x14ac:dyDescent="0.25">
      <c r="B139" s="15"/>
    </row>
    <row r="140" spans="1:5" x14ac:dyDescent="0.25">
      <c r="B140" s="15"/>
    </row>
    <row r="141" spans="1:5" x14ac:dyDescent="0.25">
      <c r="B141" s="15"/>
    </row>
    <row r="142" spans="1:5" x14ac:dyDescent="0.25">
      <c r="B142" s="15"/>
    </row>
    <row r="143" spans="1:5" x14ac:dyDescent="0.25">
      <c r="B143" s="15"/>
    </row>
    <row r="144" spans="1:5" x14ac:dyDescent="0.25">
      <c r="B144" s="15"/>
    </row>
    <row r="145" spans="1:5" x14ac:dyDescent="0.25">
      <c r="B145" s="15"/>
    </row>
    <row r="146" spans="1:5" x14ac:dyDescent="0.25">
      <c r="B146" s="15"/>
    </row>
    <row r="147" spans="1:5" x14ac:dyDescent="0.25">
      <c r="B147" s="15"/>
    </row>
    <row r="148" spans="1:5" x14ac:dyDescent="0.25">
      <c r="B148" s="15"/>
    </row>
    <row r="149" spans="1:5" x14ac:dyDescent="0.25">
      <c r="B149" s="15"/>
    </row>
    <row r="150" spans="1:5" x14ac:dyDescent="0.25">
      <c r="B150" s="15"/>
    </row>
    <row r="151" spans="1:5" x14ac:dyDescent="0.25">
      <c r="B151" s="15"/>
    </row>
    <row r="152" spans="1:5" x14ac:dyDescent="0.25">
      <c r="A152" s="17" t="s">
        <v>19</v>
      </c>
      <c r="B152" s="18" t="s">
        <v>1488</v>
      </c>
      <c r="C152" s="17" t="s">
        <v>1489</v>
      </c>
      <c r="D152" s="17" t="s">
        <v>1490</v>
      </c>
      <c r="E152" s="17" t="s">
        <v>1491</v>
      </c>
    </row>
    <row r="153" spans="1:5" x14ac:dyDescent="0.25">
      <c r="A153" s="1" t="s">
        <v>1503</v>
      </c>
      <c r="B153" s="72" t="s">
        <v>269</v>
      </c>
      <c r="C153" s="10">
        <f>COUNTIF('Consolidado Accidentes'!AE7:AE478,"FRANCISCA YANTEN")</f>
        <v>2</v>
      </c>
      <c r="D153" s="10">
        <v>0</v>
      </c>
      <c r="E153" s="10">
        <v>0</v>
      </c>
    </row>
    <row r="154" spans="1:5" x14ac:dyDescent="0.25">
      <c r="B154" s="72" t="s">
        <v>1504</v>
      </c>
      <c r="C154" s="10">
        <f>COUNTIF('Consolidado Accidentes'!AE7:AE478,"CALIXTO DIAZ")</f>
        <v>0</v>
      </c>
      <c r="D154" s="10">
        <v>0</v>
      </c>
      <c r="E154" s="10">
        <v>0</v>
      </c>
    </row>
    <row r="155" spans="1:5" x14ac:dyDescent="0.25">
      <c r="B155" s="15"/>
      <c r="C155" s="45">
        <f>SUM(C153:C154)</f>
        <v>2</v>
      </c>
      <c r="D155" s="45">
        <f>SUM(D153:D154)</f>
        <v>0</v>
      </c>
      <c r="E155" s="45">
        <f>SUM(E153:E154)</f>
        <v>0</v>
      </c>
    </row>
    <row r="156" spans="1:5" x14ac:dyDescent="0.25">
      <c r="B156" s="15"/>
    </row>
    <row r="157" spans="1:5" x14ac:dyDescent="0.25">
      <c r="B157" s="15"/>
    </row>
    <row r="158" spans="1:5" x14ac:dyDescent="0.25">
      <c r="B158" s="15"/>
    </row>
    <row r="159" spans="1:5" x14ac:dyDescent="0.25">
      <c r="B159" s="15"/>
    </row>
    <row r="160" spans="1:5" x14ac:dyDescent="0.25">
      <c r="B160" s="15"/>
    </row>
    <row r="161" spans="2:2" x14ac:dyDescent="0.25">
      <c r="B161" s="15"/>
    </row>
    <row r="162" spans="2:2" x14ac:dyDescent="0.25">
      <c r="B162" s="15"/>
    </row>
    <row r="163" spans="2:2" x14ac:dyDescent="0.25">
      <c r="B163" s="15"/>
    </row>
    <row r="164" spans="2:2" x14ac:dyDescent="0.25">
      <c r="B164" s="15"/>
    </row>
    <row r="165" spans="2:2" x14ac:dyDescent="0.25">
      <c r="B165" s="15"/>
    </row>
    <row r="166" spans="2:2" x14ac:dyDescent="0.25">
      <c r="B166" s="15"/>
    </row>
    <row r="167" spans="2:2" x14ac:dyDescent="0.25">
      <c r="B167" s="15"/>
    </row>
    <row r="168" spans="2:2" x14ac:dyDescent="0.25">
      <c r="B168" s="15"/>
    </row>
    <row r="169" spans="2:2" x14ac:dyDescent="0.25">
      <c r="B169" s="15"/>
    </row>
    <row r="170" spans="2:2" x14ac:dyDescent="0.25">
      <c r="B170" s="15"/>
    </row>
    <row r="171" spans="2:2" x14ac:dyDescent="0.25">
      <c r="B171" s="15"/>
    </row>
    <row r="172" spans="2:2" x14ac:dyDescent="0.25">
      <c r="B172" s="15"/>
    </row>
    <row r="173" spans="2:2" x14ac:dyDescent="0.25">
      <c r="B173" s="15"/>
    </row>
    <row r="174" spans="2:2" x14ac:dyDescent="0.25">
      <c r="B174" s="15"/>
    </row>
    <row r="175" spans="2:2" x14ac:dyDescent="0.25">
      <c r="B175" s="15"/>
    </row>
    <row r="176" spans="2:2" x14ac:dyDescent="0.25">
      <c r="B176" s="15"/>
    </row>
    <row r="177" spans="2:2" x14ac:dyDescent="0.25">
      <c r="B177" s="15"/>
    </row>
    <row r="178" spans="2:2" x14ac:dyDescent="0.25">
      <c r="B178" s="15"/>
    </row>
    <row r="179" spans="2:2" x14ac:dyDescent="0.25">
      <c r="B179" s="15"/>
    </row>
    <row r="180" spans="2:2" x14ac:dyDescent="0.25">
      <c r="B180" s="15"/>
    </row>
    <row r="181" spans="2:2" x14ac:dyDescent="0.25">
      <c r="B181" s="15"/>
    </row>
    <row r="182" spans="2:2" x14ac:dyDescent="0.25">
      <c r="B182" s="15"/>
    </row>
    <row r="183" spans="2:2" x14ac:dyDescent="0.25">
      <c r="B183" s="15"/>
    </row>
    <row r="184" spans="2:2" x14ac:dyDescent="0.25">
      <c r="B184" s="15"/>
    </row>
    <row r="185" spans="2:2" x14ac:dyDescent="0.25">
      <c r="B185" s="15"/>
    </row>
    <row r="186" spans="2:2" x14ac:dyDescent="0.25">
      <c r="B186" s="15"/>
    </row>
    <row r="187" spans="2:2" x14ac:dyDescent="0.25">
      <c r="B187" s="15"/>
    </row>
    <row r="188" spans="2:2" x14ac:dyDescent="0.25">
      <c r="B188" s="15"/>
    </row>
    <row r="189" spans="2:2" x14ac:dyDescent="0.25">
      <c r="B189" s="15"/>
    </row>
    <row r="190" spans="2:2" x14ac:dyDescent="0.25">
      <c r="B190" s="15"/>
    </row>
    <row r="191" spans="2:2" x14ac:dyDescent="0.25">
      <c r="B191" s="15"/>
    </row>
    <row r="192" spans="2:2" x14ac:dyDescent="0.25">
      <c r="B192" s="15"/>
    </row>
    <row r="193" spans="2:2" x14ac:dyDescent="0.25">
      <c r="B193" s="15"/>
    </row>
    <row r="194" spans="2:2" x14ac:dyDescent="0.25">
      <c r="B194" s="15"/>
    </row>
    <row r="195" spans="2:2" x14ac:dyDescent="0.25">
      <c r="B195" s="15"/>
    </row>
    <row r="196" spans="2:2" x14ac:dyDescent="0.25">
      <c r="B196" s="15"/>
    </row>
    <row r="197" spans="2:2" x14ac:dyDescent="0.25">
      <c r="B197" s="15"/>
    </row>
    <row r="198" spans="2:2" x14ac:dyDescent="0.25">
      <c r="B198" s="15"/>
    </row>
    <row r="199" spans="2:2" x14ac:dyDescent="0.25">
      <c r="B199" s="15"/>
    </row>
    <row r="200" spans="2:2" x14ac:dyDescent="0.25">
      <c r="B200" s="15"/>
    </row>
    <row r="201" spans="2:2" x14ac:dyDescent="0.25">
      <c r="B201" s="15"/>
    </row>
    <row r="202" spans="2:2" x14ac:dyDescent="0.25">
      <c r="B202" s="15"/>
    </row>
    <row r="203" spans="2:2" x14ac:dyDescent="0.25">
      <c r="B203" s="15"/>
    </row>
    <row r="204" spans="2:2" x14ac:dyDescent="0.25">
      <c r="B204" s="15"/>
    </row>
    <row r="205" spans="2:2" x14ac:dyDescent="0.25">
      <c r="B205" s="15"/>
    </row>
    <row r="206" spans="2:2" x14ac:dyDescent="0.25">
      <c r="B206" s="15"/>
    </row>
    <row r="207" spans="2:2" x14ac:dyDescent="0.25">
      <c r="B207" s="15"/>
    </row>
    <row r="208" spans="2:2" x14ac:dyDescent="0.25">
      <c r="B208" s="15"/>
    </row>
    <row r="209" spans="2:2" x14ac:dyDescent="0.25">
      <c r="B209" s="15"/>
    </row>
    <row r="210" spans="2:2" x14ac:dyDescent="0.25">
      <c r="B210" s="15"/>
    </row>
    <row r="211" spans="2:2" x14ac:dyDescent="0.25">
      <c r="B211" s="15"/>
    </row>
    <row r="212" spans="2:2" x14ac:dyDescent="0.25">
      <c r="B212" s="15"/>
    </row>
    <row r="213" spans="2:2" x14ac:dyDescent="0.25">
      <c r="B213" s="15"/>
    </row>
    <row r="214" spans="2:2" x14ac:dyDescent="0.25">
      <c r="B214" s="15"/>
    </row>
    <row r="215" spans="2:2" x14ac:dyDescent="0.25">
      <c r="B215" s="15"/>
    </row>
    <row r="216" spans="2:2" x14ac:dyDescent="0.25">
      <c r="B216" s="15"/>
    </row>
    <row r="217" spans="2:2" x14ac:dyDescent="0.25">
      <c r="B217" s="15"/>
    </row>
    <row r="218" spans="2:2" x14ac:dyDescent="0.25">
      <c r="B218" s="15"/>
    </row>
    <row r="219" spans="2:2" x14ac:dyDescent="0.25">
      <c r="B219" s="15"/>
    </row>
    <row r="220" spans="2:2" x14ac:dyDescent="0.25">
      <c r="B220" s="15"/>
    </row>
    <row r="221" spans="2:2" x14ac:dyDescent="0.25">
      <c r="B221" s="15"/>
    </row>
    <row r="222" spans="2:2" x14ac:dyDescent="0.25">
      <c r="B222" s="15"/>
    </row>
    <row r="223" spans="2:2" x14ac:dyDescent="0.25">
      <c r="B223" s="15"/>
    </row>
    <row r="224" spans="2:2" x14ac:dyDescent="0.25">
      <c r="B224" s="15"/>
    </row>
    <row r="225" spans="2:2" x14ac:dyDescent="0.25">
      <c r="B225" s="15"/>
    </row>
    <row r="226" spans="2:2" x14ac:dyDescent="0.25">
      <c r="B226" s="15"/>
    </row>
    <row r="227" spans="2:2" x14ac:dyDescent="0.25">
      <c r="B227" s="15"/>
    </row>
    <row r="228" spans="2:2" x14ac:dyDescent="0.25">
      <c r="B228" s="15"/>
    </row>
    <row r="229" spans="2:2" x14ac:dyDescent="0.25">
      <c r="B229" s="15"/>
    </row>
    <row r="230" spans="2:2" x14ac:dyDescent="0.25">
      <c r="B230" s="15"/>
    </row>
    <row r="231" spans="2:2" x14ac:dyDescent="0.25">
      <c r="B231" s="15"/>
    </row>
    <row r="232" spans="2:2" x14ac:dyDescent="0.25">
      <c r="B232" s="15"/>
    </row>
    <row r="233" spans="2:2" x14ac:dyDescent="0.25">
      <c r="B233" s="15"/>
    </row>
    <row r="234" spans="2:2" x14ac:dyDescent="0.25">
      <c r="B234" s="15"/>
    </row>
    <row r="235" spans="2:2" x14ac:dyDescent="0.25">
      <c r="B235" s="15"/>
    </row>
    <row r="236" spans="2:2" x14ac:dyDescent="0.25">
      <c r="B236" s="15"/>
    </row>
    <row r="237" spans="2:2" x14ac:dyDescent="0.25">
      <c r="B237" s="15"/>
    </row>
    <row r="238" spans="2:2" x14ac:dyDescent="0.25">
      <c r="B238" s="15"/>
    </row>
    <row r="239" spans="2:2" x14ac:dyDescent="0.25">
      <c r="B239" s="15"/>
    </row>
    <row r="240" spans="2:2" x14ac:dyDescent="0.25">
      <c r="B240" s="15"/>
    </row>
    <row r="241" spans="2:2" x14ac:dyDescent="0.25">
      <c r="B241" s="15"/>
    </row>
    <row r="242" spans="2:2" x14ac:dyDescent="0.25">
      <c r="B242" s="15"/>
    </row>
    <row r="243" spans="2:2" x14ac:dyDescent="0.25">
      <c r="B243" s="15"/>
    </row>
    <row r="244" spans="2:2" x14ac:dyDescent="0.25">
      <c r="B244" s="15"/>
    </row>
    <row r="245" spans="2:2" x14ac:dyDescent="0.25">
      <c r="B245" s="15"/>
    </row>
    <row r="246" spans="2:2" x14ac:dyDescent="0.25">
      <c r="B246" s="15"/>
    </row>
    <row r="247" spans="2:2" x14ac:dyDescent="0.25">
      <c r="B247" s="15"/>
    </row>
    <row r="248" spans="2:2" x14ac:dyDescent="0.25">
      <c r="B248" s="15"/>
    </row>
    <row r="249" spans="2:2" x14ac:dyDescent="0.25">
      <c r="B249" s="15"/>
    </row>
    <row r="250" spans="2:2" x14ac:dyDescent="0.25">
      <c r="B250" s="15"/>
    </row>
    <row r="251" spans="2:2" x14ac:dyDescent="0.25">
      <c r="B251" s="15"/>
    </row>
    <row r="252" spans="2:2" x14ac:dyDescent="0.25">
      <c r="B252" s="15"/>
    </row>
    <row r="253" spans="2:2" x14ac:dyDescent="0.25">
      <c r="B253" s="15"/>
    </row>
    <row r="254" spans="2:2" x14ac:dyDescent="0.25">
      <c r="B254" s="15"/>
    </row>
    <row r="255" spans="2:2" x14ac:dyDescent="0.25">
      <c r="B255" s="15"/>
    </row>
    <row r="256" spans="2:2" x14ac:dyDescent="0.25">
      <c r="B256" s="15"/>
    </row>
    <row r="257" spans="2:2" x14ac:dyDescent="0.25">
      <c r="B257" s="15"/>
    </row>
    <row r="258" spans="2:2" x14ac:dyDescent="0.25">
      <c r="B258" s="15"/>
    </row>
    <row r="259" spans="2:2" x14ac:dyDescent="0.25">
      <c r="B259" s="15"/>
    </row>
    <row r="260" spans="2:2" x14ac:dyDescent="0.25">
      <c r="B260" s="15"/>
    </row>
    <row r="261" spans="2:2" x14ac:dyDescent="0.25">
      <c r="B261" s="15"/>
    </row>
    <row r="262" spans="2:2" x14ac:dyDescent="0.25">
      <c r="B262" s="15"/>
    </row>
    <row r="263" spans="2:2" x14ac:dyDescent="0.25">
      <c r="B263" s="15"/>
    </row>
    <row r="264" spans="2:2" x14ac:dyDescent="0.25">
      <c r="B264" s="15"/>
    </row>
    <row r="265" spans="2:2" x14ac:dyDescent="0.25">
      <c r="B265" s="15"/>
    </row>
    <row r="266" spans="2:2" x14ac:dyDescent="0.25">
      <c r="B266" s="15"/>
    </row>
    <row r="267" spans="2:2" x14ac:dyDescent="0.25">
      <c r="B267" s="15"/>
    </row>
    <row r="268" spans="2:2" x14ac:dyDescent="0.25">
      <c r="B268" s="15"/>
    </row>
    <row r="269" spans="2:2" x14ac:dyDescent="0.25">
      <c r="B269" s="15"/>
    </row>
    <row r="270" spans="2:2" x14ac:dyDescent="0.25">
      <c r="B270" s="15"/>
    </row>
    <row r="271" spans="2:2" x14ac:dyDescent="0.25">
      <c r="B271" s="15"/>
    </row>
    <row r="272" spans="2:2" x14ac:dyDescent="0.25">
      <c r="B272" s="15"/>
    </row>
    <row r="273" spans="2:2" x14ac:dyDescent="0.25">
      <c r="B273" s="15"/>
    </row>
    <row r="274" spans="2:2" x14ac:dyDescent="0.25">
      <c r="B274" s="15"/>
    </row>
    <row r="275" spans="2:2" x14ac:dyDescent="0.25">
      <c r="B275" s="15"/>
    </row>
    <row r="276" spans="2:2" x14ac:dyDescent="0.25">
      <c r="B276" s="15"/>
    </row>
    <row r="277" spans="2:2" x14ac:dyDescent="0.25">
      <c r="B277" s="15"/>
    </row>
    <row r="278" spans="2:2" x14ac:dyDescent="0.25">
      <c r="B278" s="15"/>
    </row>
    <row r="279" spans="2:2" x14ac:dyDescent="0.25">
      <c r="B279" s="15"/>
    </row>
    <row r="280" spans="2:2" x14ac:dyDescent="0.25">
      <c r="B280" s="15"/>
    </row>
    <row r="281" spans="2:2" x14ac:dyDescent="0.25">
      <c r="B281" s="15"/>
    </row>
    <row r="282" spans="2:2" x14ac:dyDescent="0.25">
      <c r="B282" s="15"/>
    </row>
    <row r="283" spans="2:2" x14ac:dyDescent="0.25">
      <c r="B283" s="15"/>
    </row>
    <row r="284" spans="2:2" x14ac:dyDescent="0.25">
      <c r="B284" s="15"/>
    </row>
    <row r="285" spans="2:2" x14ac:dyDescent="0.25">
      <c r="B285" s="15"/>
    </row>
    <row r="286" spans="2:2" x14ac:dyDescent="0.25">
      <c r="B286" s="15"/>
    </row>
    <row r="287" spans="2:2" x14ac:dyDescent="0.25">
      <c r="B287" s="15"/>
    </row>
    <row r="288" spans="2:2" x14ac:dyDescent="0.25">
      <c r="B288" s="15"/>
    </row>
    <row r="289" spans="2:2" x14ac:dyDescent="0.25">
      <c r="B289" s="15"/>
    </row>
    <row r="290" spans="2:2" x14ac:dyDescent="0.25">
      <c r="B290" s="15"/>
    </row>
    <row r="291" spans="2:2" x14ac:dyDescent="0.25">
      <c r="B291" s="15"/>
    </row>
    <row r="292" spans="2:2" x14ac:dyDescent="0.25">
      <c r="B292" s="15"/>
    </row>
    <row r="293" spans="2:2" x14ac:dyDescent="0.25">
      <c r="B293" s="15"/>
    </row>
    <row r="294" spans="2:2" x14ac:dyDescent="0.25">
      <c r="B294" s="15"/>
    </row>
    <row r="295" spans="2:2" x14ac:dyDescent="0.25">
      <c r="B295" s="15"/>
    </row>
    <row r="296" spans="2:2" x14ac:dyDescent="0.25">
      <c r="B296" s="15"/>
    </row>
    <row r="297" spans="2:2" x14ac:dyDescent="0.25">
      <c r="B297" s="15"/>
    </row>
    <row r="298" spans="2:2" x14ac:dyDescent="0.25">
      <c r="B298" s="15"/>
    </row>
    <row r="299" spans="2:2" x14ac:dyDescent="0.25">
      <c r="B299" s="15"/>
    </row>
    <row r="300" spans="2:2" x14ac:dyDescent="0.25">
      <c r="B300" s="15"/>
    </row>
    <row r="301" spans="2:2" x14ac:dyDescent="0.25">
      <c r="B301" s="15"/>
    </row>
    <row r="302" spans="2:2" x14ac:dyDescent="0.25">
      <c r="B302" s="15"/>
    </row>
    <row r="303" spans="2:2" x14ac:dyDescent="0.25">
      <c r="B303" s="15"/>
    </row>
    <row r="304" spans="2:2" x14ac:dyDescent="0.25">
      <c r="B304" s="15"/>
    </row>
    <row r="305" spans="2:2" x14ac:dyDescent="0.25">
      <c r="B305" s="15"/>
    </row>
    <row r="306" spans="2:2" x14ac:dyDescent="0.25">
      <c r="B306" s="15"/>
    </row>
    <row r="307" spans="2:2" x14ac:dyDescent="0.25">
      <c r="B307" s="15"/>
    </row>
    <row r="308" spans="2:2" x14ac:dyDescent="0.25">
      <c r="B308" s="15"/>
    </row>
    <row r="309" spans="2:2" x14ac:dyDescent="0.25">
      <c r="B309" s="15"/>
    </row>
    <row r="310" spans="2:2" x14ac:dyDescent="0.25">
      <c r="B310" s="15"/>
    </row>
    <row r="311" spans="2:2" x14ac:dyDescent="0.25">
      <c r="B311" s="15"/>
    </row>
    <row r="312" spans="2:2" x14ac:dyDescent="0.25">
      <c r="B312" s="15"/>
    </row>
    <row r="313" spans="2:2" x14ac:dyDescent="0.25">
      <c r="B313" s="15"/>
    </row>
    <row r="314" spans="2:2" x14ac:dyDescent="0.25">
      <c r="B314" s="15"/>
    </row>
    <row r="315" spans="2:2" x14ac:dyDescent="0.25">
      <c r="B315" s="15"/>
    </row>
    <row r="316" spans="2:2" x14ac:dyDescent="0.25">
      <c r="B316" s="15"/>
    </row>
    <row r="317" spans="2:2" x14ac:dyDescent="0.25">
      <c r="B317" s="15"/>
    </row>
    <row r="318" spans="2:2" x14ac:dyDescent="0.25">
      <c r="B318" s="15"/>
    </row>
    <row r="319" spans="2:2" x14ac:dyDescent="0.25">
      <c r="B319" s="15"/>
    </row>
    <row r="320" spans="2:2" x14ac:dyDescent="0.25">
      <c r="B320" s="15"/>
    </row>
    <row r="321" spans="2:2" x14ac:dyDescent="0.25">
      <c r="B321" s="15"/>
    </row>
    <row r="322" spans="2:2" x14ac:dyDescent="0.25">
      <c r="B322" s="15"/>
    </row>
    <row r="323" spans="2:2" x14ac:dyDescent="0.25">
      <c r="B323" s="15"/>
    </row>
    <row r="324" spans="2:2" x14ac:dyDescent="0.25">
      <c r="B324" s="15"/>
    </row>
    <row r="325" spans="2:2" x14ac:dyDescent="0.25">
      <c r="B325" s="15"/>
    </row>
    <row r="326" spans="2:2" x14ac:dyDescent="0.25">
      <c r="B326" s="15"/>
    </row>
    <row r="327" spans="2:2" x14ac:dyDescent="0.25">
      <c r="B327" s="15"/>
    </row>
    <row r="328" spans="2:2" x14ac:dyDescent="0.25">
      <c r="B328" s="15"/>
    </row>
    <row r="329" spans="2:2" x14ac:dyDescent="0.25">
      <c r="B329" s="15"/>
    </row>
  </sheetData>
  <mergeCells count="9">
    <mergeCell ref="A85:A95"/>
    <mergeCell ref="A104:A105"/>
    <mergeCell ref="A120:A124"/>
    <mergeCell ref="A3:A8"/>
    <mergeCell ref="A17:A23"/>
    <mergeCell ref="A32:A34"/>
    <mergeCell ref="A44:A47"/>
    <mergeCell ref="A58:A59"/>
    <mergeCell ref="A72:A7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Consolidado Accidentes</vt:lpstr>
      <vt:lpstr>Consolidado Emergencia</vt:lpstr>
      <vt:lpstr>Datos Total</vt:lpstr>
      <vt:lpstr>Gráficos</vt:lpstr>
      <vt:lpstr>Grafica Sup.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cretamal</dc:creator>
  <cp:keywords/>
  <dc:description/>
  <cp:lastModifiedBy>Alan Carrasco</cp:lastModifiedBy>
  <cp:revision/>
  <dcterms:created xsi:type="dcterms:W3CDTF">2016-01-04T16:31:25Z</dcterms:created>
  <dcterms:modified xsi:type="dcterms:W3CDTF">2024-02-27T15:24:37Z</dcterms:modified>
  <cp:category/>
  <cp:contentStatus/>
</cp:coreProperties>
</file>