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style1.xml" ContentType="application/vnd.ms-office.chartstyle+xml"/>
  <Override PartName="/xl/charts/colors1.xml" ContentType="application/vnd.ms-office.chartcolorstyle+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harts/chart9.xml" ContentType="application/vnd.openxmlformats-officedocument.drawingml.chart+xml"/>
  <Override PartName="/xl/charts/style3.xml" ContentType="application/vnd.ms-office.chartstyle+xml"/>
  <Override PartName="/xl/charts/colors3.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drawings/drawing4.xml" ContentType="application/vnd.openxmlformats-officedocument.drawing+xml"/>
  <Override PartName="/xl/charts/chart24.xml" ContentType="application/vnd.openxmlformats-officedocument.drawingml.chart+xml"/>
  <Override PartName="/xl/charts/style5.xml" ContentType="application/vnd.ms-office.chartstyle+xml"/>
  <Override PartName="/xl/charts/colors5.xml" ContentType="application/vnd.ms-office.chartcolorstyle+xml"/>
  <Override PartName="/xl/charts/chart25.xml" ContentType="application/vnd.openxmlformats-officedocument.drawingml.chart+xml"/>
  <Override PartName="/xl/charts/style6.xml" ContentType="application/vnd.ms-office.chartstyle+xml"/>
  <Override PartName="/xl/charts/colors6.xml" ContentType="application/vnd.ms-office.chartcolorstyle+xml"/>
  <Override PartName="/xl/charts/chart26.xml" ContentType="application/vnd.openxmlformats-officedocument.drawingml.chart+xml"/>
  <Override PartName="/xl/charts/style7.xml" ContentType="application/vnd.ms-office.chartstyle+xml"/>
  <Override PartName="/xl/charts/colors7.xml" ContentType="application/vnd.ms-office.chartcolorstyle+xml"/>
  <Override PartName="/xl/charts/chart27.xml" ContentType="application/vnd.openxmlformats-officedocument.drawingml.chart+xml"/>
  <Override PartName="/xl/charts/style8.xml" ContentType="application/vnd.ms-office.chartstyle+xml"/>
  <Override PartName="/xl/charts/colors8.xml" ContentType="application/vnd.ms-office.chartcolorstyle+xml"/>
  <Override PartName="/xl/charts/chart28.xml" ContentType="application/vnd.openxmlformats-officedocument.drawingml.chart+xml"/>
  <Override PartName="/xl/charts/style9.xml" ContentType="application/vnd.ms-office.chartstyle+xml"/>
  <Override PartName="/xl/charts/colors9.xml" ContentType="application/vnd.ms-office.chartcolorstyle+xml"/>
  <Override PartName="/xl/charts/chart29.xml" ContentType="application/vnd.openxmlformats-officedocument.drawingml.chart+xml"/>
  <Override PartName="/xl/charts/style10.xml" ContentType="application/vnd.ms-office.chartstyle+xml"/>
  <Override PartName="/xl/charts/colors10.xml" ContentType="application/vnd.ms-office.chartcolorstyle+xml"/>
  <Override PartName="/xl/charts/chart30.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https://ariztiacl-my.sharepoint.com/personal/cjimenez_ariztia_com/Documents/Informacion_Prevencion/SGSST/Accidentes/2022/"/>
    </mc:Choice>
  </mc:AlternateContent>
  <xr:revisionPtr revIDLastSave="92" documentId="13_ncr:1_{F116B1B4-8D54-4A14-B636-59C89A4F2595}" xr6:coauthVersionLast="47" xr6:coauthVersionMax="47" xr10:uidLastSave="{68B3CCE5-F673-4336-8D6A-ECF40F9C56FE}"/>
  <bookViews>
    <workbookView minimized="1" xWindow="4365" yWindow="2250" windowWidth="9090" windowHeight="10050" tabRatio="603" xr2:uid="{00000000-000D-0000-FFFF-FFFF00000000}"/>
  </bookViews>
  <sheets>
    <sheet name="Consolidado Accidentes" sheetId="1" r:id="rId1"/>
    <sheet name="Consolidado Emergencia" sheetId="3" r:id="rId2"/>
    <sheet name="Datos Total" sheetId="5" r:id="rId3"/>
    <sheet name="Gráficos" sheetId="6" r:id="rId4"/>
    <sheet name="Grafica Sup." sheetId="7" r:id="rId5"/>
    <sheet name="Hoja1" sheetId="8" r:id="rId6"/>
    <sheet name="Hoja2" sheetId="9" r:id="rId7"/>
    <sheet name="Hoja3" sheetId="10" r:id="rId8"/>
    <sheet name="Hoja5" sheetId="12" r:id="rId9"/>
    <sheet name="EST. TPO" sheetId="15" r:id="rId10"/>
  </sheets>
  <externalReferences>
    <externalReference r:id="rId11"/>
    <externalReference r:id="rId12"/>
    <externalReference r:id="rId13"/>
  </externalReferences>
  <definedNames>
    <definedName name="_xlnm._FilterDatabase" localSheetId="0" hidden="1">'Consolidado Accidentes'!$A$6:$AP$357</definedName>
    <definedName name="_xlnm._FilterDatabase" localSheetId="1" hidden="1">'Consolidado Emergencia'!$A$5:$U$5</definedName>
    <definedName name="_xlnm._FilterDatabase" localSheetId="2" hidden="1">'Datos Total'!$B$17:$D$33</definedName>
    <definedName name="_xlcn.WorksheetConnection_ConsolidadoAccidentesA6AP3571" hidden="1">'Consolidado Accidentes'!$A$6:$AP$357</definedName>
    <definedName name="accion_insegura" localSheetId="4">[1]Maestro!$M$4:$M$26</definedName>
    <definedName name="accion_insegura">[1]Maestro!$M$4:$M$26</definedName>
    <definedName name="AgenteACC" localSheetId="4">[1]Maestro!$I$4:$I$28</definedName>
    <definedName name="AgenteACC">[1]Maestro!$I$4:$I$28</definedName>
    <definedName name="Areas" localSheetId="4">[1]Maestro!$B$27:$B$35</definedName>
    <definedName name="Areas">[1]Maestro!$B$27:$B$35</definedName>
    <definedName name="condicion_insegura" localSheetId="4">[1]Maestro!$N$4:$N$29</definedName>
    <definedName name="condicion_insegura">[1]Maestro!$N$4:$N$29</definedName>
    <definedName name="DiaSuceso" localSheetId="4">[1]Maestro!$H$4:$H$10</definedName>
    <definedName name="DiaSuceso">[1]Maestro!$H$4:$H$10</definedName>
    <definedName name="investigacion_de_accidentes" localSheetId="4">[1]Maestro!$O$4:$O$8</definedName>
    <definedName name="investigacion_de_accidentes">[1]Maestro!$O$4:$O$8</definedName>
    <definedName name="meses" localSheetId="4">[1]Maestro!$D$2:$D$13</definedName>
    <definedName name="meses">[1]Maestro!$D$2:$D$13</definedName>
    <definedName name="Parte_afectada" localSheetId="4">[1]Maestro!$J$4:$J$32</definedName>
    <definedName name="Parte_afectada">[1]Maestro!$J$4:$J$32</definedName>
    <definedName name="pedropeña" localSheetId="4">[1]Maestro!$B$2:$B$18</definedName>
    <definedName name="pedropeña">[1]Maestro!$B$2:$B$18</definedName>
    <definedName name="tipo_acc" localSheetId="4">[1]Maestro!$L$4:$L$26</definedName>
    <definedName name="tipo_acc">[1]Maestro!$L$4:$L$26</definedName>
    <definedName name="Tipologia_lesion" localSheetId="4">[1]Maestro!$K$4:$K$21</definedName>
    <definedName name="Tipologia_lesion">[1]Maestro!$K$4:$K$21</definedName>
  </definedNames>
  <calcPr calcId="191028"/>
  <pivotCaches>
    <pivotCache cacheId="24" r:id="rId14"/>
    <pivotCache cacheId="25" r:id="rId15"/>
    <pivotCache cacheId="26" r:id="rId16"/>
    <pivotCache cacheId="27" r:id="rId17"/>
    <pivotCache cacheId="28" r:id="rId18"/>
    <pivotCache cacheId="29" r:id="rId19"/>
    <pivotCache cacheId="30" r:id="rId20"/>
    <pivotCache cacheId="31" r:id="rId21"/>
  </pivotCaches>
  <fileRecoveryPr autoRecover="0"/>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o" name="Rango" connection="WorksheetConnection_Consolidado Accidentes!$A$6:$AP$357"/>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38" i="1" l="1"/>
  <c r="K138" i="1" s="1"/>
  <c r="I193" i="1"/>
  <c r="K193" i="1" s="1"/>
  <c r="I175" i="1"/>
  <c r="K175" i="1" s="1"/>
  <c r="I176" i="1"/>
  <c r="K176" i="1" s="1"/>
  <c r="I177" i="1"/>
  <c r="K177" i="1" s="1"/>
  <c r="I174" i="1"/>
  <c r="K174" i="1" s="1"/>
  <c r="I173" i="1"/>
  <c r="K173" i="1" s="1"/>
  <c r="I171" i="1"/>
  <c r="K171" i="1" s="1"/>
  <c r="I170" i="1"/>
  <c r="K170" i="1" s="1"/>
  <c r="I169" i="1"/>
  <c r="K169" i="1" s="1"/>
  <c r="I168" i="1"/>
  <c r="K168" i="1" s="1"/>
  <c r="I172" i="1"/>
  <c r="K172" i="1" s="1"/>
  <c r="I165" i="1"/>
  <c r="K165" i="1" s="1"/>
  <c r="I161" i="1"/>
  <c r="K161" i="1" s="1"/>
  <c r="I132" i="1"/>
  <c r="K132" i="1" s="1"/>
  <c r="I356" i="1"/>
  <c r="I143" i="1"/>
  <c r="K143" i="1" s="1"/>
  <c r="I139" i="1"/>
  <c r="K139" i="1" s="1"/>
  <c r="I153" i="1"/>
  <c r="K153" i="1" s="1"/>
  <c r="I155" i="1"/>
  <c r="K155" i="1" s="1"/>
  <c r="I156" i="1"/>
  <c r="K156" i="1" s="1"/>
  <c r="I157" i="1"/>
  <c r="K157" i="1" s="1"/>
  <c r="I158" i="1"/>
  <c r="K158" i="1" s="1"/>
  <c r="I159" i="1"/>
  <c r="K159" i="1" s="1"/>
  <c r="I149" i="1"/>
  <c r="K149" i="1" s="1"/>
  <c r="I148" i="1"/>
  <c r="K148" i="1" s="1"/>
  <c r="I145" i="1"/>
  <c r="K145" i="1" s="1"/>
  <c r="I152" i="1"/>
  <c r="K152" i="1" s="1"/>
  <c r="I147" i="1"/>
  <c r="K147" i="1" s="1"/>
  <c r="I146" i="1"/>
  <c r="K146" i="1" s="1"/>
  <c r="I136" i="1"/>
  <c r="K136" i="1" s="1"/>
  <c r="I140" i="1"/>
  <c r="K140" i="1" s="1"/>
  <c r="I137" i="1"/>
  <c r="K137" i="1" s="1"/>
  <c r="I141" i="1"/>
  <c r="K141" i="1" s="1"/>
  <c r="I144" i="1"/>
  <c r="K144" i="1" s="1"/>
  <c r="I142" i="1"/>
  <c r="K142" i="1" s="1"/>
  <c r="I150" i="1"/>
  <c r="K150" i="1" s="1"/>
  <c r="I135" i="1"/>
  <c r="K135" i="1" s="1"/>
  <c r="I133" i="1"/>
  <c r="K133" i="1" s="1"/>
  <c r="I130" i="1"/>
  <c r="K130" i="1" s="1"/>
  <c r="I131" i="1"/>
  <c r="K131" i="1" s="1"/>
  <c r="I128" i="1"/>
  <c r="K128" i="1" s="1"/>
  <c r="I129" i="1"/>
  <c r="K129" i="1" s="1"/>
  <c r="I127" i="1"/>
  <c r="K127" i="1" s="1"/>
  <c r="I352" i="1"/>
  <c r="I123" i="1"/>
  <c r="I353" i="1"/>
  <c r="I126" i="1"/>
  <c r="K126" i="1" s="1"/>
  <c r="I125" i="1"/>
  <c r="K125" i="1" s="1"/>
  <c r="I124" i="1"/>
  <c r="K124" i="1" s="1"/>
  <c r="I122" i="1"/>
  <c r="K122" i="1" s="1"/>
  <c r="J357" i="1"/>
  <c r="I357" i="1"/>
  <c r="G357" i="1"/>
  <c r="I119" i="1"/>
  <c r="K119" i="1" s="1"/>
  <c r="I121" i="1"/>
  <c r="K121" i="1" s="1"/>
  <c r="I120" i="1"/>
  <c r="K120" i="1" s="1"/>
  <c r="I118" i="1"/>
  <c r="K118" i="1" s="1"/>
  <c r="I117" i="1"/>
  <c r="K117" i="1" s="1"/>
  <c r="I116" i="1"/>
  <c r="K116" i="1" s="1"/>
  <c r="I115" i="1"/>
  <c r="K115" i="1" s="1"/>
  <c r="I114" i="1"/>
  <c r="K114" i="1" s="1"/>
  <c r="I113" i="1"/>
  <c r="K113" i="1" s="1"/>
  <c r="I112" i="1"/>
  <c r="K112" i="1" s="1"/>
  <c r="I111" i="1"/>
  <c r="K111" i="1" s="1"/>
  <c r="I110" i="1"/>
  <c r="K110" i="1" s="1"/>
  <c r="I109" i="1"/>
  <c r="K109" i="1" s="1"/>
  <c r="I108" i="1"/>
  <c r="K108" i="1" s="1"/>
  <c r="I107" i="1"/>
  <c r="K107" i="1" s="1"/>
  <c r="I106" i="1"/>
  <c r="K106" i="1" s="1"/>
  <c r="I105" i="1"/>
  <c r="K105" i="1" s="1"/>
  <c r="I104" i="1"/>
  <c r="K104" i="1" s="1"/>
  <c r="I102" i="1"/>
  <c r="K102" i="1" s="1"/>
  <c r="I103" i="1"/>
  <c r="K103" i="1" s="1"/>
  <c r="I101" i="1"/>
  <c r="K101" i="1" s="1"/>
  <c r="I100" i="1"/>
  <c r="K100" i="1" s="1"/>
  <c r="I99" i="1"/>
  <c r="K99" i="1" s="1"/>
  <c r="I98" i="1"/>
  <c r="K98" i="1" s="1"/>
  <c r="I97" i="1"/>
  <c r="K97" i="1" s="1"/>
  <c r="I96" i="1"/>
  <c r="K96" i="1" s="1"/>
  <c r="I94" i="1"/>
  <c r="K94" i="1" s="1"/>
  <c r="I95" i="1"/>
  <c r="K95" i="1" s="1"/>
  <c r="I92" i="1"/>
  <c r="K92" i="1" s="1"/>
  <c r="I93" i="1"/>
  <c r="K93" i="1" s="1"/>
  <c r="I91" i="1"/>
  <c r="K91" i="1" s="1"/>
  <c r="I90" i="1"/>
  <c r="K90" i="1" s="1"/>
  <c r="I88" i="1"/>
  <c r="K88" i="1" s="1"/>
  <c r="I89" i="1"/>
  <c r="K89" i="1" s="1"/>
  <c r="I87" i="1"/>
  <c r="K87" i="1" s="1"/>
  <c r="I86" i="1"/>
  <c r="K86" i="1" s="1"/>
  <c r="I85" i="1"/>
  <c r="K85" i="1" s="1"/>
  <c r="I84" i="1"/>
  <c r="K84" i="1" s="1"/>
  <c r="I7" i="1"/>
  <c r="K7" i="1" s="1"/>
  <c r="I83" i="1"/>
  <c r="K83" i="1" s="1"/>
  <c r="I82" i="1"/>
  <c r="K82" i="1" s="1"/>
  <c r="I81" i="1"/>
  <c r="K81" i="1" s="1"/>
  <c r="I80" i="1"/>
  <c r="K80" i="1" s="1"/>
  <c r="I79" i="1"/>
  <c r="K79" i="1" s="1"/>
  <c r="I77" i="1"/>
  <c r="K77" i="1" s="1"/>
  <c r="I78" i="1"/>
  <c r="K78" i="1" s="1"/>
  <c r="I75" i="1"/>
  <c r="K75" i="1" s="1"/>
  <c r="I76" i="1"/>
  <c r="K76" i="1" s="1"/>
  <c r="I74" i="1"/>
  <c r="K74" i="1" s="1"/>
  <c r="I73" i="1"/>
  <c r="K73" i="1" s="1"/>
  <c r="I72" i="1"/>
  <c r="K72" i="1" s="1"/>
  <c r="I71" i="1"/>
  <c r="K71" i="1" s="1"/>
  <c r="I70" i="1"/>
  <c r="K70" i="1" s="1"/>
  <c r="I69" i="1"/>
  <c r="K69" i="1" s="1"/>
  <c r="I68" i="1"/>
  <c r="K68" i="1" s="1"/>
  <c r="I66" i="1"/>
  <c r="K66" i="1" s="1"/>
  <c r="I67" i="1"/>
  <c r="K67" i="1" s="1"/>
  <c r="I64" i="1"/>
  <c r="K64" i="1" s="1"/>
  <c r="I65" i="1"/>
  <c r="K65" i="1" s="1"/>
  <c r="I63" i="1"/>
  <c r="K63" i="1" s="1"/>
  <c r="I62" i="1"/>
  <c r="K62" i="1" s="1"/>
  <c r="I60" i="1"/>
  <c r="K60" i="1" s="1"/>
  <c r="I61" i="1"/>
  <c r="K61" i="1" s="1"/>
  <c r="I59" i="1"/>
  <c r="K59" i="1" s="1"/>
  <c r="I58" i="1"/>
  <c r="K58" i="1" s="1"/>
  <c r="I57" i="1"/>
  <c r="K57" i="1" s="1"/>
  <c r="I56" i="1"/>
  <c r="K56" i="1" s="1"/>
  <c r="I55" i="1"/>
  <c r="K55" i="1" s="1"/>
  <c r="I54" i="1"/>
  <c r="K54" i="1" s="1"/>
  <c r="I53" i="1"/>
  <c r="K53" i="1" s="1"/>
  <c r="I51" i="1"/>
  <c r="K51" i="1" s="1"/>
  <c r="I52" i="1"/>
  <c r="K52" i="1" s="1"/>
  <c r="I50" i="1"/>
  <c r="K50" i="1" s="1"/>
  <c r="I49" i="1"/>
  <c r="K49" i="1" s="1"/>
  <c r="I48" i="1"/>
  <c r="K48" i="1" s="1"/>
  <c r="I47" i="1"/>
  <c r="K47" i="1" s="1"/>
  <c r="I46" i="1"/>
  <c r="K46" i="1" s="1"/>
  <c r="I45" i="1"/>
  <c r="K45" i="1" s="1"/>
  <c r="I44" i="1"/>
  <c r="K44" i="1" s="1"/>
  <c r="I43" i="1"/>
  <c r="K43" i="1" s="1"/>
  <c r="I42" i="1"/>
  <c r="K42" i="1" s="1"/>
  <c r="I41" i="1"/>
  <c r="K41" i="1" s="1"/>
  <c r="I40" i="1"/>
  <c r="K40" i="1" s="1"/>
  <c r="I39" i="1"/>
  <c r="K39" i="1" s="1"/>
  <c r="I37" i="1"/>
  <c r="K37" i="1" s="1"/>
  <c r="I38" i="1"/>
  <c r="K38" i="1" s="1"/>
  <c r="I35" i="1"/>
  <c r="K35" i="1" s="1"/>
  <c r="I36" i="1"/>
  <c r="K36" i="1" s="1"/>
  <c r="I34" i="1"/>
  <c r="K34" i="1" s="1"/>
  <c r="I33" i="1"/>
  <c r="K33" i="1" s="1"/>
  <c r="I32" i="1"/>
  <c r="K32" i="1" s="1"/>
  <c r="I31" i="1"/>
  <c r="K31" i="1" s="1"/>
  <c r="I30" i="1"/>
  <c r="K30" i="1" s="1"/>
  <c r="I29" i="1"/>
  <c r="K29" i="1" s="1"/>
  <c r="I28" i="1"/>
  <c r="K28" i="1" s="1"/>
  <c r="I27" i="1"/>
  <c r="K27" i="1" s="1"/>
  <c r="I26" i="1"/>
  <c r="K26" i="1" s="1"/>
  <c r="I25" i="1"/>
  <c r="K25" i="1" s="1"/>
  <c r="I24" i="1"/>
  <c r="K24" i="1" s="1"/>
  <c r="I23" i="1"/>
  <c r="K23" i="1" s="1"/>
  <c r="I21" i="1"/>
  <c r="K21" i="1" s="1"/>
  <c r="I22" i="1"/>
  <c r="K22" i="1" s="1"/>
  <c r="I20" i="1"/>
  <c r="K20" i="1" s="1"/>
  <c r="I19" i="1"/>
  <c r="K19" i="1" s="1"/>
  <c r="I18" i="1"/>
  <c r="K18" i="1" s="1"/>
  <c r="I16" i="1"/>
  <c r="K16" i="1" s="1"/>
  <c r="I17" i="1"/>
  <c r="K17" i="1" s="1"/>
  <c r="I15" i="1"/>
  <c r="K15" i="1" s="1"/>
  <c r="I151" i="1"/>
  <c r="K151" i="1" s="1"/>
  <c r="I14" i="1"/>
  <c r="K14" i="1" s="1"/>
  <c r="I13" i="1"/>
  <c r="K13" i="1" s="1"/>
  <c r="I11" i="1"/>
  <c r="K11" i="1" s="1"/>
  <c r="I12" i="1"/>
  <c r="K12" i="1" s="1"/>
  <c r="I9" i="1"/>
  <c r="K9" i="1" s="1"/>
  <c r="I10" i="1"/>
  <c r="K10" i="1" s="1"/>
  <c r="I8" i="1"/>
  <c r="K8" i="1" s="1"/>
  <c r="D8" i="7"/>
  <c r="H15" i="5"/>
  <c r="M26" i="5"/>
  <c r="M25" i="5"/>
  <c r="M24" i="5"/>
  <c r="M23" i="5"/>
  <c r="M21" i="5"/>
  <c r="M20" i="5"/>
  <c r="C40" i="5"/>
  <c r="E138" i="7"/>
  <c r="D138" i="7"/>
  <c r="C10" i="5" s="1"/>
  <c r="C138" i="7"/>
  <c r="H7" i="5"/>
  <c r="E37" i="7"/>
  <c r="E36" i="7"/>
  <c r="D37" i="7"/>
  <c r="D36" i="7"/>
  <c r="C37" i="7"/>
  <c r="C36" i="7"/>
  <c r="D61" i="7"/>
  <c r="E61" i="7"/>
  <c r="C19" i="5"/>
  <c r="S19" i="5"/>
  <c r="E34" i="7"/>
  <c r="E24" i="7"/>
  <c r="D24" i="7"/>
  <c r="C24" i="7"/>
  <c r="I160" i="1"/>
  <c r="K160" i="1" s="1"/>
  <c r="I162" i="1"/>
  <c r="K162" i="1" s="1"/>
  <c r="I163" i="1"/>
  <c r="K163" i="1" s="1"/>
  <c r="I164" i="1"/>
  <c r="K164" i="1" s="1"/>
  <c r="I166" i="1"/>
  <c r="K166" i="1" s="1"/>
  <c r="I167" i="1"/>
  <c r="K167" i="1" s="1"/>
  <c r="I179" i="1"/>
  <c r="K179" i="1" s="1"/>
  <c r="I178" i="1"/>
  <c r="K178" i="1" s="1"/>
  <c r="I180" i="1"/>
  <c r="K180" i="1" s="1"/>
  <c r="I181" i="1"/>
  <c r="K181" i="1" s="1"/>
  <c r="I183" i="1"/>
  <c r="K183" i="1" s="1"/>
  <c r="I182" i="1"/>
  <c r="K182" i="1" s="1"/>
  <c r="I184" i="1"/>
  <c r="K184" i="1" s="1"/>
  <c r="I185" i="1"/>
  <c r="K185" i="1" s="1"/>
  <c r="I187" i="1"/>
  <c r="K187" i="1" s="1"/>
  <c r="I186" i="1"/>
  <c r="K186" i="1" s="1"/>
  <c r="I188" i="1"/>
  <c r="K188" i="1" s="1"/>
  <c r="I190" i="1"/>
  <c r="K190" i="1" s="1"/>
  <c r="I189" i="1"/>
  <c r="K189" i="1" s="1"/>
  <c r="I191" i="1"/>
  <c r="K191" i="1" s="1"/>
  <c r="I192" i="1"/>
  <c r="K192" i="1" s="1"/>
  <c r="I194" i="1"/>
  <c r="K194" i="1" s="1"/>
  <c r="I195" i="1"/>
  <c r="K195" i="1" s="1"/>
  <c r="I196" i="1"/>
  <c r="K196" i="1" s="1"/>
  <c r="I197" i="1"/>
  <c r="K197" i="1" s="1"/>
  <c r="I198" i="1"/>
  <c r="K198" i="1" s="1"/>
  <c r="I199" i="1"/>
  <c r="K199" i="1" s="1"/>
  <c r="I200" i="1"/>
  <c r="K200" i="1" s="1"/>
  <c r="I201" i="1"/>
  <c r="K201" i="1" s="1"/>
  <c r="I202" i="1"/>
  <c r="K202" i="1" s="1"/>
  <c r="I203" i="1"/>
  <c r="K203" i="1" s="1"/>
  <c r="I204" i="1"/>
  <c r="K204" i="1" s="1"/>
  <c r="I205" i="1"/>
  <c r="K205" i="1" s="1"/>
  <c r="I206" i="1"/>
  <c r="K206" i="1" s="1"/>
  <c r="I207" i="1"/>
  <c r="K207" i="1" s="1"/>
  <c r="I208" i="1"/>
  <c r="K208" i="1" s="1"/>
  <c r="I209" i="1"/>
  <c r="K209" i="1" s="1"/>
  <c r="I210" i="1"/>
  <c r="K210" i="1" s="1"/>
  <c r="I211" i="1"/>
  <c r="K211" i="1" s="1"/>
  <c r="I212" i="1"/>
  <c r="K212" i="1" s="1"/>
  <c r="I213" i="1"/>
  <c r="K213" i="1" s="1"/>
  <c r="I214" i="1"/>
  <c r="K214" i="1" s="1"/>
  <c r="I215" i="1"/>
  <c r="K215" i="1" s="1"/>
  <c r="I216" i="1"/>
  <c r="K216" i="1" s="1"/>
  <c r="I217" i="1"/>
  <c r="K217" i="1" s="1"/>
  <c r="I218" i="1"/>
  <c r="K218" i="1" s="1"/>
  <c r="I219" i="1"/>
  <c r="K219" i="1" s="1"/>
  <c r="I220" i="1"/>
  <c r="K220" i="1" s="1"/>
  <c r="I221" i="1"/>
  <c r="K221" i="1" s="1"/>
  <c r="I222" i="1"/>
  <c r="K222" i="1" s="1"/>
  <c r="I223" i="1"/>
  <c r="K223" i="1" s="1"/>
  <c r="I224" i="1"/>
  <c r="K224" i="1" s="1"/>
  <c r="I225" i="1"/>
  <c r="K225" i="1" s="1"/>
  <c r="I226" i="1"/>
  <c r="K226" i="1" s="1"/>
  <c r="I227" i="1"/>
  <c r="K227" i="1" s="1"/>
  <c r="I228" i="1"/>
  <c r="K228" i="1" s="1"/>
  <c r="I229" i="1"/>
  <c r="K229" i="1" s="1"/>
  <c r="I230" i="1"/>
  <c r="K230" i="1" s="1"/>
  <c r="I231" i="1"/>
  <c r="K231" i="1" s="1"/>
  <c r="I232" i="1"/>
  <c r="K232" i="1" s="1"/>
  <c r="I233" i="1"/>
  <c r="K233" i="1" s="1"/>
  <c r="I234" i="1"/>
  <c r="K234" i="1" s="1"/>
  <c r="I235" i="1"/>
  <c r="K235" i="1" s="1"/>
  <c r="I236" i="1"/>
  <c r="K236" i="1" s="1"/>
  <c r="I237" i="1"/>
  <c r="K237" i="1" s="1"/>
  <c r="I238" i="1"/>
  <c r="K238" i="1" s="1"/>
  <c r="I239" i="1"/>
  <c r="K239" i="1" s="1"/>
  <c r="I240" i="1"/>
  <c r="K240" i="1" s="1"/>
  <c r="I241" i="1"/>
  <c r="K241" i="1" s="1"/>
  <c r="I242" i="1"/>
  <c r="K242" i="1" s="1"/>
  <c r="I243" i="1"/>
  <c r="K243" i="1" s="1"/>
  <c r="I244" i="1"/>
  <c r="K244" i="1" s="1"/>
  <c r="I245" i="1"/>
  <c r="K245" i="1" s="1"/>
  <c r="I246" i="1"/>
  <c r="K246" i="1" s="1"/>
  <c r="I247" i="1"/>
  <c r="K247" i="1" s="1"/>
  <c r="I248" i="1"/>
  <c r="K248" i="1" s="1"/>
  <c r="I249" i="1"/>
  <c r="K249" i="1" s="1"/>
  <c r="I250" i="1"/>
  <c r="K250" i="1" s="1"/>
  <c r="I251" i="1"/>
  <c r="K251" i="1" s="1"/>
  <c r="I252" i="1"/>
  <c r="K252" i="1" s="1"/>
  <c r="I253" i="1"/>
  <c r="K253" i="1" s="1"/>
  <c r="I254" i="1"/>
  <c r="K254" i="1" s="1"/>
  <c r="I255" i="1"/>
  <c r="K255" i="1" s="1"/>
  <c r="I256" i="1"/>
  <c r="K256" i="1" s="1"/>
  <c r="I257" i="1"/>
  <c r="K257" i="1" s="1"/>
  <c r="I258" i="1"/>
  <c r="K258" i="1" s="1"/>
  <c r="I259" i="1"/>
  <c r="K259" i="1" s="1"/>
  <c r="I260" i="1"/>
  <c r="K260" i="1" s="1"/>
  <c r="I261" i="1"/>
  <c r="K261" i="1" s="1"/>
  <c r="I262" i="1"/>
  <c r="K262" i="1" s="1"/>
  <c r="I263" i="1"/>
  <c r="K263" i="1" s="1"/>
  <c r="I264" i="1"/>
  <c r="K264" i="1" s="1"/>
  <c r="I265" i="1"/>
  <c r="K265" i="1" s="1"/>
  <c r="I266" i="1"/>
  <c r="K266" i="1" s="1"/>
  <c r="I267" i="1"/>
  <c r="K267" i="1" s="1"/>
  <c r="I268" i="1"/>
  <c r="K268" i="1" s="1"/>
  <c r="I269" i="1"/>
  <c r="K269" i="1" s="1"/>
  <c r="I270" i="1"/>
  <c r="K270" i="1" s="1"/>
  <c r="I271" i="1"/>
  <c r="K271" i="1" s="1"/>
  <c r="I272" i="1"/>
  <c r="K272" i="1" s="1"/>
  <c r="I273" i="1"/>
  <c r="K273" i="1" s="1"/>
  <c r="I274" i="1"/>
  <c r="K274" i="1" s="1"/>
  <c r="I275" i="1"/>
  <c r="K275" i="1" s="1"/>
  <c r="I276" i="1"/>
  <c r="K276" i="1" s="1"/>
  <c r="I277" i="1"/>
  <c r="K277" i="1" s="1"/>
  <c r="I278" i="1"/>
  <c r="K278" i="1" s="1"/>
  <c r="I279" i="1"/>
  <c r="K279" i="1" s="1"/>
  <c r="I280" i="1"/>
  <c r="K280" i="1" s="1"/>
  <c r="I281" i="1"/>
  <c r="K281" i="1" s="1"/>
  <c r="I282" i="1"/>
  <c r="K282" i="1" s="1"/>
  <c r="I283" i="1"/>
  <c r="K283" i="1" s="1"/>
  <c r="I284" i="1"/>
  <c r="K284" i="1" s="1"/>
  <c r="I285" i="1"/>
  <c r="K285" i="1" s="1"/>
  <c r="I286" i="1"/>
  <c r="K286" i="1" s="1"/>
  <c r="I287" i="1"/>
  <c r="K287" i="1" s="1"/>
  <c r="I288" i="1"/>
  <c r="K288" i="1" s="1"/>
  <c r="I289" i="1"/>
  <c r="K289" i="1" s="1"/>
  <c r="I290" i="1"/>
  <c r="K290" i="1" s="1"/>
  <c r="I291" i="1"/>
  <c r="K291" i="1" s="1"/>
  <c r="I292" i="1"/>
  <c r="K292" i="1" s="1"/>
  <c r="I293" i="1"/>
  <c r="K293" i="1" s="1"/>
  <c r="I294" i="1"/>
  <c r="K294" i="1" s="1"/>
  <c r="I295" i="1"/>
  <c r="K295" i="1" s="1"/>
  <c r="I296" i="1"/>
  <c r="K296" i="1" s="1"/>
  <c r="I297" i="1"/>
  <c r="K297" i="1" s="1"/>
  <c r="I298" i="1"/>
  <c r="K298" i="1" s="1"/>
  <c r="I299" i="1"/>
  <c r="K299" i="1" s="1"/>
  <c r="I300" i="1"/>
  <c r="K300" i="1" s="1"/>
  <c r="I301" i="1"/>
  <c r="K301" i="1" s="1"/>
  <c r="I302" i="1"/>
  <c r="K302" i="1" s="1"/>
  <c r="I303" i="1"/>
  <c r="K303" i="1" s="1"/>
  <c r="I304" i="1"/>
  <c r="K304" i="1" s="1"/>
  <c r="I305" i="1"/>
  <c r="K305" i="1" s="1"/>
  <c r="I306" i="1"/>
  <c r="K306" i="1" s="1"/>
  <c r="I307" i="1"/>
  <c r="K307" i="1" s="1"/>
  <c r="I308" i="1"/>
  <c r="K308" i="1" s="1"/>
  <c r="I309" i="1"/>
  <c r="K309" i="1" s="1"/>
  <c r="I310" i="1"/>
  <c r="K310" i="1" s="1"/>
  <c r="I311" i="1"/>
  <c r="K311" i="1" s="1"/>
  <c r="I312" i="1"/>
  <c r="K312" i="1" s="1"/>
  <c r="I313" i="1"/>
  <c r="K313" i="1" s="1"/>
  <c r="I314" i="1"/>
  <c r="K314" i="1" s="1"/>
  <c r="I315" i="1"/>
  <c r="K315" i="1" s="1"/>
  <c r="I316" i="1"/>
  <c r="K316" i="1" s="1"/>
  <c r="I317" i="1"/>
  <c r="K317" i="1" s="1"/>
  <c r="I318" i="1"/>
  <c r="K318" i="1" s="1"/>
  <c r="I319" i="1"/>
  <c r="K319" i="1" s="1"/>
  <c r="I320" i="1"/>
  <c r="K320" i="1" s="1"/>
  <c r="I321" i="1"/>
  <c r="K321" i="1" s="1"/>
  <c r="I322" i="1"/>
  <c r="K322" i="1" s="1"/>
  <c r="I323" i="1"/>
  <c r="K323" i="1" s="1"/>
  <c r="I324" i="1"/>
  <c r="K324" i="1" s="1"/>
  <c r="I325" i="1"/>
  <c r="K325" i="1" s="1"/>
  <c r="I326" i="1"/>
  <c r="K326" i="1" s="1"/>
  <c r="I327" i="1"/>
  <c r="K327" i="1" s="1"/>
  <c r="I328" i="1"/>
  <c r="K328" i="1" s="1"/>
  <c r="I329" i="1"/>
  <c r="K329" i="1" s="1"/>
  <c r="I330" i="1"/>
  <c r="K330" i="1" s="1"/>
  <c r="I331" i="1"/>
  <c r="K331" i="1" s="1"/>
  <c r="I332" i="1"/>
  <c r="K332" i="1" s="1"/>
  <c r="I333" i="1"/>
  <c r="K333" i="1" s="1"/>
  <c r="I334" i="1"/>
  <c r="K334" i="1" s="1"/>
  <c r="I335" i="1"/>
  <c r="K335" i="1" s="1"/>
  <c r="I336" i="1"/>
  <c r="K336" i="1" s="1"/>
  <c r="I337" i="1"/>
  <c r="K337" i="1" s="1"/>
  <c r="I338" i="1"/>
  <c r="K338" i="1" s="1"/>
  <c r="I339" i="1"/>
  <c r="K339" i="1" s="1"/>
  <c r="I340" i="1"/>
  <c r="K340" i="1" s="1"/>
  <c r="I341" i="1"/>
  <c r="K341" i="1" s="1"/>
  <c r="I342" i="1"/>
  <c r="K342" i="1" s="1"/>
  <c r="I343" i="1"/>
  <c r="K343" i="1" s="1"/>
  <c r="I344" i="1"/>
  <c r="K344" i="1" s="1"/>
  <c r="I345" i="1"/>
  <c r="K345" i="1" s="1"/>
  <c r="I346" i="1"/>
  <c r="K346" i="1" s="1"/>
  <c r="I347" i="1"/>
  <c r="K347" i="1" s="1"/>
  <c r="I348" i="1"/>
  <c r="K348" i="1" s="1"/>
  <c r="I349" i="1"/>
  <c r="K349" i="1" s="1"/>
  <c r="E126" i="7"/>
  <c r="E125" i="7"/>
  <c r="E123" i="7"/>
  <c r="E122" i="7"/>
  <c r="C33" i="7"/>
  <c r="E33" i="7"/>
  <c r="D33" i="7"/>
  <c r="C32" i="5"/>
  <c r="E22" i="7"/>
  <c r="D22" i="7"/>
  <c r="C22" i="7"/>
  <c r="E46" i="7"/>
  <c r="E97" i="7"/>
  <c r="E20" i="7"/>
  <c r="D7" i="7"/>
  <c r="M61" i="5"/>
  <c r="M62" i="5"/>
  <c r="M63" i="5"/>
  <c r="E5" i="7"/>
  <c r="D5" i="7"/>
  <c r="C5" i="7"/>
  <c r="E21" i="7"/>
  <c r="D21" i="7"/>
  <c r="C21" i="7"/>
  <c r="H22" i="5"/>
  <c r="M60" i="5"/>
  <c r="M59" i="5"/>
  <c r="C155" i="7"/>
  <c r="C30" i="5"/>
  <c r="E94" i="7"/>
  <c r="D94" i="7"/>
  <c r="E95" i="7"/>
  <c r="D95" i="7"/>
  <c r="H40" i="5"/>
  <c r="M58" i="5"/>
  <c r="H4" i="5"/>
  <c r="H6" i="5"/>
  <c r="H8" i="5"/>
  <c r="H9" i="5"/>
  <c r="H14" i="5"/>
  <c r="H5" i="5"/>
  <c r="H13" i="5"/>
  <c r="H12" i="5"/>
  <c r="H11" i="5"/>
  <c r="H10" i="5"/>
  <c r="H16" i="5"/>
  <c r="M9" i="5"/>
  <c r="M4" i="5"/>
  <c r="M19" i="5"/>
  <c r="M15" i="5"/>
  <c r="M12" i="5"/>
  <c r="M14" i="5"/>
  <c r="M13" i="5"/>
  <c r="M8" i="5"/>
  <c r="M10" i="5"/>
  <c r="M6" i="5"/>
  <c r="M11" i="5"/>
  <c r="M5" i="5"/>
  <c r="M7" i="5"/>
  <c r="E93" i="7"/>
  <c r="D93" i="7"/>
  <c r="E92" i="7"/>
  <c r="D92" i="7"/>
  <c r="E88" i="7"/>
  <c r="D88" i="7"/>
  <c r="E89" i="7"/>
  <c r="D89" i="7"/>
  <c r="E90" i="7"/>
  <c r="E91" i="7"/>
  <c r="D96" i="7"/>
  <c r="C96" i="7"/>
  <c r="E96" i="7"/>
  <c r="E87" i="7"/>
  <c r="M57" i="5"/>
  <c r="M52" i="5"/>
  <c r="M53" i="5"/>
  <c r="M54" i="5"/>
  <c r="M55" i="5"/>
  <c r="M56" i="5"/>
  <c r="E76" i="7"/>
  <c r="D76" i="7"/>
  <c r="E75" i="7"/>
  <c r="D75" i="7"/>
  <c r="E74" i="7"/>
  <c r="D74" i="7"/>
  <c r="E60" i="7"/>
  <c r="E62" i="7" s="1"/>
  <c r="D60" i="7"/>
  <c r="D62" i="7" s="1"/>
  <c r="C12" i="5" s="1"/>
  <c r="E49" i="7"/>
  <c r="D49" i="7"/>
  <c r="E48" i="7"/>
  <c r="D48" i="7"/>
  <c r="E47" i="7"/>
  <c r="D47" i="7"/>
  <c r="D46" i="7"/>
  <c r="E35" i="7"/>
  <c r="E38" i="7" s="1"/>
  <c r="D35" i="7"/>
  <c r="E23" i="7"/>
  <c r="E19" i="7"/>
  <c r="E18" i="7"/>
  <c r="E17" i="7"/>
  <c r="E8" i="7"/>
  <c r="E7" i="7"/>
  <c r="E6" i="7"/>
  <c r="E3" i="7"/>
  <c r="E4" i="7"/>
  <c r="D126" i="7"/>
  <c r="C126" i="7"/>
  <c r="D125" i="7"/>
  <c r="C125" i="7"/>
  <c r="D123" i="7"/>
  <c r="C123" i="7"/>
  <c r="D122" i="7"/>
  <c r="C122" i="7"/>
  <c r="D107" i="7"/>
  <c r="C107" i="7"/>
  <c r="D106" i="7"/>
  <c r="C106" i="7"/>
  <c r="D97" i="7"/>
  <c r="C97" i="7"/>
  <c r="C95" i="7"/>
  <c r="C94" i="7"/>
  <c r="C93" i="7"/>
  <c r="C92" i="7"/>
  <c r="D91" i="7"/>
  <c r="C91" i="7"/>
  <c r="D90" i="7"/>
  <c r="C90" i="7"/>
  <c r="C89" i="7"/>
  <c r="C88" i="7"/>
  <c r="D87" i="7"/>
  <c r="C87" i="7"/>
  <c r="C76" i="7"/>
  <c r="C75" i="7"/>
  <c r="C74" i="7"/>
  <c r="C61" i="7"/>
  <c r="C49" i="7"/>
  <c r="C48" i="7"/>
  <c r="C47" i="7"/>
  <c r="C46" i="7"/>
  <c r="D34" i="7"/>
  <c r="D38" i="7" s="1"/>
  <c r="C9" i="5" s="1"/>
  <c r="C34" i="7"/>
  <c r="C35" i="7"/>
  <c r="D23" i="7"/>
  <c r="C23" i="7"/>
  <c r="D20" i="7"/>
  <c r="D19" i="7"/>
  <c r="D18" i="7"/>
  <c r="D17" i="7"/>
  <c r="C17" i="7"/>
  <c r="D3" i="7"/>
  <c r="D4" i="7"/>
  <c r="D6" i="7"/>
  <c r="S15" i="5"/>
  <c r="S14" i="5"/>
  <c r="S13" i="5"/>
  <c r="S12" i="5"/>
  <c r="S9" i="5"/>
  <c r="S11" i="5"/>
  <c r="S10" i="5"/>
  <c r="S7" i="5"/>
  <c r="S6" i="5"/>
  <c r="S5" i="5"/>
  <c r="S8" i="5"/>
  <c r="S4" i="5"/>
  <c r="S25" i="5"/>
  <c r="S24" i="5"/>
  <c r="S20" i="5"/>
  <c r="S23" i="5"/>
  <c r="S21" i="5"/>
  <c r="S22" i="5"/>
  <c r="H42" i="5"/>
  <c r="H34" i="5"/>
  <c r="C24" i="5"/>
  <c r="C25" i="5"/>
  <c r="D157" i="7"/>
  <c r="E157" i="7"/>
  <c r="C156" i="7"/>
  <c r="C157" i="7" s="1"/>
  <c r="C21" i="5"/>
  <c r="C28" i="5"/>
  <c r="C44" i="5"/>
  <c r="C33" i="5"/>
  <c r="C29" i="5"/>
  <c r="C58" i="5"/>
  <c r="C57" i="5"/>
  <c r="E108" i="7"/>
  <c r="H28" i="5"/>
  <c r="H36" i="5"/>
  <c r="H30" i="5"/>
  <c r="H39" i="5"/>
  <c r="H37" i="5"/>
  <c r="H38" i="5"/>
  <c r="H35" i="5"/>
  <c r="H41" i="5"/>
  <c r="H44" i="5"/>
  <c r="H45" i="5"/>
  <c r="H43" i="5"/>
  <c r="H29" i="5"/>
  <c r="C43" i="5"/>
  <c r="H33" i="5"/>
  <c r="H31" i="5"/>
  <c r="H27" i="5"/>
  <c r="H32" i="5"/>
  <c r="C41" i="5"/>
  <c r="C39" i="5"/>
  <c r="C45" i="5"/>
  <c r="C42" i="5"/>
  <c r="C31" i="5"/>
  <c r="C26" i="5"/>
  <c r="C23" i="5"/>
  <c r="C27" i="5"/>
  <c r="C22" i="5"/>
  <c r="C20" i="5"/>
  <c r="C18" i="5"/>
  <c r="M36" i="5"/>
  <c r="M35" i="5"/>
  <c r="M41" i="5"/>
  <c r="M40" i="5"/>
  <c r="M30" i="5"/>
  <c r="M29" i="5"/>
  <c r="M28" i="5"/>
  <c r="M27" i="5"/>
  <c r="M48" i="5"/>
  <c r="M47" i="5"/>
  <c r="M46" i="5"/>
  <c r="M45" i="5"/>
  <c r="C20" i="7"/>
  <c r="C18" i="7"/>
  <c r="C19" i="7"/>
  <c r="C60" i="7"/>
  <c r="C8" i="7"/>
  <c r="C7" i="7"/>
  <c r="C6" i="7"/>
  <c r="C4" i="7"/>
  <c r="H53" i="5"/>
  <c r="C3" i="7"/>
  <c r="H54" i="5"/>
  <c r="H52" i="5"/>
  <c r="H51" i="5"/>
  <c r="H19" i="5"/>
  <c r="I7" i="5" s="1"/>
  <c r="E127" i="7"/>
  <c r="D77" i="7"/>
  <c r="C8" i="5"/>
  <c r="M16" i="5"/>
  <c r="N8" i="5" s="1"/>
  <c r="E98" i="7" l="1"/>
  <c r="E77" i="7"/>
  <c r="C62" i="7"/>
  <c r="E50" i="7"/>
  <c r="D50" i="7"/>
  <c r="C6" i="5" s="1"/>
  <c r="E25" i="7"/>
  <c r="C108" i="7"/>
  <c r="C127" i="7"/>
  <c r="M65" i="5"/>
  <c r="N55" i="5" s="1"/>
  <c r="C98" i="7"/>
  <c r="N15" i="5"/>
  <c r="D98" i="7"/>
  <c r="C11" i="5" s="1"/>
  <c r="N5" i="5"/>
  <c r="H55" i="5"/>
  <c r="I52" i="5" s="1"/>
  <c r="N14" i="5"/>
  <c r="D108" i="7"/>
  <c r="C13" i="5" s="1"/>
  <c r="D127" i="7"/>
  <c r="C4" i="5" s="1"/>
  <c r="E9" i="7"/>
  <c r="C9" i="7"/>
  <c r="C25" i="7"/>
  <c r="M37" i="5"/>
  <c r="N35" i="5" s="1"/>
  <c r="C47" i="5"/>
  <c r="D44" i="5" s="1"/>
  <c r="C59" i="5"/>
  <c r="D58" i="5" s="1"/>
  <c r="S26" i="5"/>
  <c r="T24" i="5" s="1"/>
  <c r="D9" i="7"/>
  <c r="C7" i="5" s="1"/>
  <c r="D25" i="7"/>
  <c r="C5" i="5" s="1"/>
  <c r="S35" i="5"/>
  <c r="C51" i="5"/>
  <c r="S36" i="5"/>
  <c r="S32" i="5"/>
  <c r="C53" i="5"/>
  <c r="C52" i="5"/>
  <c r="S37" i="5"/>
  <c r="S31" i="5"/>
  <c r="N7" i="5"/>
  <c r="I11" i="5"/>
  <c r="N6" i="5"/>
  <c r="I14" i="5"/>
  <c r="N9" i="5"/>
  <c r="I16" i="5"/>
  <c r="C38" i="7"/>
  <c r="N4" i="5"/>
  <c r="O4" i="5" s="1"/>
  <c r="O5" i="5" s="1"/>
  <c r="I8" i="5"/>
  <c r="M49" i="5"/>
  <c r="N47" i="5" s="1"/>
  <c r="C36" i="5"/>
  <c r="D24" i="5" s="1"/>
  <c r="C50" i="7"/>
  <c r="M32" i="5"/>
  <c r="N29" i="5" s="1"/>
  <c r="S16" i="5"/>
  <c r="T9" i="5" s="1"/>
  <c r="I4" i="5"/>
  <c r="I5" i="5"/>
  <c r="H48" i="5"/>
  <c r="I33" i="5" s="1"/>
  <c r="C77" i="7"/>
  <c r="S30" i="5"/>
  <c r="H24" i="5"/>
  <c r="I9" i="5"/>
  <c r="I6" i="5"/>
  <c r="I10" i="5"/>
  <c r="N12" i="5"/>
  <c r="N10" i="5"/>
  <c r="N11" i="5"/>
  <c r="I13" i="5"/>
  <c r="I15" i="5"/>
  <c r="I12" i="5"/>
  <c r="N13" i="5"/>
  <c r="N48" i="5"/>
  <c r="M42" i="5"/>
  <c r="N40" i="5" s="1"/>
  <c r="N6" i="7" l="1"/>
  <c r="O6" i="5"/>
  <c r="O7" i="5" s="1"/>
  <c r="O8" i="5" s="1"/>
  <c r="O9" i="5" s="1"/>
  <c r="O10" i="5" s="1"/>
  <c r="O11" i="5" s="1"/>
  <c r="O12" i="5" s="1"/>
  <c r="O13" i="5" s="1"/>
  <c r="O14" i="5" s="1"/>
  <c r="O15" i="5" s="1"/>
  <c r="N52" i="5"/>
  <c r="I54" i="5"/>
  <c r="N54" i="5"/>
  <c r="N58" i="5"/>
  <c r="N62" i="5"/>
  <c r="N57" i="5"/>
  <c r="N61" i="5"/>
  <c r="D57" i="5"/>
  <c r="D59" i="5" s="1"/>
  <c r="N56" i="5"/>
  <c r="N59" i="5"/>
  <c r="N60" i="5"/>
  <c r="T23" i="5"/>
  <c r="N63" i="5"/>
  <c r="T25" i="5"/>
  <c r="N53" i="5"/>
  <c r="T19" i="5"/>
  <c r="D42" i="5"/>
  <c r="D40" i="5"/>
  <c r="D30" i="5"/>
  <c r="N45" i="5"/>
  <c r="O45" i="5" s="1"/>
  <c r="T21" i="5"/>
  <c r="D45" i="5"/>
  <c r="I51" i="5"/>
  <c r="J51" i="5" s="1"/>
  <c r="J52" i="5" s="1"/>
  <c r="D41" i="5"/>
  <c r="D39" i="5"/>
  <c r="E39" i="5" s="1"/>
  <c r="I53" i="5"/>
  <c r="D43" i="5"/>
  <c r="D26" i="5"/>
  <c r="I35" i="5"/>
  <c r="T20" i="5"/>
  <c r="T22" i="5"/>
  <c r="D32" i="5"/>
  <c r="N4" i="7"/>
  <c r="N36" i="5"/>
  <c r="N37" i="5" s="1"/>
  <c r="C54" i="5"/>
  <c r="D51" i="5" s="1"/>
  <c r="E51" i="5" s="1"/>
  <c r="N41" i="5"/>
  <c r="N42" i="5" s="1"/>
  <c r="D31" i="5"/>
  <c r="D28" i="5"/>
  <c r="D27" i="5"/>
  <c r="D25" i="5"/>
  <c r="D29" i="5"/>
  <c r="D22" i="5"/>
  <c r="O35" i="5"/>
  <c r="S38" i="5"/>
  <c r="T35" i="5" s="1"/>
  <c r="N46" i="5"/>
  <c r="N3" i="7"/>
  <c r="D23" i="5"/>
  <c r="D21" i="5"/>
  <c r="D19" i="5"/>
  <c r="D20" i="5"/>
  <c r="D33" i="5"/>
  <c r="D18" i="5"/>
  <c r="E18" i="5" s="1"/>
  <c r="N16" i="5"/>
  <c r="O40" i="5"/>
  <c r="T5" i="5"/>
  <c r="T7" i="5"/>
  <c r="T13" i="5"/>
  <c r="T11" i="5"/>
  <c r="T4" i="5"/>
  <c r="T15" i="5"/>
  <c r="T12" i="5"/>
  <c r="T10" i="5"/>
  <c r="T14" i="5"/>
  <c r="I30" i="5"/>
  <c r="I37" i="5"/>
  <c r="I28" i="5"/>
  <c r="I45" i="5"/>
  <c r="I38" i="5"/>
  <c r="I29" i="5"/>
  <c r="I36" i="5"/>
  <c r="I40" i="5"/>
  <c r="I39" i="5"/>
  <c r="I41" i="5"/>
  <c r="I31" i="5"/>
  <c r="I44" i="5"/>
  <c r="I27" i="5"/>
  <c r="I32" i="5"/>
  <c r="I43" i="5"/>
  <c r="S33" i="5"/>
  <c r="T30" i="5" s="1"/>
  <c r="N24" i="5"/>
  <c r="N21" i="5"/>
  <c r="N25" i="5"/>
  <c r="N20" i="5"/>
  <c r="N30" i="5"/>
  <c r="N27" i="5"/>
  <c r="N26" i="5"/>
  <c r="N28" i="5"/>
  <c r="N22" i="5"/>
  <c r="N19" i="5"/>
  <c r="N23" i="5"/>
  <c r="I34" i="5"/>
  <c r="I42" i="5"/>
  <c r="T8" i="5"/>
  <c r="J4" i="5"/>
  <c r="J5" i="5" s="1"/>
  <c r="J6" i="5" s="1"/>
  <c r="J7" i="5" s="1"/>
  <c r="J8" i="5" s="1"/>
  <c r="J9" i="5" s="1"/>
  <c r="J10" i="5" s="1"/>
  <c r="J11" i="5" s="1"/>
  <c r="J12" i="5" s="1"/>
  <c r="J13" i="5" s="1"/>
  <c r="J14" i="5" s="1"/>
  <c r="J15" i="5" s="1"/>
  <c r="J16" i="5" s="1"/>
  <c r="I19" i="5"/>
  <c r="T6" i="5"/>
  <c r="C16" i="5"/>
  <c r="D7" i="5" s="1"/>
  <c r="N7" i="7" l="1"/>
  <c r="E57" i="5"/>
  <c r="E58" i="5" s="1"/>
  <c r="D52" i="5"/>
  <c r="E52" i="5" s="1"/>
  <c r="I55" i="5"/>
  <c r="O36" i="5"/>
  <c r="T36" i="5"/>
  <c r="O46" i="5"/>
  <c r="O47" i="5" s="1"/>
  <c r="O48" i="5" s="1"/>
  <c r="E19" i="5"/>
  <c r="E20" i="5" s="1"/>
  <c r="E21" i="5" s="1"/>
  <c r="E22" i="5" s="1"/>
  <c r="E23" i="5" s="1"/>
  <c r="E24" i="5" s="1"/>
  <c r="E25" i="5" s="1"/>
  <c r="E26" i="5" s="1"/>
  <c r="E27" i="5" s="1"/>
  <c r="E28" i="5" s="1"/>
  <c r="E29" i="5" s="1"/>
  <c r="E30" i="5" s="1"/>
  <c r="E31" i="5" s="1"/>
  <c r="E32" i="5" s="1"/>
  <c r="E33" i="5" s="1"/>
  <c r="E40" i="5"/>
  <c r="E41" i="5" s="1"/>
  <c r="E42" i="5" s="1"/>
  <c r="E43" i="5" s="1"/>
  <c r="E44" i="5" s="1"/>
  <c r="E45" i="5" s="1"/>
  <c r="N65" i="5"/>
  <c r="N49" i="5"/>
  <c r="T37" i="5"/>
  <c r="D47" i="5"/>
  <c r="J53" i="5"/>
  <c r="J54" i="5" s="1"/>
  <c r="O41" i="5"/>
  <c r="D36" i="5"/>
  <c r="D53" i="5"/>
  <c r="N32" i="5"/>
  <c r="D9" i="5"/>
  <c r="D10" i="5"/>
  <c r="D11" i="5"/>
  <c r="D4" i="5"/>
  <c r="D14" i="5"/>
  <c r="D12" i="5"/>
  <c r="D6" i="5"/>
  <c r="D13" i="5"/>
  <c r="D5" i="5"/>
  <c r="D8" i="5"/>
  <c r="T31" i="5"/>
  <c r="T32" i="5"/>
  <c r="J27" i="5"/>
  <c r="J28" i="5" s="1"/>
  <c r="J29" i="5" s="1"/>
  <c r="J30" i="5" s="1"/>
  <c r="J31" i="5" s="1"/>
  <c r="J32" i="5" s="1"/>
  <c r="J33" i="5" s="1"/>
  <c r="J34" i="5" s="1"/>
  <c r="J35" i="5" s="1"/>
  <c r="J36" i="5" s="1"/>
  <c r="J37" i="5" s="1"/>
  <c r="J38" i="5" s="1"/>
  <c r="J39" i="5" s="1"/>
  <c r="J40" i="5" s="1"/>
  <c r="J41" i="5" s="1"/>
  <c r="J42" i="5" s="1"/>
  <c r="J43" i="5" s="1"/>
  <c r="J44" i="5" s="1"/>
  <c r="J45" i="5" s="1"/>
  <c r="I48" i="5"/>
  <c r="D54" i="5" l="1"/>
  <c r="E53" i="5"/>
  <c r="D16" i="5"/>
  <c r="E4" i="5"/>
  <c r="E5" i="5" s="1"/>
  <c r="E6" i="5" s="1"/>
  <c r="E7" i="5" s="1"/>
  <c r="E8" i="5" s="1"/>
  <c r="E9" i="5" s="1"/>
  <c r="E10" i="5" s="1"/>
  <c r="E11" i="5" s="1"/>
  <c r="E12" i="5" s="1"/>
  <c r="E13" i="5" s="1"/>
  <c r="E14"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Nicolas Gomez</author>
    <author>Alan Carrasco</author>
    <author>tc={95BCF80C-0AC7-47F4-88D3-DA805DD14BF0}</author>
  </authors>
  <commentList>
    <comment ref="AC74" authorId="0" shapeId="0" xr:uid="{A9FD75C6-CCC6-4850-A662-00E8209349E3}">
      <text>
        <r>
          <rPr>
            <b/>
            <sz val="9"/>
            <color indexed="81"/>
            <rFont val="Tahoma"/>
            <family val="2"/>
          </rPr>
          <t>Nicolas Gomez:</t>
        </r>
        <r>
          <rPr>
            <sz val="9"/>
            <color indexed="81"/>
            <rFont val="Tahoma"/>
            <family val="2"/>
          </rPr>
          <t xml:space="preserve">
- NC Enviada.
- NC Respondida c/evidencia. </t>
        </r>
      </text>
    </comment>
    <comment ref="AC81" authorId="0" shapeId="0" xr:uid="{D8B85AA1-9F71-4D9C-A0ED-889A0F411128}">
      <text>
        <r>
          <rPr>
            <b/>
            <sz val="9"/>
            <color indexed="81"/>
            <rFont val="Tahoma"/>
            <family val="2"/>
          </rPr>
          <t>Nicolas Gomez:</t>
        </r>
        <r>
          <rPr>
            <sz val="9"/>
            <color indexed="81"/>
            <rFont val="Tahoma"/>
            <family val="2"/>
          </rPr>
          <t xml:space="preserve">
- NC Enviada.
- NC Respondida
Falta evidencia. </t>
        </r>
      </text>
    </comment>
    <comment ref="AC92" authorId="0" shapeId="0" xr:uid="{B9235F2F-4D93-40D4-8396-B1BC393F9645}">
      <text>
        <r>
          <rPr>
            <b/>
            <sz val="9"/>
            <color indexed="81"/>
            <rFont val="Tahoma"/>
            <family val="2"/>
          </rPr>
          <t>Nicolas Gomez:</t>
        </r>
        <r>
          <rPr>
            <sz val="9"/>
            <color indexed="81"/>
            <rFont val="Tahoma"/>
            <family val="2"/>
          </rPr>
          <t xml:space="preserve">
NC ENVIA
</t>
        </r>
      </text>
    </comment>
    <comment ref="AC95" authorId="0" shapeId="0" xr:uid="{A52990DF-FEF8-4E54-8BD7-93AF3CC0B287}">
      <text>
        <r>
          <rPr>
            <b/>
            <sz val="9"/>
            <color indexed="81"/>
            <rFont val="Tahoma"/>
            <family val="2"/>
          </rPr>
          <t>Nicolas Gomez:</t>
        </r>
        <r>
          <rPr>
            <sz val="9"/>
            <color indexed="81"/>
            <rFont val="Tahoma"/>
            <family val="2"/>
          </rPr>
          <t xml:space="preserve">
NC ENVIA
</t>
        </r>
      </text>
    </comment>
    <comment ref="B109" authorId="0" shapeId="0" xr:uid="{467EF4C9-2E32-4B3A-81EF-E3A3F41BBBF2}">
      <text>
        <r>
          <rPr>
            <b/>
            <sz val="9"/>
            <color indexed="81"/>
            <rFont val="Tahoma"/>
            <family val="2"/>
          </rPr>
          <t>Nicolas Gomez:</t>
        </r>
        <r>
          <rPr>
            <sz val="9"/>
            <color indexed="81"/>
            <rFont val="Tahoma"/>
            <family val="2"/>
          </rPr>
          <t xml:space="preserve">
DEJAR PARA AGOSTO</t>
        </r>
      </text>
    </comment>
    <comment ref="AJ153" authorId="1" shapeId="0" xr:uid="{04D100BC-7F51-4ACD-8F0D-05D3F1C3A55D}">
      <text>
        <r>
          <rPr>
            <b/>
            <sz val="9"/>
            <color indexed="81"/>
            <rFont val="Tahoma"/>
            <family val="2"/>
          </rPr>
          <t>Alan Carrasco:</t>
        </r>
        <r>
          <rPr>
            <sz val="9"/>
            <color indexed="81"/>
            <rFont val="Tahoma"/>
            <family val="2"/>
          </rPr>
          <t xml:space="preserve">
EVALUAR "T. 
ESTREMAS"</t>
        </r>
      </text>
    </comment>
    <comment ref="Q155" authorId="2" shapeId="0" xr:uid="{95BCF80C-0AC7-47F4-88D3-DA805DD14BF0}">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EVALUAR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Modelo de datos"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Consolidado Accidentes!$A$6:$AP$357" type="102" refreshedVersion="8" minRefreshableVersion="5">
    <extLst>
      <ext xmlns:x15="http://schemas.microsoft.com/office/spreadsheetml/2010/11/main" uri="{DE250136-89BD-433C-8126-D09CA5730AF9}">
        <x15:connection id="Rango" autoDelete="1">
          <x15:rangePr sourceName="_xlcn.WorksheetConnection_ConsolidadoAccidentesA6AP357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ThisWorkbookDataModel"/>
    <s v="{[Rango].[AREA].&amp;[TROZADO DE POLLO]}"/>
  </metadataStrings>
  <mdxMetadata count="1">
    <mdx n="0" f="s">
      <ms ns="1" c="0"/>
    </mdx>
  </mdxMetadata>
  <valueMetadata count="1">
    <bk>
      <rc t="1" v="0"/>
    </bk>
  </valueMetadata>
</metadata>
</file>

<file path=xl/sharedStrings.xml><?xml version="1.0" encoding="utf-8"?>
<sst xmlns="http://schemas.openxmlformats.org/spreadsheetml/2006/main" count="9627" uniqueCount="1471">
  <si>
    <t>FORMATO CONSOLIDADO DE INCIDENTES</t>
  </si>
  <si>
    <t>AÑO</t>
  </si>
  <si>
    <t>MES</t>
  </si>
  <si>
    <t>PLANTA</t>
  </si>
  <si>
    <t>APELLIDOS</t>
  </si>
  <si>
    <t>NOMBRE</t>
  </si>
  <si>
    <t>GENERO</t>
  </si>
  <si>
    <t>RUT</t>
  </si>
  <si>
    <t>FECHA CONTRATO</t>
  </si>
  <si>
    <t>MESES INTERNO</t>
  </si>
  <si>
    <t>FECHA INCCIDENTE</t>
  </si>
  <si>
    <t>ANTIGÜEDAD</t>
  </si>
  <si>
    <t>FECHA INGRESO MUTUALIDAD</t>
  </si>
  <si>
    <t>FECHA ALTA</t>
  </si>
  <si>
    <t>REINGRESO</t>
  </si>
  <si>
    <t>DP</t>
  </si>
  <si>
    <t>CLASIF ACC</t>
  </si>
  <si>
    <t>POTENCIAL
GRAVE - FATAL</t>
  </si>
  <si>
    <t>CLASIFICACION LGF</t>
  </si>
  <si>
    <t>AREA</t>
  </si>
  <si>
    <t>SECCION</t>
  </si>
  <si>
    <t>CARGO</t>
  </si>
  <si>
    <t>LUGAR ACC</t>
  </si>
  <si>
    <t>MAQUINA, EQUIPO Y HERRAMIENTAS</t>
  </si>
  <si>
    <t>TURNO</t>
  </si>
  <si>
    <t>HORA</t>
  </si>
  <si>
    <t>DIA</t>
  </si>
  <si>
    <t>SEMANA</t>
  </si>
  <si>
    <t>ADEXUS</t>
  </si>
  <si>
    <t>NC</t>
  </si>
  <si>
    <t>JEFE AREA</t>
  </si>
  <si>
    <t>SUPERVISOR</t>
  </si>
  <si>
    <t>EDAD</t>
  </si>
  <si>
    <t>AGENTE ACC</t>
  </si>
  <si>
    <t>PARTE AFECTADA</t>
  </si>
  <si>
    <t xml:space="preserve">NATURALEZA DE LA LESION </t>
  </si>
  <si>
    <t>TIPO ACCIDENTE</t>
  </si>
  <si>
    <t>DESCRIPCION LESION</t>
  </si>
  <si>
    <t>ACCION - CONDICION</t>
  </si>
  <si>
    <t>TRABAJO HABITUAL</t>
  </si>
  <si>
    <t>DERIVACION ACHS</t>
  </si>
  <si>
    <t>Experto de Turno</t>
  </si>
  <si>
    <t>Atencion SPA</t>
  </si>
  <si>
    <t>JUNIO</t>
  </si>
  <si>
    <t>EL PAICO</t>
  </si>
  <si>
    <t xml:space="preserve"> MENDEZ DEL CASTILLO</t>
  </si>
  <si>
    <t>DANIELA ALEJANDRA</t>
  </si>
  <si>
    <t>FEMENINO</t>
  </si>
  <si>
    <t xml:space="preserve"> 15822820-3</t>
  </si>
  <si>
    <t>STP</t>
  </si>
  <si>
    <t>TROZADO DE POLLO</t>
  </si>
  <si>
    <t xml:space="preserve">T. AUTOMATICO </t>
  </si>
  <si>
    <t>OPERARIO</t>
  </si>
  <si>
    <t>AUTOMATICO</t>
  </si>
  <si>
    <t>N/A</t>
  </si>
  <si>
    <t>TARDE</t>
  </si>
  <si>
    <t>MIERCOLES</t>
  </si>
  <si>
    <t>SEMANA 25</t>
  </si>
  <si>
    <t>DANIEL GARRIDO</t>
  </si>
  <si>
    <t>RAMIRO RAMIREZ</t>
  </si>
  <si>
    <t>Materiales</t>
  </si>
  <si>
    <t>Manos / dedos</t>
  </si>
  <si>
    <t>Contusión</t>
  </si>
  <si>
    <t>Golpeado contra</t>
  </si>
  <si>
    <t xml:space="preserve"> TRABAJADORA EN SU PUESTO DE TRABAJO, GOLPEA SU MANO CON MESA DE TRABAJO, CUANDO UN COMPAÑERO CHOCA CON UN BINS QUE GOLPEA UNAS CAJAS Y ESTAS GOLPEAN LA MESA HACIENDO QUE SE GOLPEE LA MANO </t>
  </si>
  <si>
    <t>ACCION</t>
  </si>
  <si>
    <t>SI</t>
  </si>
  <si>
    <t>NO</t>
  </si>
  <si>
    <t xml:space="preserve">NICOLAS GOMEZ </t>
  </si>
  <si>
    <t>MICHEL SANCHEZ</t>
  </si>
  <si>
    <t>ENERO</t>
  </si>
  <si>
    <t xml:space="preserve"> cuevas vidal</t>
  </si>
  <si>
    <t xml:space="preserve"> Victor </t>
  </si>
  <si>
    <t>MASCULINO</t>
  </si>
  <si>
    <t xml:space="preserve"> 9164248-4</t>
  </si>
  <si>
    <t>SSGG</t>
  </si>
  <si>
    <t>ASEO OPERACIONAL</t>
  </si>
  <si>
    <t>CAMARA 207</t>
  </si>
  <si>
    <t>MAÑANA</t>
  </si>
  <si>
    <t>LUNES</t>
  </si>
  <si>
    <t>SEMANA 01</t>
  </si>
  <si>
    <t>FRANCISCO ROJAS</t>
  </si>
  <si>
    <t>SERGIO AQUEVEQUE</t>
  </si>
  <si>
    <t>Superficies de trabajo</t>
  </si>
  <si>
    <t>Pierna</t>
  </si>
  <si>
    <t>Caida de mismo nivel</t>
  </si>
  <si>
    <t>TRABAJADOR REALIZANDO ASEO OPERACIONAL EN CAMARA  207 SUFRE CAIDA DE MISMO NIVEL EN CAMARA 207</t>
  </si>
  <si>
    <t>CONDICION</t>
  </si>
  <si>
    <t>PEDRO MOREIRA</t>
  </si>
  <si>
    <t>CRISTIAN JHON</t>
  </si>
  <si>
    <t xml:space="preserve"> cerón pinto</t>
  </si>
  <si>
    <t xml:space="preserve"> José </t>
  </si>
  <si>
    <t xml:space="preserve"> 16292444-3</t>
  </si>
  <si>
    <t>FAENACION</t>
  </si>
  <si>
    <t>EVICERADO</t>
  </si>
  <si>
    <t>CUCHILLOS</t>
  </si>
  <si>
    <t>MARTES</t>
  </si>
  <si>
    <t>NICOLAS MOYANO</t>
  </si>
  <si>
    <t>ERWIN GATICA</t>
  </si>
  <si>
    <t>Cuchillo</t>
  </si>
  <si>
    <t>Herida cortante</t>
  </si>
  <si>
    <t>Contacto con cuerpo punzante</t>
  </si>
  <si>
    <t>TRABAJADOR AL CAER CUCHILLO TRATA DE TOMARLO Y SE GENERA CORTE EN SU MANO</t>
  </si>
  <si>
    <t>APOYO</t>
  </si>
  <si>
    <t>JOHANNA</t>
  </si>
  <si>
    <t>AVRIL .</t>
  </si>
  <si>
    <t>26118266-1</t>
  </si>
  <si>
    <t>LGF</t>
  </si>
  <si>
    <t>LGF 3</t>
  </si>
  <si>
    <t>SALA DETERGENTE</t>
  </si>
  <si>
    <t>NOCHE</t>
  </si>
  <si>
    <t>ROLANDO EMIHUEQUE</t>
  </si>
  <si>
    <t>Producto quimico</t>
  </si>
  <si>
    <t>Ojos</t>
  </si>
  <si>
    <t>Quemadura</t>
  </si>
  <si>
    <t>Proyeccion de particulas</t>
  </si>
  <si>
    <t>PREPARANDO PRODUCTO CLORADO EN SALA DETERGENTE, SALPICA PRODUCTO EN OJOS</t>
  </si>
  <si>
    <t>LUIS LARENAS</t>
  </si>
  <si>
    <t xml:space="preserve"> Trujillo Bustos</t>
  </si>
  <si>
    <t xml:space="preserve"> Hilda </t>
  </si>
  <si>
    <t xml:space="preserve"> 11366546-0</t>
  </si>
  <si>
    <t>TROZADO DE PAVO</t>
  </si>
  <si>
    <t>TROZADO</t>
  </si>
  <si>
    <t>DESHUEZADO</t>
  </si>
  <si>
    <t>CINTA DESHUEZADO</t>
  </si>
  <si>
    <t>NC-07-22</t>
  </si>
  <si>
    <t>GUILLERMO NARVAEZ</t>
  </si>
  <si>
    <t>MARCELA MARDONES</t>
  </si>
  <si>
    <t>Infraestructura</t>
  </si>
  <si>
    <t>Rostro</t>
  </si>
  <si>
    <t>Contacto con cuerpo cortante</t>
  </si>
  <si>
    <t xml:space="preserve"> TRABAJADORA AL AGACHARCE SE GOLPEA CON ORILLA DE CINTA GENERANDO CORTE SUPERFICIAL EN CASTADO DE LA CEJA</t>
  </si>
  <si>
    <t xml:space="preserve"> Gallagher Riveros</t>
  </si>
  <si>
    <t xml:space="preserve"> Maria Isabel </t>
  </si>
  <si>
    <t>10144095-8</t>
  </si>
  <si>
    <t>DESHUESADO</t>
  </si>
  <si>
    <t>RAFAEL ASTORGA</t>
  </si>
  <si>
    <t xml:space="preserve"> Sufre caída a nivel con rejilla de evacuación de agua que sobresalía del piso</t>
  </si>
  <si>
    <t xml:space="preserve">ORTIZ NAVARRO </t>
  </si>
  <si>
    <t>BRIAN ANTONIO</t>
  </si>
  <si>
    <t xml:space="preserve"> 20604977-4</t>
  </si>
  <si>
    <t>CTP</t>
  </si>
  <si>
    <t>IQF Y CALIBRADO</t>
  </si>
  <si>
    <t>CALIBRADO</t>
  </si>
  <si>
    <t>CINTA CAPACHO</t>
  </si>
  <si>
    <t>NC-06-22</t>
  </si>
  <si>
    <t>MAXIMO CAMPOS</t>
  </si>
  <si>
    <t>Cajas</t>
  </si>
  <si>
    <t>Golpeado por</t>
  </si>
  <si>
    <t xml:space="preserve"> TRABAJADORA AL RECIBIR CAJA EN PROCESO SE GOLPEA SU DEDO MEÑIQUE GENERANDO CONTUSION</t>
  </si>
  <si>
    <t>ESCOBAR</t>
  </si>
  <si>
    <t>CAROLINA</t>
  </si>
  <si>
    <t>18347676-9</t>
  </si>
  <si>
    <t>LINEA PANA</t>
  </si>
  <si>
    <t>SABADO</t>
  </si>
  <si>
    <t>CESAR CARTAGENA</t>
  </si>
  <si>
    <t>Caida de distinto nivel</t>
  </si>
  <si>
    <t>TRABAJADORA SUBIENDO ESCALONES DE PIE APOYO EN LINEA PANA PISA SU CAPA ESTA SE RESBALA SE GENERA GOLPE EN SU MANO</t>
  </si>
  <si>
    <t xml:space="preserve"> Moreno Mardones</t>
  </si>
  <si>
    <t xml:space="preserve"> Isamar </t>
  </si>
  <si>
    <t>18030936-5</t>
  </si>
  <si>
    <t xml:space="preserve">LGF </t>
  </si>
  <si>
    <t>LGF 2</t>
  </si>
  <si>
    <t>EQUIPO PARA MOVIMIENTO DE CARGA (GRUAS O TRANSPALETAS)</t>
  </si>
  <si>
    <t>JUEVES</t>
  </si>
  <si>
    <t>SEMANA 02</t>
  </si>
  <si>
    <t>Bins</t>
  </si>
  <si>
    <t xml:space="preserve"> Sufre atrición de mano y muñeca derecha entre bins y transpaleta eléctrica al posicionar etiqueta en el centro del bins y no en la orilla</t>
  </si>
  <si>
    <t>FUENTEALBA</t>
  </si>
  <si>
    <t>FERNANDO</t>
  </si>
  <si>
    <t xml:space="preserve"> 16342700-1</t>
  </si>
  <si>
    <t>IQF4</t>
  </si>
  <si>
    <t>LINEA IQF (CINTAS, CONGELADORES, INYECTORAS)</t>
  </si>
  <si>
    <t>NC-10-22</t>
  </si>
  <si>
    <t>FERNANDO FUENTEALBA</t>
  </si>
  <si>
    <t>Maquinarias</t>
  </si>
  <si>
    <t>Fractura</t>
  </si>
  <si>
    <t>Atrapamiento</t>
  </si>
  <si>
    <t>TRABAJADOR AL REALIZAR CONTROL DE TEMPERATURA EN REVISIÓN DE EQUIPO CON EMPRESA EXTERNA, SE GENERA ATRAPAMIENTO ENTRE LA CINTA SUPERIOR 1 Y EL RASPADOR SIN DETENER EQUIPO</t>
  </si>
  <si>
    <t xml:space="preserve">  CHACON MARTINEZ</t>
  </si>
  <si>
    <t xml:space="preserve"> CATALINA DEL CARMEN</t>
  </si>
  <si>
    <t xml:space="preserve"> 18031023-1</t>
  </si>
  <si>
    <t>MANTENCION</t>
  </si>
  <si>
    <t>VIERNES</t>
  </si>
  <si>
    <t>VICTOR GOMEZ</t>
  </si>
  <si>
    <t>NICOLAS ROJAS</t>
  </si>
  <si>
    <t>Tronco</t>
  </si>
  <si>
    <t>TRABAJADORA GENERANDO LIMPIEZA DE LA SALA LUBRICANTES , CUANDO APLICO DESENGRASANTES SE GENERA CAIDA DE MISMO NIVEL EN EL PISO RESBALANDOSE</t>
  </si>
  <si>
    <t xml:space="preserve"> DAURESTANT</t>
  </si>
  <si>
    <t xml:space="preserve"> DAMIL </t>
  </si>
  <si>
    <t>26001619-9</t>
  </si>
  <si>
    <t>RECEPCION</t>
  </si>
  <si>
    <t>RECEPCION AVE VIVA</t>
  </si>
  <si>
    <t>NC-11-22</t>
  </si>
  <si>
    <t>TRABAJADOR REALIZANDO PROCESO DE CORTE CON POLLO SIN USO DE GUANTES DE ACERO SE GENERA UN CORTE PROFUNDO EN DEDO INDICE MANO IZQUIERDA</t>
  </si>
  <si>
    <t>KENSON</t>
  </si>
  <si>
    <t>NICOLAS</t>
  </si>
  <si>
    <t xml:space="preserve"> 25991033-1</t>
  </si>
  <si>
    <t>SEMANA 03</t>
  </si>
  <si>
    <t>Sobreesfuerzo</t>
  </si>
  <si>
    <t xml:space="preserve"> Sufre contusión en zona metacarpiana (nudillos) de la mano derecha al tirar un bins</t>
  </si>
  <si>
    <t xml:space="preserve"> AHUMADA MARTÍNEZ</t>
  </si>
  <si>
    <t xml:space="preserve"> FERNANDO </t>
  </si>
  <si>
    <t xml:space="preserve"> 6212724-4</t>
  </si>
  <si>
    <t>CHILLER</t>
  </si>
  <si>
    <t>SHILER</t>
  </si>
  <si>
    <t>CRISTIAN DURAN</t>
  </si>
  <si>
    <t>Pie</t>
  </si>
  <si>
    <t xml:space="preserve"> COLABORADOR REALIZABA DESPEJO DE HIELO EN SECTOR CHILLER, Y CON HIELO EN PISO SE GENERA CAIDA DE MISMO NIVEL.</t>
  </si>
  <si>
    <t>RODRIGUEZ</t>
  </si>
  <si>
    <t>CRISTOBAL</t>
  </si>
  <si>
    <t xml:space="preserve"> 21067853-0</t>
  </si>
  <si>
    <t>JOSE CARVALLO</t>
  </si>
  <si>
    <t>Pallet</t>
  </si>
  <si>
    <t>TRABAJADOR SE GOLPEA LA MANO AL CAER PRODUCTO APILADO DEL PALLET</t>
  </si>
  <si>
    <t>CARLOS JIMENEZ</t>
  </si>
  <si>
    <t>VALENZUELA MELLA</t>
  </si>
  <si>
    <t>JUAN</t>
  </si>
  <si>
    <t>15477532-3</t>
  </si>
  <si>
    <t>FRIGORIFICO</t>
  </si>
  <si>
    <t>SALA EMPAQUE</t>
  </si>
  <si>
    <t>FRANCISCO QUEZADA</t>
  </si>
  <si>
    <t>JUAN VILLAVICENCIO</t>
  </si>
  <si>
    <t>TRABAJADOR REALIZANDO DESPEJE DE HIELO CON LAMINA DE CARTON SE GENERA CORTE SUPERFICIAL EN DEDO INDICE DEREHCO</t>
  </si>
  <si>
    <t xml:space="preserve">TELFORT . </t>
  </si>
  <si>
    <t>MACDIANNE</t>
  </si>
  <si>
    <t>26091858-3</t>
  </si>
  <si>
    <t>SEMANA 04</t>
  </si>
  <si>
    <t>ARNALDO VERA</t>
  </si>
  <si>
    <t>GOLPEA SU MANO DERECHA CON BINS QUE ES TRANPORTADO CON PRODUCTO POR EQUIPO PARA MOVIMIENTO DE CARGA (GRUAS O TRANSPALETAS)</t>
  </si>
  <si>
    <t>CONTRERAS</t>
  </si>
  <si>
    <t>ROMY</t>
  </si>
  <si>
    <t>10699404-8</t>
  </si>
  <si>
    <t>CAMARINES MUJERES</t>
  </si>
  <si>
    <t>NC -16 -22</t>
  </si>
  <si>
    <t>LUIS URBINA</t>
  </si>
  <si>
    <t>Animales - Insectos</t>
  </si>
  <si>
    <t>Otros</t>
  </si>
  <si>
    <t>Picadura</t>
  </si>
  <si>
    <t>TRABAJADORA CAMBIANDOSE ROPA EN CAMARINES DE MUJERES SUFRE PICADURA EN SU PIERNA POR INSECTO (ARAÑA)</t>
  </si>
  <si>
    <t xml:space="preserve"> LOYOLA DIAZ</t>
  </si>
  <si>
    <t xml:space="preserve"> CRISTINA </t>
  </si>
  <si>
    <t>16856182-2</t>
  </si>
  <si>
    <t>LGF 8</t>
  </si>
  <si>
    <t>ISHIDA</t>
  </si>
  <si>
    <t>MANGUERA MEZCLADOR</t>
  </si>
  <si>
    <t>SEMANA 05</t>
  </si>
  <si>
    <t>Contacto con temperaturas extremas</t>
  </si>
  <si>
    <t>TRABAJADORA REALIZANDO PROCESO DE ASEO CON MAGUERA Y AGUA CALIENTE, AL CORTASE LA LUZ EN MANGUERA SOLO SALIO VAPOR Y SE GENERO QUEMADURA SUPERFICIAL EN LAS MANOS</t>
  </si>
  <si>
    <t>FEBRERO</t>
  </si>
  <si>
    <t>FERRADA BUSTOS</t>
  </si>
  <si>
    <t>SANDRA</t>
  </si>
  <si>
    <t>14268098-K</t>
  </si>
  <si>
    <t>MIGUEL HENRRIQUEZ</t>
  </si>
  <si>
    <t>Materia Prima</t>
  </si>
  <si>
    <t>TRABAJADORA EN LINEA CONGELADO DE CALIBRADO AL RECIBIR PRODUCTO EN CAPACHO CAE PRODUCTO SOBRE SUS MANOS GENERANDO DOLECIA EN SUS MANOS</t>
  </si>
  <si>
    <t xml:space="preserve"> Cabrera Naranjo</t>
  </si>
  <si>
    <t xml:space="preserve"> Francisco Javier </t>
  </si>
  <si>
    <t>19069621-9</t>
  </si>
  <si>
    <t>SEMANA 06</t>
  </si>
  <si>
    <t>REALIZANDO PRE LAVADO OPERACIONAL, ESTRUCUTRA METALICA (MESA) DESLIZANDOLA CAE SOBRE SU MANO GENERANDO GOLPE EN SU DEDO ANULAR IZQUIERDO</t>
  </si>
  <si>
    <t>GUILLEMRO</t>
  </si>
  <si>
    <t>FRANCO</t>
  </si>
  <si>
    <t>18777798-4</t>
  </si>
  <si>
    <t>NC -19 - 22</t>
  </si>
  <si>
    <t>ANTONIO RIVAS</t>
  </si>
  <si>
    <t>Conjuntivitis</t>
  </si>
  <si>
    <t>TRABAJADOR REALIZANDO MOVIMIENTO D EPALLET CON ANIMAL VIVO, TIENE ALCANCE DE PROYECCION DE PARTICULAS (FECAS) EN EL OJO DERECHO, SIN USO DE GAFAS DE SEGURIDAD ADECUADO</t>
  </si>
  <si>
    <t xml:space="preserve"> Zuñiga Cabello</t>
  </si>
  <si>
    <t xml:space="preserve"> Marco </t>
  </si>
  <si>
    <t>11945385-2</t>
  </si>
  <si>
    <t>P. POSTERIORES</t>
  </si>
  <si>
    <t>REPORTE DE CAJAS</t>
  </si>
  <si>
    <t>PULPA</t>
  </si>
  <si>
    <t>SEMANA 07</t>
  </si>
  <si>
    <t>OCTAVIO MUÑOZ</t>
  </si>
  <si>
    <t>RONALD ONELL</t>
  </si>
  <si>
    <t>X</t>
  </si>
  <si>
    <t>TRABAJADOR AL REALIZAR RECUBRIMIENTO DE EQUIPO PULPA, PASA POR PISO HUMEDO Y RESBALA</t>
  </si>
  <si>
    <t xml:space="preserve">  DESIR</t>
  </si>
  <si>
    <t>CRETUDE</t>
  </si>
  <si>
    <t xml:space="preserve"> 25622045-8</t>
  </si>
  <si>
    <t>ESCALA PRINCIPAL</t>
  </si>
  <si>
    <t>TRABAJADOR BAJANDO POR ESCALA PASILLO PRINCIPAL, RESBALA Y SE GENERA CAIDA DISTINTO NIVEL</t>
  </si>
  <si>
    <t>HERALDO P</t>
  </si>
  <si>
    <t xml:space="preserve">  Aguilar Weinberger</t>
  </si>
  <si>
    <t xml:space="preserve"> Nicolas</t>
  </si>
  <si>
    <t>20561193-2</t>
  </si>
  <si>
    <t>SEMANA 08</t>
  </si>
  <si>
    <t>Bandejas</t>
  </si>
  <si>
    <t>Trasladando bandejas con felitillo, Al chocar con pallet sufre torsión de dedos medio y anular</t>
  </si>
  <si>
    <t xml:space="preserve">  LARA PICHIMATA</t>
  </si>
  <si>
    <t xml:space="preserve"> EDGAR</t>
  </si>
  <si>
    <t>24326149-k</t>
  </si>
  <si>
    <t>CHILER DE AGUA</t>
  </si>
  <si>
    <t>PRODUCCION</t>
  </si>
  <si>
    <t>TRABAJADOR AL COLOCARCE FONOS NO SE PERCATA QUE ESTABAN ESTILANDO PRODUCTO QUIMICO, LO QUE GENERA CAIDA DE PARTICULAS EN SUS OJOS UNA VEZ YA POSICIONADOS EN SU CABEZA</t>
  </si>
  <si>
    <t>ANTOINE</t>
  </si>
  <si>
    <t>ANGELINE</t>
  </si>
  <si>
    <t>26232929-1</t>
  </si>
  <si>
    <t>SEMANA 09</t>
  </si>
  <si>
    <t xml:space="preserve">TRABAJADORA REALIZANDO SELECCIÓN DE PRODUCTO EN SU PUESTO DE TRABAJO, LLEGO UNA TRABAJADORA DE CALIDAD, QUIEN TIRA PRODUCTO AL BINS, HACE QUE LE LLEGE UN TROZO DEL PRODCTO EN EL OJO A LA TRABAJADORA AFECTADA </t>
  </si>
  <si>
    <t>MARZO</t>
  </si>
  <si>
    <t>CUBILLOS GARATE</t>
  </si>
  <si>
    <t xml:space="preserve">EMILIO ANTONIO </t>
  </si>
  <si>
    <t>19601836-0</t>
  </si>
  <si>
    <t xml:space="preserve">TRABAJADOR CORTANDO EL BUCHE DE POLLO, ESTE VENIA CON VISERAS Y AL MOMENTO DE SACARLAS LE SALTO ALGO EN EL OJO </t>
  </si>
  <si>
    <t>APOYO (SANDRA)</t>
  </si>
  <si>
    <t>BRAVO NAVARRO</t>
  </si>
  <si>
    <t>EMA</t>
  </si>
  <si>
    <t>13778113-1</t>
  </si>
  <si>
    <t>ICHIDA</t>
  </si>
  <si>
    <t>SEMANA 10</t>
  </si>
  <si>
    <t>NC-31-22</t>
  </si>
  <si>
    <t>ALEJANDRO SALAS</t>
  </si>
  <si>
    <t>TRABAJADORA SUFRE GOLPE Y APRETÓN DE SU DEDO ÍNDICE DERECHO AL ESTAR SACANDO LOS FILMS PARA PODER CAMBIARLOS RÁPIDAMENTE</t>
  </si>
  <si>
    <t>PIERRE</t>
  </si>
  <si>
    <t>WILKENS</t>
  </si>
  <si>
    <t>26436438-8</t>
  </si>
  <si>
    <t>Herramientas de mano</t>
  </si>
  <si>
    <t>TRABAJADOR AL AGACHARSE A RECOGER PRODUCTO, NO VE QUE EL BINS TENÍA UN TENEDOR METÁLICO Y SE GOLPEÓ A UN COSTADO DEL OJO DERECHO (CEJA)</t>
  </si>
  <si>
    <t xml:space="preserve">SANTIS GARCIA </t>
  </si>
  <si>
    <t>CRISTOFER</t>
  </si>
  <si>
    <t>19849216-7</t>
  </si>
  <si>
    <t>CAMARA 208</t>
  </si>
  <si>
    <t>JONATHAN SANCHEZ</t>
  </si>
  <si>
    <t>TRABAJADOR SE RESBALA RETIRANDO UN BINS, SUFRIENDO CONTRACTURA EN PIERNA IZQUIERDA</t>
  </si>
  <si>
    <t>MUÑOZ PLAZA</t>
  </si>
  <si>
    <t>20424770-6</t>
  </si>
  <si>
    <t>Equipos Transporte de carga</t>
  </si>
  <si>
    <t>TRABAJADOR SE GOLPEÓ EL PULGAR IZQUIERDO CUANDO MOVÍA UN BINS CON EQUIPO PARA MOVIMIENTO DE CARGA (GRUAS O TRANSPALETAS)</t>
  </si>
  <si>
    <t xml:space="preserve">LARA SOTO </t>
  </si>
  <si>
    <t>INES</t>
  </si>
  <si>
    <t>15957212-9</t>
  </si>
  <si>
    <t>TUNEL 1</t>
  </si>
  <si>
    <t>SEMANA 11</t>
  </si>
  <si>
    <t>NC-32-22</t>
  </si>
  <si>
    <t>PATRICIO PALACIOS</t>
  </si>
  <si>
    <t>Brazo</t>
  </si>
  <si>
    <t>TRABAJADORA HACIENDO ASEO SUFRE CAÍDA GOLPEÁNDOSE EL BRAZO DERECHO  EN SECTOR NO HABILITADO</t>
  </si>
  <si>
    <t>APOYO (DALIA)</t>
  </si>
  <si>
    <t xml:space="preserve">BRAVO CABRERA </t>
  </si>
  <si>
    <t>7909217-7</t>
  </si>
  <si>
    <t xml:space="preserve">EVICERADO DE POLLO </t>
  </si>
  <si>
    <t xml:space="preserve">TRABAJADOR REALIZANDO LIMPIEZA EN EL SUELO SIENTE QUE LE CAE ALGO EN EL BRAZO DERECHO GOLPEANO EL CODO </t>
  </si>
  <si>
    <t xml:space="preserve">PERALTA BARRAZA </t>
  </si>
  <si>
    <t xml:space="preserve">RICARDO </t>
  </si>
  <si>
    <t>10366551-5</t>
  </si>
  <si>
    <t>DROP POINT</t>
  </si>
  <si>
    <t>MARCOS QUINTANILLA</t>
  </si>
  <si>
    <t>TRABAJADOR SE GOLPEA EL PIE DERECHO CON UN PALLET CON PRODUCTO CUANDO REALIZADA ENZUNCHADO</t>
  </si>
  <si>
    <t>WLADIMIR CALDERON</t>
  </si>
  <si>
    <t>HORMAZABAL CARRASCO</t>
  </si>
  <si>
    <t>YEISON MAURICIO</t>
  </si>
  <si>
    <t>20871928-9</t>
  </si>
  <si>
    <t>SEMANA 12</t>
  </si>
  <si>
    <t>TRABAJADOR EL SACAR AVE DE LA JAULA, ESTA COMIENZA A ALETEAR Y PRODUCE ENTRADAS DE PARTICULAR AL OJO DERECHO, NO SE ENCONTRABA CON SU EPP</t>
  </si>
  <si>
    <t xml:space="preserve">AUGUSTIN </t>
  </si>
  <si>
    <t>ISMONDE</t>
  </si>
  <si>
    <t>26267411-8</t>
  </si>
  <si>
    <t xml:space="preserve">TRABAJADOR AL SACAR UNA CAJA PLÁSTICA CON UNA SOLA MANO ESTA SE CAE Y GOLPEA LA CEJA IZQUIERDA </t>
  </si>
  <si>
    <t xml:space="preserve">TRUJILLO ELGUETA </t>
  </si>
  <si>
    <t xml:space="preserve">KEVYN </t>
  </si>
  <si>
    <t>18346564-3</t>
  </si>
  <si>
    <t>DESAGUE</t>
  </si>
  <si>
    <t>ELECTRICO</t>
  </si>
  <si>
    <t>PATIO DECOMISO</t>
  </si>
  <si>
    <t>DOMINGO</t>
  </si>
  <si>
    <t>DAVID ROJAS</t>
  </si>
  <si>
    <t>Pelvis</t>
  </si>
  <si>
    <t>TRABAJADOR AL ESTAR REALIZADO UN CAMBIO DE MOTOR SE CAE EN EL DESAGÜE, GOLPEANDO SU CADERA EN EL SECTOR DERECHO, ESTO PORQUE EL DESAGÜE SE ENCONTRABA SIN SU TAPA DE PROTECCIÓN</t>
  </si>
  <si>
    <t xml:space="preserve">GUAJARDO VERA </t>
  </si>
  <si>
    <t xml:space="preserve">SEBASTIAN </t>
  </si>
  <si>
    <t>19211824-7</t>
  </si>
  <si>
    <t xml:space="preserve">MECANICO </t>
  </si>
  <si>
    <t>MOTOR</t>
  </si>
  <si>
    <t>SEMANA 13</t>
  </si>
  <si>
    <t xml:space="preserve">DANIEL GONZALEZ </t>
  </si>
  <si>
    <t xml:space="preserve">TRABAJADOR AL ESTAR MONTADO DE PIÑONES MOTRICES SE PRODUCE UNA HERIDA EN EL DEDO MEDIO DERECHO CON EL CHAVETERO DEL EJE </t>
  </si>
  <si>
    <t xml:space="preserve"> HORMAZABAL CARRASCO </t>
  </si>
  <si>
    <t xml:space="preserve">PLATAFORMA DE APILADO MANUAL </t>
  </si>
  <si>
    <t>NC-37-22</t>
  </si>
  <si>
    <t xml:space="preserve"> TRABAJADOR RESBALA AL ESTAR APILANDO BANDEJAS VACÍAS DOBLÁNDOSE EL TOBILLO DERECHO </t>
  </si>
  <si>
    <t xml:space="preserve">ABRIL </t>
  </si>
  <si>
    <t xml:space="preserve">FUENZALIDA ARMIJO </t>
  </si>
  <si>
    <t>CATALINA ESPERANZA</t>
  </si>
  <si>
    <t>18777735-6</t>
  </si>
  <si>
    <t>NC-50-22</t>
  </si>
  <si>
    <t>TRABAJADOR LA LÍNEA DE TROZADO DE POLLO SE PASO A LLEVAR EL DEDO ÍNDICE MANO DERECHA CON EL CUCHILLO, QUE SE CONSIGUIÓ CON UN COMPAÑERO EN ESE MOMENTO NO LLEVABA GUANTE DE ACERO</t>
  </si>
  <si>
    <t xml:space="preserve">SANTIS TAPIA </t>
  </si>
  <si>
    <t>SERGIO</t>
  </si>
  <si>
    <t>10456578-6</t>
  </si>
  <si>
    <t>TUNEL 4</t>
  </si>
  <si>
    <t>SEMANA 15</t>
  </si>
  <si>
    <t>FRANCO VIDAL</t>
  </si>
  <si>
    <t>TRABAJADOR AL CORRER LA PUERTA DEL TÚNEL N°4, EL TOME PLÁSTICO DE LA PUERTA SALE EXPULSADO Y GOLPEA EN EL OJO IZQUIERDO</t>
  </si>
  <si>
    <t>SOTO GOMEZ</t>
  </si>
  <si>
    <t xml:space="preserve">JULIO </t>
  </si>
  <si>
    <t>9566653-1</t>
  </si>
  <si>
    <t>SALA DE MAQUINA</t>
  </si>
  <si>
    <t>NC-51-22</t>
  </si>
  <si>
    <t>SERGIO LETELIER</t>
  </si>
  <si>
    <t>TRABAJADOR ENGRASANDO MAQUINA EN ALTURA RESBALA CAYÉNDOSE Y GOLPEÁNDOSE SU RODILLA IZQUIERDA</t>
  </si>
  <si>
    <t>CORTEZ ARMIJO</t>
  </si>
  <si>
    <t>15623593-1</t>
  </si>
  <si>
    <t>DESPACHO</t>
  </si>
  <si>
    <t>ESTACIONAMIENTO</t>
  </si>
  <si>
    <t>MAURICIO HERNANDEZ</t>
  </si>
  <si>
    <t>Torsión</t>
  </si>
  <si>
    <t xml:space="preserve"> TRABAJADOR AL BAJAR DEL VEHÍCULO SE DOBLA EL PIE IZQUIERDO </t>
  </si>
  <si>
    <t>LGF 4</t>
  </si>
  <si>
    <t>PASILLO 3</t>
  </si>
  <si>
    <t>SEMANA 16</t>
  </si>
  <si>
    <t>NC-52-22</t>
  </si>
  <si>
    <t>Espalda</t>
  </si>
  <si>
    <t xml:space="preserve">TRABAJADOR AL ESTAR CAMINANDO POR EL PASILLO 3 ES GOLPEAGO POR UN MOVILIZADOR, LO QUE HACE QUE SE GOPEE LA ESPALDA CON UN BINS </t>
  </si>
  <si>
    <t>GONZALES CALLEJAS</t>
  </si>
  <si>
    <t>27414262-6</t>
  </si>
  <si>
    <t>Contacto con sustancias toxicas</t>
  </si>
  <si>
    <t xml:space="preserve"> TRABAJADORA MEZCLADO AGUA CON CLORO PARA LAVAR POLLO LE SALTO UNAS GOTAS DE CLORO AL OJO</t>
  </si>
  <si>
    <t>CARRASCO ARMIJO</t>
  </si>
  <si>
    <t>CRISTIAN</t>
  </si>
  <si>
    <t>19557542-8</t>
  </si>
  <si>
    <t>CALIDAD</t>
  </si>
  <si>
    <t>CAMARINES HOMBRES</t>
  </si>
  <si>
    <t>SEMANA 17</t>
  </si>
  <si>
    <t>JAIME JORQUERA</t>
  </si>
  <si>
    <t>SOLEDAD CARRASCO</t>
  </si>
  <si>
    <t>TRABAJADOR AL ESTAR DEJANDO SU ROPA EN EL ZIPPER SE ENGANCHA UNA UÑA PRODUCIENDO LACERACION PARCIAL</t>
  </si>
  <si>
    <t>MERVIL ELVEUS</t>
  </si>
  <si>
    <t>ISLANDE</t>
  </si>
  <si>
    <t>26316678-7</t>
  </si>
  <si>
    <t xml:space="preserve">TRABAJADOR AL ESTAR RECOGIENDO RESTOS CARNICOS, SE GOLPEA ZONA TIBIAL DE PIERNA DERECHA CON EQUIPO PARA MOVIMIENTO DE CARGA (GRUAS O TRANSPALETAS) </t>
  </si>
  <si>
    <t>MUÑOZ VALENZUELA</t>
  </si>
  <si>
    <t xml:space="preserve">JOSE </t>
  </si>
  <si>
    <t>14177893-5</t>
  </si>
  <si>
    <t>ARIEL LOBOS</t>
  </si>
  <si>
    <t xml:space="preserve">TRABAJADOR A TOMAR LA MANILLA DA PUERTA DESDE LA CADENA, ESTA SE SALE DE SU POSICION GOLPEANDOLO EN SU NARIZ </t>
  </si>
  <si>
    <t xml:space="preserve">SAAVEDRA TOBAR </t>
  </si>
  <si>
    <t>17306224-9</t>
  </si>
  <si>
    <t>NC-53-22</t>
  </si>
  <si>
    <t>Cabeza</t>
  </si>
  <si>
    <t xml:space="preserve">TRABAJADOR RESBALA CON HIELO QUE SE FORMA EN EL SUELO Y SE GOLPEA ZONA OCCIPITAL DE LA CABEZA </t>
  </si>
  <si>
    <t>MAYO</t>
  </si>
  <si>
    <t xml:space="preserve">AROS DUREAUX </t>
  </si>
  <si>
    <t xml:space="preserve"> ALAN FABIAN</t>
  </si>
  <si>
    <t>16873113-2</t>
  </si>
  <si>
    <t>SUMINISTROS</t>
  </si>
  <si>
    <t>SEMANA 18</t>
  </si>
  <si>
    <t xml:space="preserve"> </t>
  </si>
  <si>
    <t xml:space="preserve"> TRABAJADOR TROPIEZA, EN SALA DE MAQUINA CAÍDA DEL MISMO NIVEL CON GOLPE EN SU BRAZO IZQUIERDO CON HERIDA UÑA DEDO MEDIO Y HERIDA LEVE EN SU DEDO ANULAR IZQUIERDO</t>
  </si>
  <si>
    <t xml:space="preserve">FIGUEROA MONSALVE </t>
  </si>
  <si>
    <t>SORAYA ANDREA</t>
  </si>
  <si>
    <t>26607646-0</t>
  </si>
  <si>
    <t>Otro</t>
  </si>
  <si>
    <t>TRABAJADORA TRASLADANDO BANDEJAS CON PRODUCTO HACIA EL PALLET, TROPIEZA CON UNA EQUIPO PARA MOVIMIENTO DE CARGA (GRUAS O TRANSPALETAS) QUE SE ENCONTRABA EN UNA POSICIÓN NO ADECUADA, HACIÉNDOLA CAER Y SE GOLPEA TREN INFERIOR</t>
  </si>
  <si>
    <t xml:space="preserve">OLGUIN GONZALEZ </t>
  </si>
  <si>
    <t>OSCAR HERNAN</t>
  </si>
  <si>
    <t>13558567-K</t>
  </si>
  <si>
    <t>PROCESOS POSTERIORES</t>
  </si>
  <si>
    <t>SALA DE SKAQUINN</t>
  </si>
  <si>
    <t>FRANCISCO SANCHEZ</t>
  </si>
  <si>
    <t>TRABAJADOR CUANDO AMARRABA LAS LÁMINAS, GIRAR EN SU MISMO EJE DE IZQUIERDA A DERECHA SE GOLPEA SU LABIO SUPERIOR CON UN FIERRO ESTÁTICO EN LA SALA DE SKAQUINN</t>
  </si>
  <si>
    <t xml:space="preserve"> COLINA PARDO </t>
  </si>
  <si>
    <t xml:space="preserve"> ISABEL MARGARITA</t>
  </si>
  <si>
    <t>16615461-8</t>
  </si>
  <si>
    <t>LINEA PROLIJADO</t>
  </si>
  <si>
    <t>SEMANA 19</t>
  </si>
  <si>
    <t xml:space="preserve">TRABAJADORA SUFRE CAÍDA, EN EL ÁREA DE DESHUESADO, LO QUE CONTUSIÓN EN RODILLA IZQUIERDA POR EL PISO RESBALADIZO </t>
  </si>
  <si>
    <t xml:space="preserve"> MONTERREY CALDERON</t>
  </si>
  <si>
    <t>JUAN VICENTE</t>
  </si>
  <si>
    <t xml:space="preserve"> 26193561-9</t>
  </si>
  <si>
    <t>EVICERADO DE PAVO</t>
  </si>
  <si>
    <t xml:space="preserve">EVICERADO DE PAVO </t>
  </si>
  <si>
    <t>NC-54-22</t>
  </si>
  <si>
    <t xml:space="preserve">TRABAJADOR AL ESTAR EN SU PUESTO DE TRABAJO SUFRE SALPICADURA DE LÍQUIDO EN SU OJO DERECHO </t>
  </si>
  <si>
    <t>CATALAN ALCAINO</t>
  </si>
  <si>
    <t>ANDREW</t>
  </si>
  <si>
    <t>21173568-6</t>
  </si>
  <si>
    <t>EMPAQUE DE TUNEL</t>
  </si>
  <si>
    <t>NC-55-22</t>
  </si>
  <si>
    <t xml:space="preserve"> TRABAJADOR SE APLASTA EL DEDO ANULAR DERECHO AL DEJAR EL BLOQUE </t>
  </si>
  <si>
    <t>LOYOLA MORALES</t>
  </si>
  <si>
    <t>MARIO</t>
  </si>
  <si>
    <t>14136576-2</t>
  </si>
  <si>
    <t>PASILLO TROZADO AUTOMATICO</t>
  </si>
  <si>
    <t>TRABAJADOR VOLVIENDO A SU PUESTO DE TRABAJO RESBALA Y SE GOLPEA COXIS</t>
  </si>
  <si>
    <t xml:space="preserve">MAULEN MAULEN </t>
  </si>
  <si>
    <t xml:space="preserve">ALDO </t>
  </si>
  <si>
    <t>20136430-2</t>
  </si>
  <si>
    <t>SALA IQF</t>
  </si>
  <si>
    <t>NC-49-22</t>
  </si>
  <si>
    <t>TRABAJADOR SUFRE CONTUSIÓN EN REGIÓN TESTICULAR, CUANDO COMPAÑERO DE TRABAJO LO GOLPEA ACCIDENTALMENTE CON UN BINS VACÍO, LAS BANDEJAS QUE EL MANIPULABA CAUSARON LA LESIÓN</t>
  </si>
  <si>
    <t xml:space="preserve">ALARCON RIQUELME </t>
  </si>
  <si>
    <t>GERMAN</t>
  </si>
  <si>
    <t>20871156-3</t>
  </si>
  <si>
    <t>CAMARA 305</t>
  </si>
  <si>
    <t xml:space="preserve">AL SACAR CAJA QUE SE ENCONTRABA MAL POSICIONADA DESDE EL PALLET, SE CAE Y GOLPEA SU DEDO INDICE DERECHO </t>
  </si>
  <si>
    <t>OBREGON PLAZA</t>
  </si>
  <si>
    <t>ANDREA</t>
  </si>
  <si>
    <t>15866994-3</t>
  </si>
  <si>
    <t xml:space="preserve"> REFIERE GOLPE EN RODILLA IZQUIERDA SIN LESIONES VISIBLES QUE SE PROVOCA, AL ESTAR EN LA LÍNEA GOLPEA CON LA ESTRUCTURA Y HOY REFIERE DOLENCIA EN PIERNA IZQ. SIN LESIÓN VISIBLE</t>
  </si>
  <si>
    <t>MIRANDA GOMEZ</t>
  </si>
  <si>
    <t>JOSELIN</t>
  </si>
  <si>
    <t>18487450-4</t>
  </si>
  <si>
    <t xml:space="preserve">FRIGORIFICO </t>
  </si>
  <si>
    <t xml:space="preserve">PASILLO PRINCIPAL </t>
  </si>
  <si>
    <t xml:space="preserve"> SUFRE CAÍDA A NIVEL CON TORSIÓN DE TOBILLO DERECHO, AL SALIR DEL CAMARÍN EN EL PASILLO PRINCIPAL</t>
  </si>
  <si>
    <t>SEMANA 20</t>
  </si>
  <si>
    <t xml:space="preserve">TRABAJADOR REFIERE PROYECCIÓN DE ÁCIDO PERACÉTICO EN OJO DERECHO, AL ESTAR CERRANDO UN BINS </t>
  </si>
  <si>
    <t xml:space="preserve">SILVA CARREÑO </t>
  </si>
  <si>
    <t>CARLOS</t>
  </si>
  <si>
    <t>17578495-0</t>
  </si>
  <si>
    <t>PASILLO COSTADO IQF 4</t>
  </si>
  <si>
    <t>Multiples</t>
  </si>
  <si>
    <t>TRABAJADOR IBA CAMINANDO HACIA OFICINA DE TROZADO DE POLLO Y RESBALA EN EL PASILLO, EL CUAL TIENE HIELO Y PROVOCÓ LA CAÍDA</t>
  </si>
  <si>
    <t>TRONCOSO CACERES</t>
  </si>
  <si>
    <t xml:space="preserve">CAROL </t>
  </si>
  <si>
    <t>16291541-K</t>
  </si>
  <si>
    <t>CASINO</t>
  </si>
  <si>
    <t>SEMANA 21</t>
  </si>
  <si>
    <t>NC-57-22</t>
  </si>
  <si>
    <t>JORGE MEZA</t>
  </si>
  <si>
    <t>TRABAJADORA SALIENDO DE COLACIÓN, QUERIENDO SACAR ALCOHOL GEL, NO ALCANZO EL DISPENSADOR Y SU MANO PASO DE LARGO GOLPEÁNDOSE CON EL BORDE DE LA PUERTA</t>
  </si>
  <si>
    <t>EDITH</t>
  </si>
  <si>
    <t>16670482-0</t>
  </si>
  <si>
    <t>CHILLER DE AGUA N°2</t>
  </si>
  <si>
    <t>Atrición</t>
  </si>
  <si>
    <t xml:space="preserve">SUFRE ATRICIÓN DE ANTEBRAZO DERECHO MIENTRAS REALIZABA LIMPIEZA DE CHILLER DE AGUA, PRESIONANDO LA PARTE AFECTADA CON EL BORDE DEL CHILLER Y LA ASPA QUE SE ENCONTRABA EN MOVIMIENTO. </t>
  </si>
  <si>
    <t>CACERES JEREZ</t>
  </si>
  <si>
    <t>20137719-6</t>
  </si>
  <si>
    <t>BODEGA</t>
  </si>
  <si>
    <t xml:space="preserve">BODEGA DE INSUMOS </t>
  </si>
  <si>
    <t>BODEGA 3</t>
  </si>
  <si>
    <t>SEMANA 22</t>
  </si>
  <si>
    <t>NC-59-22</t>
  </si>
  <si>
    <t xml:space="preserve">BORIS PONCE </t>
  </si>
  <si>
    <t>VICTORIA MILLARES</t>
  </si>
  <si>
    <t xml:space="preserve"> TRABAJADOR AL TRATAR DE GIRAR EN PALLET, PIERDE EL EQUILIBRIO LO QUE LE PROVOCA UNA CAÍDA Y SUFRE TORSIÓN Y GOLPE EN SU DEDO ÍNDICE </t>
  </si>
  <si>
    <t xml:space="preserve"> CARRASCO CACERES</t>
  </si>
  <si>
    <t>VICTOR ALFONSO</t>
  </si>
  <si>
    <t>16985231-6</t>
  </si>
  <si>
    <t>PASILLO IQF 4</t>
  </si>
  <si>
    <t>NC-63-22</t>
  </si>
  <si>
    <t xml:space="preserve">TRABAJADOR CAMINABA HACIA LA OFICINA DE TROZADO DE POLLO A BUSCAR ETIQUETAS Y RESBALA POR EL HIELO EN EL PASILLO DEL IQF 4, GOLPEÁNDOSE LA ESPALDA POR EL LADO DERECHO </t>
  </si>
  <si>
    <t xml:space="preserve"> SALGADO SILVA</t>
  </si>
  <si>
    <t>JOSE AGUSTIN</t>
  </si>
  <si>
    <t>15355520-6</t>
  </si>
  <si>
    <t>LGF 7</t>
  </si>
  <si>
    <t>EVISCERADO POLLOS</t>
  </si>
  <si>
    <t>ESCALDADORA DE PATA DE POLLO</t>
  </si>
  <si>
    <t>PELADORA DE GARRAS</t>
  </si>
  <si>
    <t>SEMANA 23</t>
  </si>
  <si>
    <t>NC-68-23</t>
  </si>
  <si>
    <t xml:space="preserve"> TRABAJADOR SUFRE HERIDA CORTANTE EN SU DEDO PULGAR IZQUIERDO, CUANDO ABRIÓ LA TAPA DE LA PELADERA DE GARRAS PARA REVISAR LA CORREA Y EVITAR QUE ESTA SE APAGARA</t>
  </si>
  <si>
    <t xml:space="preserve"> TORO OROZCO</t>
  </si>
  <si>
    <t>GIANINA DEL CARMEN</t>
  </si>
  <si>
    <t xml:space="preserve"> 17518601-8</t>
  </si>
  <si>
    <t>LGF 5</t>
  </si>
  <si>
    <t>IQF</t>
  </si>
  <si>
    <t>Exposicion a humo y gases</t>
  </si>
  <si>
    <t xml:space="preserve"> TRABAJADORA REFIERE MOLESTIAS RESPIRATORIAS POR EXPOSICIÓN A QUÍMICOS EN EL AMBIENTE MIENTRAS REALIZADA SUS LABORES EN SALA DE IQF</t>
  </si>
  <si>
    <t xml:space="preserve"> NAVARRO GONZALEZ</t>
  </si>
  <si>
    <t>XIMENA ANDREA</t>
  </si>
  <si>
    <t xml:space="preserve"> 16266713-0</t>
  </si>
  <si>
    <t xml:space="preserve"> TRABAJADORA REFIERE MOLESTIAS RESPIRATORIAS POR EXPOSICIÓN A QUÍMICOS EN EL AMBIENTE MIENTRAS REALIZADA SUS LABORES EN SALA DE ISHIDA</t>
  </si>
  <si>
    <t xml:space="preserve"> MANZO FUENTES</t>
  </si>
  <si>
    <t>BESSIE SORAYA</t>
  </si>
  <si>
    <t xml:space="preserve"> 11228319-6</t>
  </si>
  <si>
    <t>JAQUELINE PAVEZ</t>
  </si>
  <si>
    <t xml:space="preserve"> TRABAJADORA EN LÍNEA DE TROZADO DE PAVO, SUFRE LA PROYECCIÓN DE PARTÍCULAS LLEGANDO A SU OJO DERECHO, PROVOCANDO UNA PEQUEÑA IRRITACIÓN </t>
  </si>
  <si>
    <t xml:space="preserve"> PEREZ MUNOZ</t>
  </si>
  <si>
    <t>GUILLERMO ORLANDO</t>
  </si>
  <si>
    <t xml:space="preserve"> 11697702-8</t>
  </si>
  <si>
    <t>SALA EVICERADO</t>
  </si>
  <si>
    <t xml:space="preserve"> TRABAJADOR ESTANDO EN UNA TARIMA DE AGACHA A RECOGER UNA BANDEJA, PIERDE EL EQUILIBRIO Y SUFRE UNA CAÍDA DE DISTINTO NIVEL, GOLPEANDO SU PIERNA Y BAZO </t>
  </si>
  <si>
    <t xml:space="preserve"> CAMPOS CHAPARRO</t>
  </si>
  <si>
    <t>MAXIMO ALEXIS</t>
  </si>
  <si>
    <t xml:space="preserve"> 13900492-2</t>
  </si>
  <si>
    <t xml:space="preserve"> TRABAJADOR AL ESTAR RECOGIENDO UNA BOBINA DE FILM ESTA SE RESBALA Y GOLPEA SU DEDO MEDIO DE LA MANO IZQUIERDA </t>
  </si>
  <si>
    <t>HERNAN TOMAS</t>
  </si>
  <si>
    <t xml:space="preserve"> 19923996-1</t>
  </si>
  <si>
    <t>LGF2</t>
  </si>
  <si>
    <t>EVISCERADO</t>
  </si>
  <si>
    <t xml:space="preserve">MAQUINA BUCHERA </t>
  </si>
  <si>
    <t>SEMANA 24</t>
  </si>
  <si>
    <t xml:space="preserve"> TRABAJADOR AL ESTAR HACIENDO ASEO EN MAQUINA BUCHERA DE EVISCERADO DE POLLO, CUANDO UN CUERPO ENGANCHA LA CAPA ARRASTRANDO SU MANO Y ATRAPÁNDOLE LA MUÑECA DERECHA EN EL PILAR DE LA MAQUINA </t>
  </si>
  <si>
    <t>QUINONES CAMPOS</t>
  </si>
  <si>
    <t>TANIA SHATILA</t>
  </si>
  <si>
    <t>15357030-2</t>
  </si>
  <si>
    <t>CAMARA</t>
  </si>
  <si>
    <t>SALA DESPACHO FIGRORIFICO</t>
  </si>
  <si>
    <t>NC-70-22</t>
  </si>
  <si>
    <t>TRABAJADORA, AL ESTAR LIMPIANDO MUEBLE EN LA SALA DE DESPACHO DE FRIGORÍFICO, SE RESBALA Y SE GOLPEA EN SU ROSTRO, CODO DERECHO Y ZONA LUMBAR</t>
  </si>
  <si>
    <t xml:space="preserve"> RIVAS GALARCE</t>
  </si>
  <si>
    <t>FRANCISCO JAVIER</t>
  </si>
  <si>
    <t xml:space="preserve"> 15884378-1</t>
  </si>
  <si>
    <t xml:space="preserve"> TRABAJADOR AL ESTAR SACANDO EL CAPACHO ATASCADO PARA VACIARLO, EJERCIÓ MUCHA FUERZA Y ESTE GOLPEO SU NARIZ, HACIENDO UN PEQUEÑO CORTE. </t>
  </si>
  <si>
    <t xml:space="preserve"> VARGAS ROJAS</t>
  </si>
  <si>
    <t>TOMAS ALFREDO</t>
  </si>
  <si>
    <t xml:space="preserve"> 21171568-5</t>
  </si>
  <si>
    <t>SUPER CONTACT</t>
  </si>
  <si>
    <t xml:space="preserve"> TRABAJADOR AL ESTAR DESARMANDO EL SUPER CONTACT, PARA DEJAR DE OCUPARLO. SACA EL RODILLO Y LO DEJA EN UN SOPORTE, QUEDA MAL PUESTO Y LE CAE EN LOS DEDOS </t>
  </si>
  <si>
    <t>RIVEROS RIVEROS</t>
  </si>
  <si>
    <t>FRANCISCO ADRIAN</t>
  </si>
  <si>
    <t>17986835-0</t>
  </si>
  <si>
    <t>IQF 4</t>
  </si>
  <si>
    <t xml:space="preserve">TRABAJADOR SUFRE GOLPE EN SU MANO DERECHA CON BINS, EMPUJADO POR TRANSPALETA ELÉCTRICA, CUANDO BAJABA BINS DEL VOLTEADOR </t>
  </si>
  <si>
    <t xml:space="preserve"> NUNEZ MENA</t>
  </si>
  <si>
    <t>FRANCISCO IGNACIO</t>
  </si>
  <si>
    <t xml:space="preserve"> 19421104-K</t>
  </si>
  <si>
    <t>PERSONAL</t>
  </si>
  <si>
    <t>PALETIZADO</t>
  </si>
  <si>
    <t>BAÑO</t>
  </si>
  <si>
    <t xml:space="preserve"> TRABAJADOR EL PEDIR EL ZIPER SE CORTA LA UÑA DEL DEDO ÍNDICE DE LA MANO DERECHA CON LA ARGOLLA </t>
  </si>
  <si>
    <t xml:space="preserve"> FUENTES ARENAS</t>
  </si>
  <si>
    <t>MAURICIO IGNACIO</t>
  </si>
  <si>
    <t xml:space="preserve"> 18061498-2</t>
  </si>
  <si>
    <t>TROZADO AUTOMATICO</t>
  </si>
  <si>
    <t>SEMANA 26</t>
  </si>
  <si>
    <t xml:space="preserve">EMANUEL MELLADO </t>
  </si>
  <si>
    <t xml:space="preserve"> TRABAJADOR AL ESTAR ARMANDO EL MOTOR PASA LAS HERRAMIENTAS POR DEBAJO DE ESTE Y EL MOTOR CAE 30 CMS APROX. GOLPEANDO AMBAS MANOS, QUEDANDO AFECTADA SU MANO IZQUIERDA</t>
  </si>
  <si>
    <t xml:space="preserve"> CASTRO MARTINEZ</t>
  </si>
  <si>
    <t>MATIAS ALEJANDRO</t>
  </si>
  <si>
    <t xml:space="preserve"> 19068208-0</t>
  </si>
  <si>
    <t>MAQUINA CORTADORA DE RABADILLAS</t>
  </si>
  <si>
    <t xml:space="preserve"> TRABAJADOR AL ESTAR HACIENDO UN AJUSTE A LA MAQUINA CORTADORA DE RABADILLAS SOBRE UN PISO, ESTE SE CORRE Y AL TRATAR DE AFIRMARSE SE CORTA CON UNO DE LOS CUCHILLOS DE LA MAQUINA </t>
  </si>
  <si>
    <t xml:space="preserve"> CATALAN CASTILLO</t>
  </si>
  <si>
    <t>BENJAMIN WILLIAMS</t>
  </si>
  <si>
    <t xml:space="preserve"> 14312051-1</t>
  </si>
  <si>
    <t>OPERARIO MAQUINA</t>
  </si>
  <si>
    <t>SEMENA 26</t>
  </si>
  <si>
    <t xml:space="preserve">EDGAR HERNANDEZ </t>
  </si>
  <si>
    <t xml:space="preserve"> TRABAJADOR SUFRE ATRICIÓN DE DEDO ANULAR IZQUIERDO CON TRANSPALETA EN MAL ESTADO, OPERADA POR COMPAÑERO DE TRABAJO</t>
  </si>
  <si>
    <t xml:space="preserve"> QUINTANILLA REYES</t>
  </si>
  <si>
    <t>ESTEBAN ALEJANDRO</t>
  </si>
  <si>
    <t xml:space="preserve"> 20123998-2</t>
  </si>
  <si>
    <t>MONITOR</t>
  </si>
  <si>
    <t>CONGELADOR IQF 1</t>
  </si>
  <si>
    <t xml:space="preserve"> EL TRABAJADOR AL ESTAR REVISANDO LA CINTA DEL CONGELADOR SE ENTIERRA UNA ESQUIRLA METÁLICA EN EL DEDO MEÑIQUE DE LA MANO DERECHA </t>
  </si>
  <si>
    <t>JULIO</t>
  </si>
  <si>
    <t>COLINA PARDO</t>
  </si>
  <si>
    <t>ISABEL MARGARITA</t>
  </si>
  <si>
    <t xml:space="preserve"> 16615461-8</t>
  </si>
  <si>
    <t xml:space="preserve"> TRABAJADOR SUFRE CAÍDA DEL MISMO NIVEL, AL RESBALAR CAYENDO AL SUELO CON GOLPE EN SU CABEZA , CARA OCCIPITAL</t>
  </si>
  <si>
    <t>ARMIJO CORDERO</t>
  </si>
  <si>
    <t>FRANCISCO EDUARDO</t>
  </si>
  <si>
    <t>7885635-1</t>
  </si>
  <si>
    <t>SEMANA 27</t>
  </si>
  <si>
    <t>TRABAJADOR SUFRE ROTURA DE PRÓTESIS DENTAL, AL COMER EN CASINO DE EMPRESA</t>
  </si>
  <si>
    <t>ERAZO BARTUCEVIC</t>
  </si>
  <si>
    <t>ELIZABETH DEL PILAR</t>
  </si>
  <si>
    <t xml:space="preserve"> 9635745-1</t>
  </si>
  <si>
    <t>LINEA IQF</t>
  </si>
  <si>
    <t xml:space="preserve">PASILLO IQF </t>
  </si>
  <si>
    <t>NC-78-22</t>
  </si>
  <si>
    <t xml:space="preserve"> TRABAJADOR AL CAMINAR POR EL PASILLO DEL IQF PISA UNA ALA MEDIA Y SUFRE UNA CAÍDA AL MISMO NIVEL </t>
  </si>
  <si>
    <t>CUEVAS VIDAL</t>
  </si>
  <si>
    <t>VICTOR MANUEL</t>
  </si>
  <si>
    <t xml:space="preserve">FILTRO SANITARIO </t>
  </si>
  <si>
    <t xml:space="preserve"> EL TRABAJADOR SALIR POR EL FILTRO SANITARIO GIRA Y SE DOBLA LA RODILLA </t>
  </si>
  <si>
    <t>VERGARA MILLALONCO</t>
  </si>
  <si>
    <t>ESTRELLA DEL CARMEN</t>
  </si>
  <si>
    <t xml:space="preserve"> 10716133-3</t>
  </si>
  <si>
    <t>TRABAJADORA REFIERE DOLOR EN EL HOMBRO DERECHO, UN TIRÓN AL REALIZAR MAL UN MOVIMIENTO CUANDO ESTABA RECOGIENDO PRODUCTO DEL PISO</t>
  </si>
  <si>
    <t>GALLEGUILLOS GAETE</t>
  </si>
  <si>
    <t>GILLIAN ANTONELLA</t>
  </si>
  <si>
    <t xml:space="preserve"> 21173854-5</t>
  </si>
  <si>
    <t>LINEA IQF 4</t>
  </si>
  <si>
    <t>NC-75-22</t>
  </si>
  <si>
    <t>TRABAJADORA AL TRATAR DE DISMINUIR LA CAÍDA DE LA TAPA DEL CAPACHO SE GOLPEA LA MANO DERECHA CON SOPORTE TECNIL (ESTRUCTURA METÁLICA)</t>
  </si>
  <si>
    <t xml:space="preserve"> LEANDRE </t>
  </si>
  <si>
    <t xml:space="preserve"> MARIE DAYANA</t>
  </si>
  <si>
    <t xml:space="preserve"> 25613814-K</t>
  </si>
  <si>
    <t>NC-79-22</t>
  </si>
  <si>
    <t xml:space="preserve"> TRABAJADORA SUFRE CAÍDA MISMO NIVEL AL SER PASADA A LLEVAR POR EQUIPO PARA MOVIMIENTO DE CARGA (GRUAS O TRANSPALETAS), AL ESTAR TRABAJADO EN LA LÍNEA </t>
  </si>
  <si>
    <t xml:space="preserve"> CACERES CONTRERAS</t>
  </si>
  <si>
    <t>DAMIAN ESTEBAN</t>
  </si>
  <si>
    <t xml:space="preserve"> 20712243-2</t>
  </si>
  <si>
    <t xml:space="preserve"> TRABAJADOR AL ESTAR CAMBIÁNDOSE DE ROPA PARA INGRESAR AL TURNO, SUFRE UN TIRÓN EN LA ZONA DORSAL LUMBAR</t>
  </si>
  <si>
    <t xml:space="preserve"> ESPINOZA PADILLA</t>
  </si>
  <si>
    <t>PAULINA ANDREA</t>
  </si>
  <si>
    <t xml:space="preserve"> 17133880-8</t>
  </si>
  <si>
    <t>SELLADORA</t>
  </si>
  <si>
    <t>SEMANA 28</t>
  </si>
  <si>
    <t xml:space="preserve">TRABAJADORA SUFRE ATRAPAMIENTO DE SUS DEDOS MEDIO Y ANULAR CON LA MAQUINA SELLADORA AL ACOMODAR UN BOLSA, Y LA MAQUINA BAJA DE FORMA BRUSCA </t>
  </si>
  <si>
    <t>VIDAL VERA</t>
  </si>
  <si>
    <t>ALEXANDRA</t>
  </si>
  <si>
    <t>20237738-2</t>
  </si>
  <si>
    <t xml:space="preserve"> TRABAJADORA SUFRE GOLPE EN SU PIERNA DERECHA CON EQUIPO PARA MOVIMIENTO DE CARGA (GRUAS O TRANSPALETAS) Y BINS, MIENTRAS ETIQUETABA PRODUCTO EN SU PUESTO DE TRABAJO </t>
  </si>
  <si>
    <t xml:space="preserve">SANCHEZ VEAS </t>
  </si>
  <si>
    <t>JANATHAM</t>
  </si>
  <si>
    <t>18213427-9</t>
  </si>
  <si>
    <t>MAQUINA METALQUIMIA</t>
  </si>
  <si>
    <t xml:space="preserve"> TRABAJADOR AL ESTAR CAMBIANDO UNA AGUJA DE LA MAQUINA INYECTORA, Y AL HACER FUERZA PARA RETIRARLA SUBRE UN CORTE SUPERFICIAL EN EL DEDO LA AGUJA </t>
  </si>
  <si>
    <t>CORTES SANCHEZ</t>
  </si>
  <si>
    <t>LUIS</t>
  </si>
  <si>
    <t>13237357-4</t>
  </si>
  <si>
    <t>TRABAJADOR SUBRE CORTE SUPERFICAL AL ESTAR MOVIENDO UN PALETT</t>
  </si>
  <si>
    <t>BARRIA ANTILEF</t>
  </si>
  <si>
    <t>ERWIN IVAN</t>
  </si>
  <si>
    <t>10818928-2</t>
  </si>
  <si>
    <t>COLGADO DE POLLO</t>
  </si>
  <si>
    <t>FAENA</t>
  </si>
  <si>
    <t>SEMANA 29</t>
  </si>
  <si>
    <t>NC-80-22</t>
  </si>
  <si>
    <t>TRABAJADOR REFIERE DISNEA Y DOLOR PRECORDIAL AL COLGAR POLLOS, DEBIDO AL OLOR QUE PRODUCE EL ÁCIDO PERACÉTICO QUE USAN EN LOS PRODUCTOS</t>
  </si>
  <si>
    <t>RAUDENLIN</t>
  </si>
  <si>
    <t>JOSEPH</t>
  </si>
  <si>
    <t>26927919-2</t>
  </si>
  <si>
    <t xml:space="preserve">TRABAJADOR SUFRE UNA CONTUSIÓN EN EL BRAZO IZQUIERDO CUANDO SE CAE LA PARTE SUPERIOR DEL GANCHO DE LA LÍNEA DE TROZADO AUTOMÁTICO </t>
  </si>
  <si>
    <t>CARVAJAL</t>
  </si>
  <si>
    <t>WILSO</t>
  </si>
  <si>
    <t>18477754-4</t>
  </si>
  <si>
    <t>CAMARA FRIGORIFICO</t>
  </si>
  <si>
    <t>SEMANA 30</t>
  </si>
  <si>
    <t>TRABAJADOR MIENTRAS COLOCABA FILM MIRA HACIA ARRIBA Y SIENTE QUE CAE ALGO DENTRO DE SU OJO</t>
  </si>
  <si>
    <t>GABRIELA CABEZAS</t>
  </si>
  <si>
    <t>Mancilla Vasquez</t>
  </si>
  <si>
    <t>Carolina</t>
  </si>
  <si>
    <t>14046319-1</t>
  </si>
  <si>
    <t>EMPACADOR C</t>
  </si>
  <si>
    <t xml:space="preserve">TRABAJADORA PRESENTA DOLENCIA EN HOMBRO DERECHO POR MOVIMIENTO REPETITIVO </t>
  </si>
  <si>
    <t>EPUL</t>
  </si>
  <si>
    <t>11665422-9</t>
  </si>
  <si>
    <t>SALIDA IQF 4</t>
  </si>
  <si>
    <t>TRABAJADOR VENIA MOVILIZANDO TRASPALETA Y AL SALIR  DE IQF 4 SE GOLPEA LA RUEDA CON TUBO DE SEGURIDAD QUE ESTABA SALIDO DE SU POSICION , CAYENDO DE LADO GOLPEANDO SU CODO IZQUIERDO.</t>
  </si>
  <si>
    <t xml:space="preserve">SAAVEDRA </t>
  </si>
  <si>
    <t>FRANCISCO</t>
  </si>
  <si>
    <t>16576716-0</t>
  </si>
  <si>
    <t>T. AUTOMATICO</t>
  </si>
  <si>
    <t>DEJANDO BINS EN UNA PESA, SE ACERCA A ROMANERO A RECIBIR TICKET Y AL MOMENTO DE GIRAR SE GOLPEA EN LA PARTE POSTERIOR DEL PIE DERECHO</t>
  </si>
  <si>
    <t>JARA</t>
  </si>
  <si>
    <t>10173545-1</t>
  </si>
  <si>
    <t>TRABAJADOR PRESENTA DOLENCIA EN SU HOMBRO, INDICANDO QUE SE DEBE A SU PUESTO DE TRABAJO ACTUAL QUE ES PROLIJADO DE PECHUGA.</t>
  </si>
  <si>
    <t>AGOSTO</t>
  </si>
  <si>
    <t>VERA</t>
  </si>
  <si>
    <t>ARNALDO</t>
  </si>
  <si>
    <t>14046525-9</t>
  </si>
  <si>
    <t>BUJE AGRIPADO</t>
  </si>
  <si>
    <t>SEMANO 30</t>
  </si>
  <si>
    <t>NC-82-22</t>
  </si>
  <si>
    <t xml:space="preserve">TRABAJADOR SE ENCONTRABA CAMBIADO BUJES DE MOTOR EN SALA DE TROZADO AUTOMATICO, EL TRABAJADOR AFECTADO JUNTO A UN COMPAÑERO COMIENZAN A GOLPEAR LOS BUJES YA QUE SE ENCONTRABAN AGRIPADOS POR ENDE MUY APRETADOS, MIENTRAS REALIZABAN ESA MANIOBRA UNA LLAVE QUE SE ENCONTRABA SUJEANDO LOS BUJES MIENTRAS LOS GOLPEABAN SE SOLTO GOLPEANDO SU CEJA DERECHA PRODUCIENDO UNA HERIDA CORTANTE. </t>
  </si>
  <si>
    <t xml:space="preserve"> BLANC</t>
  </si>
  <si>
    <t>MIKERSON</t>
  </si>
  <si>
    <t xml:space="preserve"> 26233294-2</t>
  </si>
  <si>
    <t>SEMANA 31</t>
  </si>
  <si>
    <t xml:space="preserve"> TRABAJADOR AL ESTAR ACOMODANDO PRODUCTO EN EL BINS SUFRE UNA HERIDA CORTANTE EN SU DEDO PULGAR IZQUIERDO CON UNA TAPA METÁLICA </t>
  </si>
  <si>
    <t xml:space="preserve">JARA PINTO </t>
  </si>
  <si>
    <t xml:space="preserve">JUAN ANGEL </t>
  </si>
  <si>
    <t xml:space="preserve"> 8574412-7</t>
  </si>
  <si>
    <t>HQ</t>
  </si>
  <si>
    <t>NC-83-22</t>
  </si>
  <si>
    <t xml:space="preserve"> TRABAJADOR AL ESTAR RECOGIENDO PRODUCTO, PIERDE EL EQUILIBRIO Y SE AFIRMA DE BANDEJA METÁLICA, QUE ESTABA ROTA Y SE PRODUCE UN CORTE PROFUNDO EN SU MANO</t>
  </si>
  <si>
    <t>MIRANDA MEDINA</t>
  </si>
  <si>
    <t>ANDRES</t>
  </si>
  <si>
    <t>9125540-5</t>
  </si>
  <si>
    <t>SEMANA 34</t>
  </si>
  <si>
    <t>NC-91-22</t>
  </si>
  <si>
    <t>TRABAJADOR SE ENCONTRABA TRASLADANDO PRODUCTO Y TROPIEZA CON BOLSA QUE SE RESBALA CON BOLSA QUE SE ENCONTRABA EN EL SUELO.</t>
  </si>
  <si>
    <t>SEPULVEDA SOTO</t>
  </si>
  <si>
    <t>NELLY</t>
  </si>
  <si>
    <t>9455533-7</t>
  </si>
  <si>
    <t>RECEPCION AVE VIVA, PAVO</t>
  </si>
  <si>
    <t>NC-92-22</t>
  </si>
  <si>
    <t>DAVID ROMO</t>
  </si>
  <si>
    <t>TRABAJADORA ESTABA ESPERANDO A SU COMPAÑERA EN LA RECPECION DE AVE VIVA, PAVO, AL GIRAR POR EL ANDEN NO SE FIJA EN DESNIVEL PISANDO EN FALSO LO QUE PRODUJO LA CAIDA OLPENADO SU BRAZO DERECHO Y COSTADO DERECHO CON LATA GUIA</t>
  </si>
  <si>
    <t>SEPTIEMBRE</t>
  </si>
  <si>
    <t>SANTIS</t>
  </si>
  <si>
    <t>GONZALO</t>
  </si>
  <si>
    <t>20137874-5</t>
  </si>
  <si>
    <t>01-092022</t>
  </si>
  <si>
    <t>SEMANA 35</t>
  </si>
  <si>
    <t>NC-111-22</t>
  </si>
  <si>
    <t>TRABAJADOR SE ENCONTRABA EN LINEA DE DESAPILADO DE JABAS Y REFIERE HABERSE EGANCHADO SU DEDO VIENDOSE AFECTADA SU UÑA EN DEDO INDICE DE MANO DERECHA</t>
  </si>
  <si>
    <t>TORO CANIULAO</t>
  </si>
  <si>
    <t xml:space="preserve"> 20464275-3</t>
  </si>
  <si>
    <t>LGF 2-LGF 7</t>
  </si>
  <si>
    <t>INYECTORA IQF 4</t>
  </si>
  <si>
    <t>18-40</t>
  </si>
  <si>
    <t>SEMANA 36</t>
  </si>
  <si>
    <t>NC-94-22</t>
  </si>
  <si>
    <t xml:space="preserve">TRABAJADOR SE ENCONTRABA OPERANO MAQUINA INYECTORA DE IQF 4, AL VER ACUMULACION DE PRODUCTO EL TRABAJADOR DECIDE ABRIR LAS PUERTAS DE LA INYECTORA PARA RETIRAR EL PRODUCTO SIN HABER DETENIDO LA MAQUINA, EN ESE MOMENTO EL TRABAJADOR SUFRE ATRICCION DE SU DEDO INDICE, AFECTANDO SU FALANJE DISTAL SUPERIOR DERECHA. </t>
  </si>
  <si>
    <t>ARAYA MOYANO</t>
  </si>
  <si>
    <t>MARIA INES</t>
  </si>
  <si>
    <t>10999607-6</t>
  </si>
  <si>
    <t>ASEO PRE OPERACIONAL</t>
  </si>
  <si>
    <t>CHILLER DE AIRE</t>
  </si>
  <si>
    <t>NC-99-22</t>
  </si>
  <si>
    <t>TRABAJADORA SE ENCONTRABA ENSEÑANDOLE A UN COMPAÑERO DE TRABAJO A REALIZAR EL ASEO PR OPERACIONAL EN SECTOR CHILLER DE AGUA, AL MOMENTO QUE SE CORTA EL AGUA DEL MEZCLADRO Y SE CORTA EL AGUA, SALIO VAPOR DE LA MANGUERA EXPLOTANDO O GOLPEANDO EL PECHO DE LA COLABORADORA.</t>
  </si>
  <si>
    <t>NATALIE</t>
  </si>
  <si>
    <t>27024170-0</t>
  </si>
  <si>
    <t>10-09-2022</t>
  </si>
  <si>
    <t>11-09-2022</t>
  </si>
  <si>
    <t>TRABAJADORA SE ENCONTRABA EN EMBOLSADORA, AL PRESIONAR CON EL PIE PARA QUE LA BOLSA DE ABRA Y PUDIESE CAER PRODUCTO GONGELADO ESTE CAE GOLPEANDO ZONA FRONTAL IZQUIERDA DE LA CABEZA</t>
  </si>
  <si>
    <t>GONZALEZ VERGARA</t>
  </si>
  <si>
    <t>VALESKA</t>
  </si>
  <si>
    <t>21168581-6</t>
  </si>
  <si>
    <t>SEMANA 37</t>
  </si>
  <si>
    <t>TRABAJADORA SE ENCONTRABA EN EMBOLSADORA, AL PRESIONAR CON EL PIE PARA QUE LA MAQUINA SE DETUVIESE SE PROYECTA PRODUCTO CONGELADO GOLPENADO SU TORAX</t>
  </si>
  <si>
    <t>NAVARRETE CARDENAS</t>
  </si>
  <si>
    <t>CATALINA DEL PILAR</t>
  </si>
  <si>
    <t>14621196-3</t>
  </si>
  <si>
    <t>SEMANA 38</t>
  </si>
  <si>
    <t>NC-100-22</t>
  </si>
  <si>
    <t>TRABAJADORA SE ENCONTRA DESEMPEÑANDOSE EN DESHUEZADO, AL MOMENTO DE IR A VACIAR LA BANDEJA CON PRODUCTO SE ENREDO SU DEDO ANULAR PRODUCTO DEL GUANTE Y LA BANDEJA LO QUE PRODUJO UNA TOSION EN LA PARTE MENCIONADA</t>
  </si>
  <si>
    <t>FEBRES PEREZ</t>
  </si>
  <si>
    <t>EUGENIO ANDRES</t>
  </si>
  <si>
    <t>15097360-0</t>
  </si>
  <si>
    <t>21-09-2022</t>
  </si>
  <si>
    <t xml:space="preserve">LGF 4 </t>
  </si>
  <si>
    <t>TRABAJADOR SE ENCONTRABA CARGADO PRODUCTO AL MONTACARGA AL PERCATARSE QUE VENIA UNA EQUIPO PARA MOVIMIENTO DE CARGA (GRUAS O TRANSPALETAS) SE HACE A UN LADO, EL OPERARIO DE ESTA TRASPALETA PIERDE EL CONTROL Y GOPEA LA TRASPALETA QUE SE ENCONTRABA A UN COSTADO DEL TRABAJADOR, ESTA TERMINA GOLPEANDO SU PIERNA DERECHA</t>
  </si>
  <si>
    <t>AHUMADA MARTINEZ</t>
  </si>
  <si>
    <t>62127724-4</t>
  </si>
  <si>
    <t>PASILLO SAG</t>
  </si>
  <si>
    <t>TRABAJADOR SE ENCONTRABA TRANSITANDO POR PASILLO SAG CUANDO SE LE CAEN LOS AUDIFONOS Y AL QUERER RECOGERLOS LOS PISA CAYENDO DE ESPALDA GOLPEANDOSE LA ESPALDA .</t>
  </si>
  <si>
    <t>OCTUBRE</t>
  </si>
  <si>
    <t>RICHARD CHARLES</t>
  </si>
  <si>
    <t>JOHN</t>
  </si>
  <si>
    <t>26235243-9</t>
  </si>
  <si>
    <t>VENTILADOR</t>
  </si>
  <si>
    <t>SEMANA 40</t>
  </si>
  <si>
    <t>NC-104-22</t>
  </si>
  <si>
    <t>TRABAJADOR SE ENCONTRABA ACOMODANDO UNA BOLSA QUE HABIA SIDO INSTALADA EN UN VENTILADOR FUNCIONANDO, ESTO SE HACIA YA QUE LOS VENTILADORES DE LA SALA NO CONTABAN CON INSTERRUPTORES INDEPENDIENTES AL MOMENTO DE ACOMODAR LA BOLSA  EL TRABAJAOR INTRODUCE SUS DEDOS POR UN ESPACIO ENTRE LA REJILLA, EN ESE MOMENTO LAS ASPAS ATRAPAN SU MANO Y CORTAN SU DEDO MEDIO Y ANULAR</t>
  </si>
  <si>
    <t>ORTEGA ESPINOZA</t>
  </si>
  <si>
    <t>DANIELA CAROLINA</t>
  </si>
  <si>
    <t>19411324-2</t>
  </si>
  <si>
    <t>INTERMEDIO</t>
  </si>
  <si>
    <t>12-10-2022</t>
  </si>
  <si>
    <t>13-10-2022</t>
  </si>
  <si>
    <t>DESHUESE PECHUGA POLLOS A</t>
  </si>
  <si>
    <t>SEMANA 41</t>
  </si>
  <si>
    <t>CONSULTA POR MOLESTIA EN REGION LATERAL DE PIERNA DERECHA PRODUCTO DE CONTUSION DEL DIA 06/10</t>
  </si>
  <si>
    <t>SAGREDO FROST</t>
  </si>
  <si>
    <t>18598241-6</t>
  </si>
  <si>
    <t>NC-112-22</t>
  </si>
  <si>
    <t>TRABAJADOR ESTABA BAJANDO DE TRANSPORTE DE LA PLANTA, AL PISAR, ESTE PISA MAL Y SE TUERCE EL PIE DERECHO A NIVEL DEL TOBILLO</t>
  </si>
  <si>
    <t>SANTIS RAMIREZ</t>
  </si>
  <si>
    <t>JANIS</t>
  </si>
  <si>
    <t>19858836-9</t>
  </si>
  <si>
    <t>14-10-2022</t>
  </si>
  <si>
    <t>SALA DE PROCEDIEMIENTOS</t>
  </si>
  <si>
    <t>N° 115-22</t>
  </si>
  <si>
    <t>TRABAJADOR AL MOMENTO DE RECOGER UN PRODUCTO DEL SUELO EN SALA DE PROCEDIMIENTOS (LINEA ISHIDA) CAE UN PRODUCTO DE LA LINEA EN LA CARA, ESPECIFICAMENTE EN EL OJO IZQUERDO, EL CUAL PRODUJO UNA IRRITACION E INCHAZON EN LA ZONA AFECTADA.</t>
  </si>
  <si>
    <t>ALAN CARRASCO</t>
  </si>
  <si>
    <t>BRAVO OSORIO</t>
  </si>
  <si>
    <t>DAMARIS</t>
  </si>
  <si>
    <t xml:space="preserve"> 18834922-6</t>
  </si>
  <si>
    <t>17-10-2022</t>
  </si>
  <si>
    <t>LINEA ENZUNCHADORA MOSCA</t>
  </si>
  <si>
    <t>SEMANA 42</t>
  </si>
  <si>
    <t xml:space="preserve">Trabajadora sufra atrición en línea de alimentación pacmac, su trabajo consta de traspasar manualmente las cajas desde la línea de alimentación hacia la línea de enzunchadora, en ese momento la trabajadora introduce dedo medio superior izquierdo de manera involuntaria en el espacio existente entre la línea y la estructura de la cinta produciéndole corte en parte del cuerpo mencionada. </t>
  </si>
  <si>
    <t>BENJAMIN CHARLOTIN</t>
  </si>
  <si>
    <t>MANITHE</t>
  </si>
  <si>
    <t>26361757-6</t>
  </si>
  <si>
    <t>T.AUTOMATICO</t>
  </si>
  <si>
    <t>N° 121-22</t>
  </si>
  <si>
    <t>JORDAN FARIAS</t>
  </si>
  <si>
    <t>ESPALDA</t>
  </si>
  <si>
    <t xml:space="preserve">AL ESTAR HACIENDO ASEO ES GOLPEADA CON UNA TRASPALETA CON BANDEJAS </t>
  </si>
  <si>
    <t>CALDERON</t>
  </si>
  <si>
    <t>JAIME</t>
  </si>
  <si>
    <t>13558440-1</t>
  </si>
  <si>
    <t>GANCHOS DE COLGADO</t>
  </si>
  <si>
    <t>TRABAJADOR REFIERE GOLPE EN HOMBRE PRODUCTO DE LA CAIDA DE UN GANCHO AL SACAR UN BINS EN SALA DE TROZADO UTOMATICO.</t>
  </si>
  <si>
    <t>NICOLAS GOMEZ</t>
  </si>
  <si>
    <t xml:space="preserve">EL PAICO </t>
  </si>
  <si>
    <t>CHARLES</t>
  </si>
  <si>
    <t>OLY</t>
  </si>
  <si>
    <t>25968215-0</t>
  </si>
  <si>
    <t>EL TRABAJADOR SE ENCONTRABA MANIPULANDO PRODUCTO EN LA LINEA DE AUTOMATICO, PRODUCTO DEL COLGADO Y TROZADO EN LINEAS AREAS LE CAE LIQUIDO EN LOS OJOS</t>
  </si>
  <si>
    <t>PEREZ AGUIRRE</t>
  </si>
  <si>
    <t xml:space="preserve">CHRISTOPHER </t>
  </si>
  <si>
    <t>18079969-9</t>
  </si>
  <si>
    <t>MULTICANCHA</t>
  </si>
  <si>
    <t>N° 122-22</t>
  </si>
  <si>
    <t>TRABAJADOR PRESENTA CONTUSION EN REGION TIBIAL DERECHA POR PATADA EN PARTIDO DE FUTBOL ORGANIZADO POR LA EMPRESA</t>
  </si>
  <si>
    <t>GONZALEZ CABELLO</t>
  </si>
  <si>
    <t>LETICIA</t>
  </si>
  <si>
    <t>17397627-5</t>
  </si>
  <si>
    <t>TRABAJADORA REFIERE CAIDA A NIVEL AL LLEVAR UNA MANGUERA LA PSA Y CAE SOBRE LAS BARRERAS DE CONTENSION GONPEANDOSE BRAZO Y MUÑECA DERECHA.</t>
  </si>
  <si>
    <t>ATABALES MORALES</t>
  </si>
  <si>
    <t>MANUEL</t>
  </si>
  <si>
    <t>15405907-5</t>
  </si>
  <si>
    <t>PASILLO CAMARA 208</t>
  </si>
  <si>
    <t xml:space="preserve">TARDE </t>
  </si>
  <si>
    <t xml:space="preserve">TRABAJADOR SUFRE TORSION DE TOBILLO DERECHO LUGO DE PISAR REJILLA QUE SE ENCONTRABA SUELTA FUERA DE CAMARA 208 AL MOVILIZAR UN BINS </t>
  </si>
  <si>
    <t>ZUÑIGA</t>
  </si>
  <si>
    <t>DAVID</t>
  </si>
  <si>
    <t>18920912-6</t>
  </si>
  <si>
    <t>LAVADO DE BANDEJAS</t>
  </si>
  <si>
    <t>ACOPIO DE BANDEJAS</t>
  </si>
  <si>
    <t xml:space="preserve">N° 123-22 </t>
  </si>
  <si>
    <t xml:space="preserve">TRABAJADOR SUFRE HERIDA CORTANTE POR LA CAIDA DE UNA BANDEJA ROTA SOBRE SU CABEZA </t>
  </si>
  <si>
    <t>BRAVO CARBRERO</t>
  </si>
  <si>
    <t xml:space="preserve">DANIEL </t>
  </si>
  <si>
    <t>ANTIGUO</t>
  </si>
  <si>
    <t>JUVES</t>
  </si>
  <si>
    <t>SEMANA 43</t>
  </si>
  <si>
    <t>AL ESTAR HACIENDO ASEO EN EVICERADO, EL TRABAJADOR RESBALA, TENIENDO UNA CONTUSION EN LA ESPALDA</t>
  </si>
  <si>
    <t xml:space="preserve">CONDICION </t>
  </si>
  <si>
    <t xml:space="preserve">CRISTINA JOHN </t>
  </si>
  <si>
    <t>MANRRIQUEZ GARCIA</t>
  </si>
  <si>
    <t>20663031-0</t>
  </si>
  <si>
    <t>CAMRA 208</t>
  </si>
  <si>
    <t>Vehículos</t>
  </si>
  <si>
    <t xml:space="preserve">EN PASILLO HACIA CAMARA 208 SE PRODUCE CHOQUE CON EQUIPO PARA MOVIMIENTO DE CARGA (GRUAS O TRANSPALETAS) Y CON LA FUERZA DEL CHOQUE SE GOLPEA CON VARANDA DE LA MQUINA </t>
  </si>
  <si>
    <t xml:space="preserve">Michelle Sanchez </t>
  </si>
  <si>
    <t>NOVIEMBRE</t>
  </si>
  <si>
    <t>CONTANZO CIFUENTES</t>
  </si>
  <si>
    <t>GERARDO</t>
  </si>
  <si>
    <t>9955135-6</t>
  </si>
  <si>
    <t>IQF 1</t>
  </si>
  <si>
    <t>SEMANA 44</t>
  </si>
  <si>
    <t>TRABAJADOR SUFRE HERIDA CORTANTE EN FRENTE AL ACOMODARSE LOS FONOS</t>
  </si>
  <si>
    <t>VERA VERA</t>
  </si>
  <si>
    <t>11231428-8</t>
  </si>
  <si>
    <t>PASILLO C</t>
  </si>
  <si>
    <t>N° 124-22</t>
  </si>
  <si>
    <t xml:space="preserve">TRABAJADOR SE ENCONTRABA DEJANDO FILM EN PASILLO C, POR UN COSTADO PASA UN MOVILIZADOR DE PP CON PALLET DE PRODUCTO FRESCO, A CAUSA DEL POCO ESPACIO EN EL PASILLO EL MOVILIZADOR GOLPEA TRANSPALTA MANUAL LA CUAL IMPACTA AL COLABORADOR EN EL TOBILLO. </t>
  </si>
  <si>
    <t xml:space="preserve"> CANTILLANA CARDENA</t>
  </si>
  <si>
    <t xml:space="preserve">ACLICIO </t>
  </si>
  <si>
    <t xml:space="preserve"> 9868246-5</t>
  </si>
  <si>
    <t xml:space="preserve">MARCO QUINTANILLA </t>
  </si>
  <si>
    <t xml:space="preserve"> AL VACIAR BANDEJAS, UNA DE ESTAS SE RESBALA Y CAE SOBRE SU RODILLA IZQUERDA.</t>
  </si>
  <si>
    <t>REYES MORENO</t>
  </si>
  <si>
    <t xml:space="preserve">RODRIGO </t>
  </si>
  <si>
    <t>14140258-7</t>
  </si>
  <si>
    <t>TRAYECTO</t>
  </si>
  <si>
    <t>SEMANA 45</t>
  </si>
  <si>
    <t>TRABAJADOR AL TRASLADARSE DE SU DOMICILIO A LUGAR DE TRABAJO, SUFRE HERIDAS CORTANTES EN ZONA PLANTAR PIE IZQUIERDO, EN VIA PUBLICA, AVENIDA LOS LIBERTADORES CERCA DE LA RED.</t>
  </si>
  <si>
    <t>GOMEZ VASQUEZ</t>
  </si>
  <si>
    <t xml:space="preserve">20138626-8 </t>
  </si>
  <si>
    <t xml:space="preserve">TRABAJADOR TRANSPORTANTO TAPAS DE CAJA RESBALA PISANDO UN CARTON, SUFRIENDO UN GOLPE EN LA CABEZA Y ESPALDA  </t>
  </si>
  <si>
    <t>QUEZADA GUERRERO</t>
  </si>
  <si>
    <t>10653499-3</t>
  </si>
  <si>
    <t>PAÑOL</t>
  </si>
  <si>
    <t>TRABAJADOR ESTABA RETIRANDO IMPLEMETOS EN PAÑOL, AL MONETO DE GIRAR RECIBE UN GOLPE POR BARRE AGUA POR ACCIDENTES, PRODUCIENDOLE UN CORTE EN EL POMULO IZQUERDO</t>
  </si>
  <si>
    <t xml:space="preserve">TRABAJADOR AL LEVANTAR UN CAJA, SUFRE TIRON EN ANTEBRAZO IZQUEDO </t>
  </si>
  <si>
    <t>BARRAZA PERALTA</t>
  </si>
  <si>
    <t>9683999-5</t>
  </si>
  <si>
    <t xml:space="preserve">N° 129-22 </t>
  </si>
  <si>
    <t>AL ESTAR HACIENDO ASEO UN TRABAJADOR EN UNA TRASPALETA LA GOLPEA POR DETRÁS CON UN BINS EN EL COXIS CAYENDO DE CARA EN UNA ESTRUCTURA METALICA DE UNA MAQUINA</t>
  </si>
  <si>
    <t>AGUIRRE ESTAY</t>
  </si>
  <si>
    <t xml:space="preserve">NICOLAS </t>
  </si>
  <si>
    <t>19924313-6</t>
  </si>
  <si>
    <t>N° 132-22</t>
  </si>
  <si>
    <t xml:space="preserve">TRABAJADOR AL TOMAR RASTRILLO HUMEDO HACE PALANCA EN EL BINS Y SE RESBALA MANGO DEL RASTRILLO, GOLPEANDOLO EN EL ROSTRO (NARIZ) PRODUCIENDO UNA HERIRA CORTANTES </t>
  </si>
  <si>
    <t xml:space="preserve">DANIELA </t>
  </si>
  <si>
    <t xml:space="preserve"> TRABAJADOR SUFRE CONTUSION EN REGION PARIETAL IZQUIERDA DEL CRANEO CON PRODUCTO (PECHUGA) QUE CAE DESDE LINEA, AL CORTAR ALAS EN MESA DE TRABAJO, CAE PRODUCTO SOBRE SU CABEZA EN AUTOMATICO, TROZADO DE POLLO</t>
  </si>
  <si>
    <t>MEJIAS BASTIDAS</t>
  </si>
  <si>
    <t>MAURO ESTEBAN</t>
  </si>
  <si>
    <t>17567967-7</t>
  </si>
  <si>
    <t>SALA DE BATERIAS</t>
  </si>
  <si>
    <t>NC-131-22</t>
  </si>
  <si>
    <t>FRACISCO QUEZADA</t>
  </si>
  <si>
    <t>ALEJANDRO TORRES</t>
  </si>
  <si>
    <t xml:space="preserve">TRABAJADOR SUFRE CONTUSION EN FALANGE PROXIMAL DEL DEDO INDICE IZQUIERDO AL CAMBIAR TAPA DE BATERIA DE TRASPALETA, EN SALA DE BATERIAS </t>
  </si>
  <si>
    <t>AGUILERA SERRANO</t>
  </si>
  <si>
    <t>MARITZA</t>
  </si>
  <si>
    <t>12859577-5</t>
  </si>
  <si>
    <t xml:space="preserve">TRABAJDORA SUFRE CONTUSION EN POMULO IZQUIERDO, AL ESTAR ORDENANDO TAPAS EN ESTANTE EN REPORTE DE CAJAS, LINEA CONGELADOS  </t>
  </si>
  <si>
    <t xml:space="preserve">  DARIUS</t>
  </si>
  <si>
    <t xml:space="preserve">OLSON </t>
  </si>
  <si>
    <t xml:space="preserve">26368007-3 </t>
  </si>
  <si>
    <t>TRABAJADOR SUFRE CAIDA A MISMO NIVEL MAS CONTUSION EN HOMBRO IZQUIERDO AL RESBALAR CON CUERO DE POLLO QUE DE ENCONTRABA EN EL SUELO, AL SACAR UN BINS VACIO, SE RESBALA Y SUFRE CAIDA EN AUTOMATICO, TROZADO DE POLLO</t>
  </si>
  <si>
    <t>GOMEZ RIVERA</t>
  </si>
  <si>
    <t xml:space="preserve">SIMON </t>
  </si>
  <si>
    <t xml:space="preserve">20973779-5 </t>
  </si>
  <si>
    <t xml:space="preserve">                                                                </t>
  </si>
  <si>
    <t xml:space="preserve">MAÑANA </t>
  </si>
  <si>
    <t xml:space="preserve">DANIEL GARRIDO </t>
  </si>
  <si>
    <t xml:space="preserve">TRABAJADOR AL ESTAR  MANIPULANDO CAJAS CON ALAS DE POLLO, SIENTE SENSACION PULSATIL EN DEDO INDICE IZQUIERDO, EN AREA DE DESHUESADO </t>
  </si>
  <si>
    <t>ORTIZ GONZALEZ</t>
  </si>
  <si>
    <t>AUGUSTO</t>
  </si>
  <si>
    <t>15532741-3</t>
  </si>
  <si>
    <t>NC-128-22</t>
  </si>
  <si>
    <t>TRABAJADOR SUFRE CAIDA A NIVEL PRODUCO DE AGUA EN EL PISO AL MOVILIZAR UN BINS, TRABAJADOR RESBALA, CAE Y APOYA TODO SU PESO SOBRE SU MANO DERECHA</t>
  </si>
  <si>
    <t>ASTORGA</t>
  </si>
  <si>
    <t xml:space="preserve">RAFAEL </t>
  </si>
  <si>
    <t xml:space="preserve"> 14007893-K</t>
  </si>
  <si>
    <t xml:space="preserve"> A pisar un trozo de cuero de pollo que se encontraba en el piso, sufre caída a mismo nivel mas contusión en rodilla izquierda. Se observa leve aumento de volumen, sin disfunción en la movilidad.</t>
  </si>
  <si>
    <t>RUIZ GOMEZ</t>
  </si>
  <si>
    <t xml:space="preserve">7133688-3 </t>
  </si>
  <si>
    <t xml:space="preserve"> TRABAJADOR SUFRE CAIDA DE TARIMA DE 1 MT DE ALTURA, GOLPEANDOSE EN REGION LUMBAR , AL PASAR DE LA CINTA A LA TARIMA EN T. AUTOMATICO </t>
  </si>
  <si>
    <t xml:space="preserve">ORELLANA RIQUELME </t>
  </si>
  <si>
    <t>ALEXIS</t>
  </si>
  <si>
    <t>20136863-4</t>
  </si>
  <si>
    <t>T. PAVO</t>
  </si>
  <si>
    <t>MAQUINA ESCALDADORA</t>
  </si>
  <si>
    <t>JAQUELIN PAVEZ</t>
  </si>
  <si>
    <t>TRABAJADOR AL SACAR AGUA CALIENTE DE LA MAQUINA ESCALDADORA, SUFRE QUEMADURA DE PRIMER GRADO EN  EL ANTEBRAZO IZQUIERDO, EN MAQUINA ESCALDADORA</t>
  </si>
  <si>
    <t xml:space="preserve">NOVIEMBRE </t>
  </si>
  <si>
    <t>MALHUE</t>
  </si>
  <si>
    <t>MARTINEZ GAMBOA</t>
  </si>
  <si>
    <t>RICHARD</t>
  </si>
  <si>
    <t>20870815-5</t>
  </si>
  <si>
    <t>Refiere quemadura química con detergente clorado en pierna izquierda</t>
  </si>
  <si>
    <t>NORAMBUENA RIOS</t>
  </si>
  <si>
    <t>CAROLA</t>
  </si>
  <si>
    <t xml:space="preserve">13250517-9 </t>
  </si>
  <si>
    <t xml:space="preserve">MESA DE TRABAJO/TRASPALETA MANUAL </t>
  </si>
  <si>
    <t>SEMANA 46</t>
  </si>
  <si>
    <t xml:space="preserve"> TRABAJADOR SUFRE GOLPE EN EL ABDOMEN, AL PASAR TRASPALETA MANUAL GOLPEA LA MESA DE TRABAJO, TENIENDO COMO RESULTADO DE REBOTE DEL GOLPE, EN EL AREA DE DESHUESADO</t>
  </si>
  <si>
    <t xml:space="preserve">ATABALES MORALES </t>
  </si>
  <si>
    <t xml:space="preserve"> MANUEL </t>
  </si>
  <si>
    <t xml:space="preserve">15405907-5 </t>
  </si>
  <si>
    <t>ROMANA</t>
  </si>
  <si>
    <t xml:space="preserve">TRABAJADOR DIRIGIENDOSE HACIA ROMANA CON UN BINS CON PRODUCTO PARA PESARLO, SALE DESDE EL T. AUTOMATICO Y COMPAÑERO CON OTRO BINS, NO PUDO FRENAR APRETANDO LA EXTREMIDAD ENTRE LAS DOS ESTRUCTURAS, SUFRIENDO GOLPE EN EXTREMIDAD INFERIOR DERECHA (MUSLO), ENTRE T. AUTOMATICO Y ROMANA . </t>
  </si>
  <si>
    <t xml:space="preserve"> JEREZ MUGA</t>
  </si>
  <si>
    <t>DANIEL</t>
  </si>
  <si>
    <t xml:space="preserve">14007926-K </t>
  </si>
  <si>
    <t>TRABAJADOR INGRESA POR DOLOR E INFLAMACION EN DEDO INDICE DERECHO, AL LIMPIAR PECHUGAS EN LINEA DE DESHUESADO.</t>
  </si>
  <si>
    <t xml:space="preserve"> AEDO PALMA</t>
  </si>
  <si>
    <t xml:space="preserve">14028518-8 </t>
  </si>
  <si>
    <t>SEMANA 47</t>
  </si>
  <si>
    <t xml:space="preserve"> TRABAJDOR AL TIRAR CAJA CON PRODUCTO SUFRE TORSION DE MUÑECA DERECHA EN T. AUTOMATICO </t>
  </si>
  <si>
    <t xml:space="preserve"> INFANTE GUTIERREZ</t>
  </si>
  <si>
    <t xml:space="preserve">TERESA  </t>
  </si>
  <si>
    <t xml:space="preserve">16795621-1 </t>
  </si>
  <si>
    <t>METALQUIMIA</t>
  </si>
  <si>
    <t xml:space="preserve">N° 130-22 </t>
  </si>
  <si>
    <t xml:space="preserve"> PATRICIO PALACIOS</t>
  </si>
  <si>
    <t>Contacto con sustancias corrosivas</t>
  </si>
  <si>
    <t xml:space="preserve"> TRABAJADOR AL REALIZAR LIMPIEZA EN MAQUINA METALQUIMIA DE T. DE PAVO,  ENTRA LIQUIDO AL OJO IZQUERDO MIENTRAS REALIZABA LA LABOR.</t>
  </si>
  <si>
    <t xml:space="preserve">BASAURE CONSTANZO </t>
  </si>
  <si>
    <t xml:space="preserve">PAOLO </t>
  </si>
  <si>
    <t>18966531-8</t>
  </si>
  <si>
    <t xml:space="preserve"> TRABAJADOR AL REALIZAR CARGA DE CAJAS SE GOLPEA EN ANTEBRAZO CON MESA DE PROLIJADO AL GIRARSE, EN T. AUTOMATICO</t>
  </si>
  <si>
    <t>DONOSO OLGUIN</t>
  </si>
  <si>
    <t>CRISTOPHER</t>
  </si>
  <si>
    <t>18347480-4</t>
  </si>
  <si>
    <t>DESPLUMADO DE POLLO</t>
  </si>
  <si>
    <t xml:space="preserve">ISMAEL SANTIS </t>
  </si>
  <si>
    <t xml:space="preserve">TRABAJADOR LE CAE DETERGENTE EN LA ESPALDA, GENERANDO IRRITACION EN LA ZONA, EN EL DESPLUMADO DE POLLO </t>
  </si>
  <si>
    <t>MUÑOZ GOMEZ</t>
  </si>
  <si>
    <t xml:space="preserve">KEVIN </t>
  </si>
  <si>
    <t>20973124-K</t>
  </si>
  <si>
    <t>TRABAJDOR AL LEVANTAR CAJAS SIENTE TIRON EN MUÑECA DERECHA, DONDE SE PALETISAN PIELES DE POLLO.</t>
  </si>
  <si>
    <t xml:space="preserve">  RAMIREZ MORALES</t>
  </si>
  <si>
    <t xml:space="preserve">CALOLINA </t>
  </si>
  <si>
    <t xml:space="preserve"> 23587865-8</t>
  </si>
  <si>
    <t>SEMANA 48</t>
  </si>
  <si>
    <t xml:space="preserve">TRABAJADOR  ES IMPACTADA POR TRANSPALETA ELECTRICA CON BINS EN SU PIERNA IZQUERDA, EN CURVA HQ, ESTABA EN ZONA DELIMITADA PARA TRANSITAR, Y AL MOMENTO DE GIRAR ES IMPATADA </t>
  </si>
  <si>
    <t xml:space="preserve"> HERNANDEZ JARA</t>
  </si>
  <si>
    <t xml:space="preserve">GUILLERMO SEGUNDO </t>
  </si>
  <si>
    <t xml:space="preserve"> 9964280-7</t>
  </si>
  <si>
    <t>PASILLO IQF</t>
  </si>
  <si>
    <t>MIRCOLES</t>
  </si>
  <si>
    <t>NC° 140-22</t>
  </si>
  <si>
    <t>TRABAJADOR VIENE TRASPORTANDO BINS CON TRASPALETA MANUAL, CIRCULANDO POR PASILLO DE COLGADO DE BANDEJAS DESDE IQF 1 HACIA IQF 4, EN ESE MOMENTO EN CURVA DE HQ, UN OPERADOR DE TRASPALETA ELECTRICA DE TPO, GOLPEA EL BINS DE ADELANTE, PRODUCTO DEL IMPACTO, EMPUJA TRASPALETA MANUAL PRODUCIENDOLE UN GOLPE EN ESPALDA AL TRABAJADOR.</t>
  </si>
  <si>
    <t>DE LA PARRA</t>
  </si>
  <si>
    <t>IKER</t>
  </si>
  <si>
    <t>24656580-5</t>
  </si>
  <si>
    <t>N° 136-22</t>
  </si>
  <si>
    <t>TRABAJADOR SE ENCONTRABA MOVILIZANDO TRANSPALETA MANUAL POR PASILLO DE CAMARA 208, EN UNA MALA MANIOBRA DONDE SE PIERDE EL CONTROL DE LA TRANSPALETA EL TRABAJADOR REALIZA UN SOBREESFUERZO LO QUE PROVOCA UNA IPER EXTENSION DE LA MUÑACA LO QUE LE PROVOCA UNA PUNTADA Y FUERTE DOLOR EN LA ZONA</t>
  </si>
  <si>
    <t>DICIEMBRE</t>
  </si>
  <si>
    <t>SUFRIN</t>
  </si>
  <si>
    <t>JUNIOR</t>
  </si>
  <si>
    <t>26376527-3</t>
  </si>
  <si>
    <t>TRABAJADOR SE ENCONTRABA EN SANITIZADO DE PRODUCTO EN LA LINEA DE DESHUESADO, AL MOMENTO DE SACAR UNA DE LAS BANDEJAS QUE SE ENCONTRABA SUMERJIDA ESTA SE RESBALA POR LO QUE AL TRATAR DE QUE NO SE DE VUELTA EL TRABAJADOR REALIZADA UN MOVIMIENTO BRUSCO Y DE SOBREESFUERZO POR LO QUE SIENTE TIRON EN HOMBRO IZQUIERDO.</t>
  </si>
  <si>
    <t>ROJAS MORALES</t>
  </si>
  <si>
    <t>RAFAELA</t>
  </si>
  <si>
    <t>13772206-2</t>
  </si>
  <si>
    <t>EVISCERADO DE POLLO</t>
  </si>
  <si>
    <t>LIMPIADORA DE CONTRES</t>
  </si>
  <si>
    <t>TRABAJADORA SE ENCONTRABA TRABAJANDO EN MAQUINA LIMPIADORA DE CONTRES, DURANTE EL PROCESO LA TRABAJADORA SE CORTA CON REBARBA SOBRE SALIENTE EN EL BORDE DEL RODILLO</t>
  </si>
  <si>
    <t>CACERES BRAVO</t>
  </si>
  <si>
    <t>19213174-K</t>
  </si>
  <si>
    <t>LINEA SANITIZADO DE FILETILLO</t>
  </si>
  <si>
    <t>TRABAJADOR SE ENCONTRABA CAMINANDO POR SECTOR DE SANITIZADO DE FILETILLO, EN ESE MOMENTO CAE LIQUIDO AL BINS DE SANITIAZADO Y ESTE SE PROYECTA SOBRE OJO DEL TRABAJADOR PRODUCINDO MOLESTAR</t>
  </si>
  <si>
    <t>GONZALEZ ALFARO</t>
  </si>
  <si>
    <t xml:space="preserve">ELIZABETH  </t>
  </si>
  <si>
    <t>12314382-5</t>
  </si>
  <si>
    <t>ASEO PREOPERACIONAL</t>
  </si>
  <si>
    <t>CHILLER DE MENUDENCIA</t>
  </si>
  <si>
    <t xml:space="preserve">TRABAJADORA SE ENCONTRABA CAMINANDO POR SECTOR CHILLER DE MENUNCIA, AL TRANSITAR TROPIESA CON MANGUERA LO QUE PRODUCE QUE ELLA SUFRA CAIDA A NIVEL GOLPEANDO POMULO IZQUIERDO </t>
  </si>
  <si>
    <t>ARTIGAS MARICAN</t>
  </si>
  <si>
    <t>GLADYS</t>
  </si>
  <si>
    <t>12208557-0</t>
  </si>
  <si>
    <t>CAMARINES</t>
  </si>
  <si>
    <t>SEMANA 49</t>
  </si>
  <si>
    <t>TRABAJADORA INGRESA A SPA POR UNA PICAZON Y ENROJECIMIENTO EN CUELLO INDICANDO QUE ES PRODUCTO DEL UNIFORME YA QUE ESTO NO LE SUCEDE CON SU ROPA</t>
  </si>
  <si>
    <t>HERRERA PARDO</t>
  </si>
  <si>
    <t xml:space="preserve">ROBERTO </t>
  </si>
  <si>
    <t>13771002-1</t>
  </si>
  <si>
    <t>RECEPCION DE AVES</t>
  </si>
  <si>
    <t>TRABAJADOR SUFRE GOLPE EN DEDO INDICE DE MANO DERECHO CON PILAR AL ESTAR REVISANDO GANCHOS EN LA LINEA DE GOLGADO, RECEPCION DE AVES</t>
  </si>
  <si>
    <t>HERNANDEZ</t>
  </si>
  <si>
    <t xml:space="preserve">JORGE  </t>
  </si>
  <si>
    <t>18487241-2</t>
  </si>
  <si>
    <t>CONGELADO DE BLOQUES</t>
  </si>
  <si>
    <t xml:space="preserve">TRABAJADOR SUFRE ATRISION DE DEDO ANULAR IZQUIERDO AL MOMENTO DE  ESTAR DESCARGANDO PLACAS DE PRODUCTO CONGELADO </t>
  </si>
  <si>
    <t>PEREZ LAGOS</t>
  </si>
  <si>
    <t xml:space="preserve">CARLOS </t>
  </si>
  <si>
    <t>21007455-4</t>
  </si>
  <si>
    <t>SEMANA 50</t>
  </si>
  <si>
    <t>TRABAJADOR PRESENTA DOLENCIA EN DEDO INDICE DE MANO IZQUIERDA PRODUCTO DE APOYARSE SOBRE SU MANO AL SUFRIR UNA CAIDA A MISMO NIVEL CUANDO ESTABA INGRESANDO A SALA DE TROZADO AUTOMATICO</t>
  </si>
  <si>
    <t>SANMARTIN ANDRADE</t>
  </si>
  <si>
    <t>JORDAN</t>
  </si>
  <si>
    <t>17631969-0</t>
  </si>
  <si>
    <t>TRABAJADOR SUFRE ATRISION DE SU PIE IZQUIERDA PROBOCADO POR UNA TRANSPALETA ELECTRICA LA CUAL NO SE PERCATA DE QUES ENCUENTRA EL TRABAJADOR EN LA PARTE POSTERIOR DE LOS PALLETS QUE SE DISPONIA A MOVER, POR LO QUE MUEVE UN PALLET LLENO DE PRODUCTO Y OTRO VACIO SIENDO ESTE ULTIMO EL QUE ATRISION PIE DE TRABAJADOR CONTRA ESTRUCTURA METALICA</t>
  </si>
  <si>
    <t>CARVALLO</t>
  </si>
  <si>
    <t>15404926-6</t>
  </si>
  <si>
    <t>CUCHILLO</t>
  </si>
  <si>
    <t>TRABAJADOR INDICA QUE SE ENCONTRABA EN SALA DE DESHUESADO ENSEÑANDO A TRABAJADOR NUEVO EN LINEA DE PROLIJADO, EL MOMENTO DE FINALIZAR EL TRABAJADOR PROCEDE A GUARDAR EL CUCHILLO EN EL ESPACIO DESTINADO EN ESE MOMENTO ESTE RESBALA CON FILO HACIA AFUERA PRODUCIENDO CORTE EN DEDO MEÑIQUE DE MANO IZQUIERDA</t>
  </si>
  <si>
    <t>MENA DURAN</t>
  </si>
  <si>
    <t xml:space="preserve">ESTEBAN  </t>
  </si>
  <si>
    <t>17210692-7</t>
  </si>
  <si>
    <t>LGF 2 - LGF 7</t>
  </si>
  <si>
    <t>REPASADORA DE CORAZON</t>
  </si>
  <si>
    <t>TRABAJADOR AL PONER TAPA DE MAQUINA  REPASADORA DE CORAZON EN SU LUGAR ESTA SE CAE Y SU MANO SE VA HACIA DENTRO DE LA MAQUINA DONDE ESTA UNA CADENA QUE LE REALIZA UN CORTE EN DEDO INDICE DE MANO DERECHA.</t>
  </si>
  <si>
    <t>GOMEZ JORQUERA</t>
  </si>
  <si>
    <t xml:space="preserve">JORGE </t>
  </si>
  <si>
    <t>15401311-3</t>
  </si>
  <si>
    <t>TRABAJADOR INGRESA A SPA POR MOLESTIA EN ANTEBRAZO DERECHO ESTO PRODUCTO DE LEVANTAR UNA MANGUERA EN LA SALA</t>
  </si>
  <si>
    <t>SALGADO SIL</t>
  </si>
  <si>
    <t>JOSE</t>
  </si>
  <si>
    <t>DESPLUMADO DE POLLOS</t>
  </si>
  <si>
    <t>Equipo electricos</t>
  </si>
  <si>
    <t>Contacto con electricidad</t>
  </si>
  <si>
    <t>TRABAJADOR SE DIRIGIA A CORTAR EL SUIMINISTRO DE AGUA EN LA CORTADORA DE CABEZAS, SALA DE ECALDADO Y DESPLUMADO, EN ESE MOMENTO TOCA PARED Y TUBO DE CONDUIT CON HUMEDAD LA CUAL TRASPASO LAS HUINCHA AISLANTE DANDOLE UNA DESCARGA AL TRABAJADOR</t>
  </si>
  <si>
    <t>ORTIZ ESPINOZA</t>
  </si>
  <si>
    <t xml:space="preserve">LAURA </t>
  </si>
  <si>
    <t>13239518-7</t>
  </si>
  <si>
    <t>TRABAJADOR SE ENCONTRABA ETIQUETANDO CAJAS EN DROP POINT, AL MOMENTO DE LEVANTAR CAJA ESTE GOLPEA DEDO MEDIO DE MANO IZQUIERDA CON ESTRUCTURA METALICA</t>
  </si>
  <si>
    <t>ABARCA MENA</t>
  </si>
  <si>
    <t xml:space="preserve">DIEGO </t>
  </si>
  <si>
    <t>20344903-8</t>
  </si>
  <si>
    <t>TRABAJADOR ESTABA BAJANDO POR ESCALERA DE CALIBRADO EN ESE MOMENTO TROPIEZA Y SUFRE CAIDA A MISMO NIVEL GOLPEANDO ANTEBRAZO DERECHO Y RODILLA IZQUIERDA</t>
  </si>
  <si>
    <t>ROCHA VARELA</t>
  </si>
  <si>
    <t>MARIANA</t>
  </si>
  <si>
    <t>15596634-3</t>
  </si>
  <si>
    <t>TRABAJADOR SUFRE GOLPE EN DEDO MEÑIQUE IZQUIERDO AL MOMENTO DE ESTAR ACOMODANDO BANDEJAS EN CALIBRADO, GOLPE SE PRODUCE POR EL CONTACTO CON ESTRCUTURA METALICA</t>
  </si>
  <si>
    <t>CAYUMAN VENEGAS</t>
  </si>
  <si>
    <t xml:space="preserve">JAIME </t>
  </si>
  <si>
    <t>15731693-1</t>
  </si>
  <si>
    <t>EMBALAJE Y ETIQUETADO</t>
  </si>
  <si>
    <t>SEMANA 51</t>
  </si>
  <si>
    <t>TRABAJDOR REFIERE ESTAR COLOCANDO FILM Y AL GIRAR SE GOLPE LA ZONA FRONTAL SUPERIOR EFECTUANDOSE UN CORTE SUPERFICIAL, CON UNA REJILLA QUE ESTA SOBRESALIENTE EN CARRO</t>
  </si>
  <si>
    <t>ACEVEDO NUÑEZ</t>
  </si>
  <si>
    <t>NICOLE</t>
  </si>
  <si>
    <t>16562004-6</t>
  </si>
  <si>
    <t>ENZUNCHADORA MOSCA</t>
  </si>
  <si>
    <t xml:space="preserve">TRABAJADORA SUFRE ATRAPAMIENTO DE DORCHO DE SU MANO DERECHA, ESTA PRODUCTO DE DETENER UNA CAJA PARA EVITAR DE QUE PASARA SIN ZUNCHO, ACCIDENTE DE PRODUCE ENTRE ENZUNCHADORA MOSCA Y ESTRUCTURA METALICA DE LA PROPIA MAQUINA.  </t>
  </si>
  <si>
    <t>PINTO HINOJOSA</t>
  </si>
  <si>
    <t>MARIA</t>
  </si>
  <si>
    <t>19057517-9</t>
  </si>
  <si>
    <t>PROLIJADO DE PECHUGA</t>
  </si>
  <si>
    <t>TRABAJADOR AL ESTAR ESTRA EN LA LINE DE PRODUCCION EN DESHUEADO PROLIJANDO PRODUCTO (PECHUGA DE POLLO) Y SIENTE LIQUIDO EN SU OJO DERECHO ESPERA ½ HORA POR DOLOR LE AVISA A SUPERVISOR.</t>
  </si>
  <si>
    <t>JORZILUS</t>
  </si>
  <si>
    <t>ARNER</t>
  </si>
  <si>
    <t>26024374-8</t>
  </si>
  <si>
    <t xml:space="preserve"> TRABAJDOR REFIERE PROYECCION DE LIQUIDO SANITIZANTE A OJO DERECH, CUANDO SANITIZABA LA MAQUINAS EN SALA DE POLLO, AL GOLPEAR EL LIQUIDO SANITIZANTE EN LA MAQUINA LE SALE PROYECTADO AL OJO DERECHO.</t>
  </si>
  <si>
    <t>AÑASCO</t>
  </si>
  <si>
    <t>JUAN PABLO</t>
  </si>
  <si>
    <t>16342126-7</t>
  </si>
  <si>
    <t>SUFRE QUEMADURA TIPO A-B EN ROSTRO (EN PARTE SUPERIOR DE CEJA DERECHA) CON AGUA CALIENE AL LAVAR MAQUINA CON MANGUERA, ESTA SE SUELTA Y SALPICA AGUA EN SU CARA</t>
  </si>
  <si>
    <t>SILVA CHACON</t>
  </si>
  <si>
    <t>PATRICIO</t>
  </si>
  <si>
    <t>13250728-7</t>
  </si>
  <si>
    <t>TRABAJADOR INGRESA A SPA POR TIRON EN ANTEBRAZO DERECHO PRODUCIDO AL ESTAR GOLGANDO POLLOS EN TROZADO AUTOMATICO, TRABAJADOR PRESENTA PRESCRIPCION DE HACE UN AÑO POR EP DECLARADA</t>
  </si>
  <si>
    <t>GONZALEZ MATELUNA</t>
  </si>
  <si>
    <t>ERNESTO</t>
  </si>
  <si>
    <t>15402365-8</t>
  </si>
  <si>
    <t>LINIA ISHIDA</t>
  </si>
  <si>
    <t>INYECTORA ISHIDA</t>
  </si>
  <si>
    <t>N° 142-22</t>
  </si>
  <si>
    <t>SUFRE SALPICADURA DE LIQUIDO (BIO-REMOVE) EN OJO IZQUIERDO AL VACIAR DETERGENTE EN EL ESTANQUE DE MAQUINA EN MAQUINA INYECTORA (ISHIDA)</t>
  </si>
  <si>
    <t>20137738-2</t>
  </si>
  <si>
    <t>SEMANA 52</t>
  </si>
  <si>
    <t>LUIS ESPEJO</t>
  </si>
  <si>
    <t>trabajadora presenta dolencia en brazo derecho al tirar etiquetas en camara 208</t>
  </si>
  <si>
    <t>TRUJILLO VELOZO</t>
  </si>
  <si>
    <t xml:space="preserve">ARIEL </t>
  </si>
  <si>
    <t>19067846-6</t>
  </si>
  <si>
    <t>SUMINISTRO</t>
  </si>
  <si>
    <t>TECNICO PREVENTIVO</t>
  </si>
  <si>
    <t xml:space="preserve">MIERCOLES </t>
  </si>
  <si>
    <t xml:space="preserve">ANDRES MELILLAN </t>
  </si>
  <si>
    <t xml:space="preserve">TRABAJADOR REFIERE DOLENCIA EN RODILLA DERECHA POR TORSION AL PISAR TIERRA SUELTA EN ESTACIONAMIENTO AL SACAR MOCHILA DE SU AUTO </t>
  </si>
  <si>
    <t>PLAZA PERES</t>
  </si>
  <si>
    <t>MIGUEL</t>
  </si>
  <si>
    <t>20137087-6</t>
  </si>
  <si>
    <t>Refiere   que al estar sacando pollos de un bins un compañero introduce un cuchillo al bins provocando una herida en su dedo índice superior izquierdo</t>
  </si>
  <si>
    <t xml:space="preserve">HENRIQUEZ VARGAS </t>
  </si>
  <si>
    <t xml:space="preserve">FERNANDO </t>
  </si>
  <si>
    <t xml:space="preserve">18538961-8 </t>
  </si>
  <si>
    <t xml:space="preserve">OPERADOR </t>
  </si>
  <si>
    <t>sufre accidente trayecto el día 29/12/2022 a las 01:00 al llegar a su domicilio se cae de motocicleta.</t>
  </si>
  <si>
    <t xml:space="preserve"> ESPINOZA MAHULEN </t>
  </si>
  <si>
    <t xml:space="preserve"> CRISTIAN </t>
  </si>
  <si>
    <t xml:space="preserve">19847866-0 </t>
  </si>
  <si>
    <t>RECPCION DE POLLO</t>
  </si>
  <si>
    <t xml:space="preserve">VENTILADOR </t>
  </si>
  <si>
    <t>NC 143-22</t>
  </si>
  <si>
    <t xml:space="preserve">TRABAJDOR AL APOYARSE EN REJILLA DEL VENTILADOR, SE LE VA LA MANO HACIA LAS ASPAS VENTILADOR, PRODUCIENDOLE UNA HERIDA CORTANTE EN DEDO INDICE DE MANO DERECHA Y FRACTURA EN DEDO MEDIO </t>
  </si>
  <si>
    <t>VERA QUIROGA</t>
  </si>
  <si>
    <t>CRISTOPHER TOMAS</t>
  </si>
  <si>
    <t>17225592-2</t>
  </si>
  <si>
    <t>01-09-2022</t>
  </si>
  <si>
    <t>02-09-2022</t>
  </si>
  <si>
    <t>CONTUSION EN ESCAPULA Y TOBILLO IZQUIERDO</t>
  </si>
  <si>
    <t>REYES ARCE</t>
  </si>
  <si>
    <t>ROSSANA DEL CARMEN</t>
  </si>
  <si>
    <t>13560184-5</t>
  </si>
  <si>
    <t>LAMINADO</t>
  </si>
  <si>
    <t>TRABAJADORA AL REALIZAR MOVIMIENTO BRUSCO EMPIEZA A SENTIR DOLOR LUMBAR</t>
  </si>
  <si>
    <t>CACERES BERNAL</t>
  </si>
  <si>
    <t>JORGE ISRAEL</t>
  </si>
  <si>
    <t>17225351-2</t>
  </si>
  <si>
    <t>07-10-2022</t>
  </si>
  <si>
    <t>CHILLER Y EMPAQUE POLLOS</t>
  </si>
  <si>
    <t>CHILLER COLGADO</t>
  </si>
  <si>
    <t xml:space="preserve">proyección de  liquido , acido peracetico en pómulo derecho </t>
  </si>
  <si>
    <t>11486119-7</t>
  </si>
  <si>
    <t>TRABAJADORA SE GOLPEA LA ESPALDA CON BANDEJAS</t>
  </si>
  <si>
    <t>VARGAS ROJA</t>
  </si>
  <si>
    <t>21171568-5</t>
  </si>
  <si>
    <t>23-09-2022</t>
  </si>
  <si>
    <t>21:00</t>
  </si>
  <si>
    <t>materiales</t>
  </si>
  <si>
    <t xml:space="preserve"> refiere golpe  en dedo índice sup izq. Al cambiar el rollo de súper contac </t>
  </si>
  <si>
    <t>IBARRA CABELLO</t>
  </si>
  <si>
    <t>CHRISTOPHER ALFONSO</t>
  </si>
  <si>
    <t>15533225-5</t>
  </si>
  <si>
    <t>29-09-2022</t>
  </si>
  <si>
    <t>OPERARIO DE MAQUINA</t>
  </si>
  <si>
    <t>SEMANA 39</t>
  </si>
  <si>
    <t>colaborador sufre corte en dedo indice derecho</t>
  </si>
  <si>
    <t>MANSILLA ORMEÑO</t>
  </si>
  <si>
    <t>LUIS ANTONIO</t>
  </si>
  <si>
    <t>15477810-1</t>
  </si>
  <si>
    <t>SECTOR MENUDENCIAS</t>
  </si>
  <si>
    <t>AL CHOCAR CON UNA BANDEJA QUE ESTABA EN EL SUELO CAE A NIVEL SUFRIENDO UN CORTE EN CUELLO DE ½ CENTIMETRO</t>
  </si>
  <si>
    <t>MIRANDA CESPEDES</t>
  </si>
  <si>
    <t>DENISSE</t>
  </si>
  <si>
    <t>NUEVO</t>
  </si>
  <si>
    <t>30-09-2022</t>
  </si>
  <si>
    <t>01-10-2022</t>
  </si>
  <si>
    <t>trabajadora se desmaya en linea de trabajo , golpeandose la parte superior del globo ocular.</t>
  </si>
  <si>
    <t>Acc. CTP</t>
  </si>
  <si>
    <t>DiaSuceso</t>
  </si>
  <si>
    <t>AGENTE ACC.</t>
  </si>
  <si>
    <t>TIPOLOGIA LESION</t>
  </si>
  <si>
    <t>TIPO ACC.</t>
  </si>
  <si>
    <t>ACCION INSEGURA</t>
  </si>
  <si>
    <t>INVESTIGACIÓN 
DE ACCIDENTE</t>
  </si>
  <si>
    <t>Naturaleza Lesion</t>
  </si>
  <si>
    <t>Acc. STP</t>
  </si>
  <si>
    <t>EP CTP</t>
  </si>
  <si>
    <t>Lunes</t>
  </si>
  <si>
    <t>Operar sin autorizacion</t>
  </si>
  <si>
    <t>EP STP</t>
  </si>
  <si>
    <t>ABRIL</t>
  </si>
  <si>
    <t>Martes</t>
  </si>
  <si>
    <t>Temperatura Extrema</t>
  </si>
  <si>
    <t>Cara</t>
  </si>
  <si>
    <t>Herida punzante</t>
  </si>
  <si>
    <t>Operar a velocidad insegura</t>
  </si>
  <si>
    <t>Acc. Trayecto</t>
  </si>
  <si>
    <t>Miercoles</t>
  </si>
  <si>
    <t>Herida abrasiva</t>
  </si>
  <si>
    <t>Omitir o neutralizar dispositivos de seguridad</t>
  </si>
  <si>
    <t>Acc. Grave</t>
  </si>
  <si>
    <t>Jueves</t>
  </si>
  <si>
    <t>Contusion</t>
  </si>
  <si>
    <t>Uso inadecuado de herramientas y elementos de proteccion</t>
  </si>
  <si>
    <t>Acc. Fatal</t>
  </si>
  <si>
    <t>Viernes</t>
  </si>
  <si>
    <t>Mal manejo de materiales</t>
  </si>
  <si>
    <t>NAT</t>
  </si>
  <si>
    <t>Sábado</t>
  </si>
  <si>
    <t xml:space="preserve"> Equipos Transporte de carga</t>
  </si>
  <si>
    <t>Amputacion</t>
  </si>
  <si>
    <t>Ubicarse en posiciones y posturas inseguras</t>
  </si>
  <si>
    <t>NEP</t>
  </si>
  <si>
    <t>Domingo</t>
  </si>
  <si>
    <t>piernas</t>
  </si>
  <si>
    <t>Lumbago</t>
  </si>
  <si>
    <t xml:space="preserve">Golpeado por </t>
  </si>
  <si>
    <t xml:space="preserve">Intervenir equipos energizados y/o en movimiento </t>
  </si>
  <si>
    <t>NAT Trayecto</t>
  </si>
  <si>
    <t>No uso de equipos proteccion personal</t>
  </si>
  <si>
    <t>Arrastre Acc. CTP</t>
  </si>
  <si>
    <t>Multiple</t>
  </si>
  <si>
    <t>No respeta señaletiza</t>
  </si>
  <si>
    <t>Arrastre EP</t>
  </si>
  <si>
    <t>Gases - vapores</t>
  </si>
  <si>
    <t>Lesion interna</t>
  </si>
  <si>
    <t>Accion de terceros</t>
  </si>
  <si>
    <t>Arrastre Acc. Trayecto</t>
  </si>
  <si>
    <t>Esguince</t>
  </si>
  <si>
    <t>Uso de vestuario o elementos inadecuados</t>
  </si>
  <si>
    <t>77 BIS</t>
  </si>
  <si>
    <t>Shock Electrico</t>
  </si>
  <si>
    <t>Conducta o coportamiento inadecuado</t>
  </si>
  <si>
    <t>Reingreso Acc.</t>
  </si>
  <si>
    <t>Animales - insectos</t>
  </si>
  <si>
    <t>Muscular</t>
  </si>
  <si>
    <t>No advertir ni señalar</t>
  </si>
  <si>
    <t>Reingreso EP</t>
  </si>
  <si>
    <t>Actuar sin avisar u orden</t>
  </si>
  <si>
    <t>Reingreso trayecto</t>
  </si>
  <si>
    <t>Desviarse del procedimiento de trabajo</t>
  </si>
  <si>
    <t>Elemento cortante</t>
  </si>
  <si>
    <t>Mal uso de EPP</t>
  </si>
  <si>
    <t>Nº NC/PNC</t>
  </si>
  <si>
    <t>CLASIFICACIÓN EMERGENCIA</t>
  </si>
  <si>
    <t>TIPO EMERGENCIA</t>
  </si>
  <si>
    <t>FECHA INCIDENTE</t>
  </si>
  <si>
    <t>HORA INCIDENTE</t>
  </si>
  <si>
    <t>FECHA DENUNCIA</t>
  </si>
  <si>
    <t xml:space="preserve">AREA </t>
  </si>
  <si>
    <t>LUGAR ESPECIFICO</t>
  </si>
  <si>
    <t>CAUSA</t>
  </si>
  <si>
    <t>EQUIPO</t>
  </si>
  <si>
    <t>DAÑO OCASIONADO</t>
  </si>
  <si>
    <t>ORGANISMO EXTERNO APOYO</t>
  </si>
  <si>
    <t>PARTICIPACION BRIGADA</t>
  </si>
  <si>
    <t>EVALUADO EN MATRIZ</t>
  </si>
  <si>
    <t>DESCRPCIÓN DE LA EMERGENCIA</t>
  </si>
  <si>
    <t>PAICO</t>
  </si>
  <si>
    <t>17-22</t>
  </si>
  <si>
    <t>SEGURIDAD</t>
  </si>
  <si>
    <t>Derrames</t>
  </si>
  <si>
    <t>ESTACION HIPOCLORITO</t>
  </si>
  <si>
    <t>FATIGA MATERIAL</t>
  </si>
  <si>
    <t>ESTANQUE HIPOCLORITO</t>
  </si>
  <si>
    <t>ROTURA DE ESTANQUE</t>
  </si>
  <si>
    <t>SE GENERA FUGA DE HIPOCLORITO EN ESTANQUE POR FATIGA DEL MATERIAL. EN ESTACION HIPOCLORITO</t>
  </si>
  <si>
    <t>113-22</t>
  </si>
  <si>
    <t>SEG./AMBIENTE</t>
  </si>
  <si>
    <t>Fugas</t>
  </si>
  <si>
    <t>ISMAEL SANTIS</t>
  </si>
  <si>
    <t>ENTRETECHO SOBRE CALIBRADO</t>
  </si>
  <si>
    <t>FATIGA DE MATERIAL POR PRESION</t>
  </si>
  <si>
    <t>CONJUNTO DE VALVULAS DE CALIBRADO</t>
  </si>
  <si>
    <t>ROTURA DE EMPAQUETADURA DE VALVULAS</t>
  </si>
  <si>
    <t>S</t>
  </si>
  <si>
    <t>SE GENERA FUGA DE AMONIACO EN CONJUNTO DE VALVULAS DE CALIBRADO PRODUCTO DE UN ACCESO DE PRESION POR TRABAJOS REALIZADOS EN EL EQUIPO DE FRIO DE IQF 1</t>
  </si>
  <si>
    <t>Sismos</t>
  </si>
  <si>
    <t>AMBIENTAL</t>
  </si>
  <si>
    <t>Terremoto</t>
  </si>
  <si>
    <t>Sistemas Frontales</t>
  </si>
  <si>
    <t>INOCUIDAD</t>
  </si>
  <si>
    <t>Explosiones</t>
  </si>
  <si>
    <t>SEG/AMB/CALIDAD</t>
  </si>
  <si>
    <t>Amago de Incendio</t>
  </si>
  <si>
    <t>AMB/CALIDAD</t>
  </si>
  <si>
    <t>Incendios químicos</t>
  </si>
  <si>
    <t>SEG/CALIDAD</t>
  </si>
  <si>
    <t>Incendio</t>
  </si>
  <si>
    <t>Incendio forestal</t>
  </si>
  <si>
    <t>Accidente grave o fatal</t>
  </si>
  <si>
    <t>Emergencia Sanitaria</t>
  </si>
  <si>
    <t>Huelgas y/o manifestaciones</t>
  </si>
  <si>
    <t>Terrorismo</t>
  </si>
  <si>
    <t>Bioterrorismo</t>
  </si>
  <si>
    <t>Fuga Amoniaco</t>
  </si>
  <si>
    <t>Exposición qca.</t>
  </si>
  <si>
    <t>Volcamiento Vehiculos</t>
  </si>
  <si>
    <t>AREA CTP</t>
  </si>
  <si>
    <t>Total</t>
  </si>
  <si>
    <t>Porcentaje</t>
  </si>
  <si>
    <t>Pareto</t>
  </si>
  <si>
    <t>PARTE DEL CUERPO AFECTADA</t>
  </si>
  <si>
    <t>TROZADO POLLO</t>
  </si>
  <si>
    <t>TROZADO PAVO</t>
  </si>
  <si>
    <t>FRIGORÍFICO</t>
  </si>
  <si>
    <t>P.POSTERIORES</t>
  </si>
  <si>
    <t>PERSONAL O PLANIFICACION</t>
  </si>
  <si>
    <t>ADMINISTRACION</t>
  </si>
  <si>
    <t>Total Informado</t>
  </si>
  <si>
    <t>Lesion Interna</t>
  </si>
  <si>
    <t>TOTAL</t>
  </si>
  <si>
    <t>TIPO DE ACCIDENTE</t>
  </si>
  <si>
    <t xml:space="preserve"> MES</t>
  </si>
  <si>
    <t>CLACIFICACION LGF</t>
  </si>
  <si>
    <t>N°</t>
  </si>
  <si>
    <t>Enero</t>
  </si>
  <si>
    <t>AMPUTACION (LGF7)</t>
  </si>
  <si>
    <t>Febrero</t>
  </si>
  <si>
    <t>ATROPELLO (LGF4)</t>
  </si>
  <si>
    <t>DIAS</t>
  </si>
  <si>
    <t>Marzo</t>
  </si>
  <si>
    <t>ATRAPAMIENTO (LGF2)</t>
  </si>
  <si>
    <t>TOTAL DIAS PERDIDOS</t>
  </si>
  <si>
    <t>Abril</t>
  </si>
  <si>
    <t>CAIDA EN ALTURA (LGF1)</t>
  </si>
  <si>
    <t>Mayo</t>
  </si>
  <si>
    <t>C.SUSTANCIAS PELIGROSAS (LGF3)</t>
  </si>
  <si>
    <t>Promedio por Mes</t>
  </si>
  <si>
    <t>Junio</t>
  </si>
  <si>
    <t>INTOXICACION (LGF5)</t>
  </si>
  <si>
    <t>Julio</t>
  </si>
  <si>
    <t>C.ENERGIAS PELIGROSAS (LGF6)</t>
  </si>
  <si>
    <t>Agente de Lesion</t>
  </si>
  <si>
    <t>Agosto</t>
  </si>
  <si>
    <t>Septiembre</t>
  </si>
  <si>
    <t>Octubre</t>
  </si>
  <si>
    <t>Noviembre</t>
  </si>
  <si>
    <t>CLACIFICACION ACC. PERSONAL</t>
  </si>
  <si>
    <t>Diciembre</t>
  </si>
  <si>
    <t>Genero</t>
  </si>
  <si>
    <t>Masculino</t>
  </si>
  <si>
    <t>Femenino</t>
  </si>
  <si>
    <t>Responsabilidad</t>
  </si>
  <si>
    <t>Accion</t>
  </si>
  <si>
    <t>Condicion</t>
  </si>
  <si>
    <t>Sabado</t>
  </si>
  <si>
    <t>Turnos</t>
  </si>
  <si>
    <t>Mañana (05:00 a 12:00)</t>
  </si>
  <si>
    <t>Tarde (12:00 a 21:00)</t>
  </si>
  <si>
    <t>Noche (21:00 a 05:00)</t>
  </si>
  <si>
    <t>Administrativo (08:00 a 18:30)</t>
  </si>
  <si>
    <t>Antigüedad</t>
  </si>
  <si>
    <t>Atencion</t>
  </si>
  <si>
    <t>Nuevo &lt;18 Meses</t>
  </si>
  <si>
    <t xml:space="preserve"> MES CTP</t>
  </si>
  <si>
    <t>Antiguo &gt;36 Meses</t>
  </si>
  <si>
    <t>Intermedio 18&lt;X&gt;36</t>
  </si>
  <si>
    <t>EP</t>
  </si>
  <si>
    <t>Proceso</t>
  </si>
  <si>
    <t>Trabajo Habitual</t>
  </si>
  <si>
    <t>Trabajo No Habitual</t>
  </si>
  <si>
    <t xml:space="preserve">SUPERVISORES  </t>
  </si>
  <si>
    <t>N° ACC.</t>
  </si>
  <si>
    <t>N° ACC CTP</t>
  </si>
  <si>
    <t>N° ACC STP</t>
  </si>
  <si>
    <t>Total Acc. CTP</t>
  </si>
  <si>
    <t>FABIAN GONZALEZ</t>
  </si>
  <si>
    <t>Total Acc. STP</t>
  </si>
  <si>
    <t>FELIPE HERRERA</t>
  </si>
  <si>
    <t>ORLANDO FARIAS</t>
  </si>
  <si>
    <t>MARCO QUINTANILLA</t>
  </si>
  <si>
    <t>EDGAR HERNANDEZ</t>
  </si>
  <si>
    <t>GERMAN RODRIGUEZ</t>
  </si>
  <si>
    <t>CRISTIAN MEZA</t>
  </si>
  <si>
    <t xml:space="preserve">MARCELA MARDONES </t>
  </si>
  <si>
    <t>MARIA EUGENIA YAÑEZ</t>
  </si>
  <si>
    <t>MICHEL CARVAJAL</t>
  </si>
  <si>
    <t>DANIEL GONZALEZ</t>
  </si>
  <si>
    <t>EMANUEL MELLADO</t>
  </si>
  <si>
    <t>DAVID MADARIAGA</t>
  </si>
  <si>
    <t>JORGE CONTRERAS</t>
  </si>
  <si>
    <t>FRANCISCO ACEVEDO</t>
  </si>
  <si>
    <t>PEDRO HUERTA</t>
  </si>
  <si>
    <t>HECNIMAR URDANETA</t>
  </si>
  <si>
    <t xml:space="preserve"> MAXIMO CAMPOS</t>
  </si>
  <si>
    <t>Planificación</t>
  </si>
  <si>
    <t>FRANCISCA YANTEN</t>
  </si>
  <si>
    <t>CALIXTO DIAZ</t>
  </si>
  <si>
    <t>Etiquetas de fila</t>
  </si>
  <si>
    <t>Cuenta de TIPO ACCIDENTE</t>
  </si>
  <si>
    <t>LGF7</t>
  </si>
  <si>
    <t>Cuenta de AREA</t>
  </si>
  <si>
    <t>Total general</t>
  </si>
  <si>
    <t>Cuenta de CLASIF ACC</t>
  </si>
  <si>
    <t>Cuenta de AGENTE ACC</t>
  </si>
  <si>
    <t>MIÉRCOLES</t>
  </si>
  <si>
    <t>CLASIFICACION LGF.</t>
  </si>
  <si>
    <t>Cuenta de MES</t>
  </si>
  <si>
    <t>Cuenta de PARTE AFECTADA</t>
  </si>
  <si>
    <t>Recuento de SECCION</t>
  </si>
  <si>
    <t>Cuenta de CLASIFICACION LGF</t>
  </si>
  <si>
    <t>Etiquetas de columna</t>
  </si>
  <si>
    <t>Cuenta de SUPERVISOR</t>
  </si>
  <si>
    <t>Recuento de PARTE AFECTADA</t>
  </si>
  <si>
    <t>Recuento de NATURALEZA DE LA LESION</t>
  </si>
  <si>
    <t>Recuento de TIPO ACCIDENTE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</si>
</sst>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0"/>
      <name val="Arial"/>
      <family val="2"/>
    </font>
    <font>
      <b/>
      <sz val="10"/>
      <name val="Arial"/>
      <family val="2"/>
    </font>
    <font>
      <u/>
      <sz val="10"/>
      <color indexed="12"/>
      <name val="Arial"/>
      <family val="2"/>
    </font>
    <font>
      <sz val="10"/>
      <name val="Calibri"/>
      <family val="2"/>
    </font>
    <font>
      <sz val="10"/>
      <name val="Arial"/>
      <family val="2"/>
    </font>
    <font>
      <sz val="8"/>
      <name val="Arial"/>
      <family val="2"/>
    </font>
    <font>
      <sz val="11"/>
      <color theme="1"/>
      <name val="Calibri"/>
      <family val="2"/>
      <scheme val="minor"/>
    </font>
    <font>
      <u/>
      <sz val="10"/>
      <color theme="10"/>
      <name val="Arial"/>
      <family val="2"/>
    </font>
    <font>
      <b/>
      <sz val="11"/>
      <color theme="1"/>
      <name val="Calibri"/>
      <family val="2"/>
      <scheme val="minor"/>
    </font>
    <font>
      <b/>
      <sz val="9"/>
      <color theme="0"/>
      <name val="Arial"/>
      <family val="2"/>
    </font>
    <font>
      <sz val="10"/>
      <color rgb="FF000000"/>
      <name val="Calibri"/>
      <family val="2"/>
    </font>
    <font>
      <sz val="10"/>
      <color theme="1"/>
      <name val="Calibri"/>
      <family val="2"/>
      <scheme val="minor"/>
    </font>
    <font>
      <sz val="10"/>
      <color indexed="8"/>
      <name val="Calibri"/>
      <family val="2"/>
      <scheme val="minor"/>
    </font>
    <font>
      <sz val="8"/>
      <color theme="1"/>
      <name val="Arial"/>
      <family val="2"/>
    </font>
    <font>
      <sz val="10"/>
      <color theme="1"/>
      <name val="Arial"/>
      <family val="2"/>
    </font>
    <font>
      <sz val="10"/>
      <name val="Calibri"/>
      <family val="2"/>
      <scheme val="minor"/>
    </font>
    <font>
      <b/>
      <sz val="10"/>
      <color indexed="8"/>
      <name val="Calibri"/>
      <family val="2"/>
      <scheme val="minor"/>
    </font>
    <font>
      <b/>
      <sz val="10"/>
      <name val="Calibri"/>
      <family val="2"/>
      <scheme val="minor"/>
    </font>
    <font>
      <b/>
      <sz val="10"/>
      <color theme="0"/>
      <name val="Calibri"/>
      <family val="2"/>
      <scheme val="minor"/>
    </font>
    <font>
      <b/>
      <sz val="10"/>
      <color rgb="FF000000"/>
      <name val="Calibri"/>
      <family val="2"/>
      <scheme val="minor"/>
    </font>
    <font>
      <b/>
      <sz val="10"/>
      <name val="Cambria"/>
      <family val="1"/>
      <scheme val="major"/>
    </font>
    <font>
      <b/>
      <sz val="10"/>
      <color rgb="FFFF0000"/>
      <name val="Cambria"/>
      <family val="1"/>
      <scheme val="major"/>
    </font>
    <font>
      <sz val="8"/>
      <name val="Calibri"/>
      <family val="2"/>
      <scheme val="minor"/>
    </font>
    <font>
      <b/>
      <sz val="10"/>
      <color theme="3"/>
      <name val="Calibri"/>
      <family val="2"/>
      <scheme val="minor"/>
    </font>
    <font>
      <b/>
      <sz val="10"/>
      <name val="Calibri"/>
      <family val="2"/>
    </font>
    <font>
      <b/>
      <sz val="10"/>
      <color rgb="FF000000"/>
      <name val="Calibri"/>
      <family val="2"/>
    </font>
    <font>
      <sz val="9"/>
      <color indexed="81"/>
      <name val="Tahoma"/>
      <family val="2"/>
    </font>
    <font>
      <b/>
      <sz val="9"/>
      <color indexed="81"/>
      <name val="Tahoma"/>
      <family val="2"/>
    </font>
  </fonts>
  <fills count="21">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65"/>
        <bgColor indexed="64"/>
      </patternFill>
    </fill>
    <fill>
      <patternFill patternType="solid">
        <fgColor indexed="44"/>
        <bgColor indexed="64"/>
      </patternFill>
    </fill>
    <fill>
      <patternFill patternType="solid">
        <fgColor indexed="26"/>
        <bgColor indexed="64"/>
      </patternFill>
    </fill>
    <fill>
      <patternFill patternType="solid">
        <fgColor indexed="60"/>
        <bgColor indexed="64"/>
      </patternFill>
    </fill>
    <fill>
      <patternFill patternType="solid">
        <fgColor theme="1" tint="0.34998626667073579"/>
        <bgColor indexed="64"/>
      </patternFill>
    </fill>
    <fill>
      <patternFill patternType="solid">
        <fgColor theme="3" tint="0.39997558519241921"/>
        <bgColor indexed="64"/>
      </patternFill>
    </fill>
    <fill>
      <patternFill patternType="solid">
        <fgColor theme="0"/>
        <bgColor indexed="64"/>
      </patternFill>
    </fill>
    <fill>
      <patternFill patternType="solid">
        <fgColor rgb="FFFFFF00"/>
        <bgColor indexed="64"/>
      </patternFill>
    </fill>
    <fill>
      <patternFill patternType="solid">
        <fgColor theme="5" tint="0.39997558519241921"/>
        <bgColor rgb="FF000000"/>
      </patternFill>
    </fill>
    <fill>
      <patternFill patternType="solid">
        <fgColor theme="1" tint="0.499984740745262"/>
        <bgColor indexed="64"/>
      </patternFill>
    </fill>
    <fill>
      <patternFill patternType="solid">
        <fgColor rgb="FFFFFFFF"/>
        <bgColor rgb="FF000000"/>
      </patternFill>
    </fill>
    <fill>
      <patternFill patternType="solid">
        <fgColor theme="5" tint="0.79998168889431442"/>
        <bgColor rgb="FF000000"/>
      </patternFill>
    </fill>
    <fill>
      <patternFill patternType="solid">
        <fgColor rgb="FFF2DDDC"/>
        <bgColor rgb="FF000000"/>
      </patternFill>
    </fill>
    <fill>
      <patternFill patternType="solid">
        <fgColor theme="0"/>
        <bgColor theme="0" tint="-4.9989318521683403E-2"/>
      </patternFill>
    </fill>
    <fill>
      <patternFill patternType="solid">
        <fgColor theme="0"/>
        <bgColor rgb="FF000000"/>
      </patternFill>
    </fill>
    <fill>
      <patternFill patternType="solid">
        <fgColor rgb="FFFFFF00"/>
        <bgColor theme="0" tint="-4.9989318521683403E-2"/>
      </patternFill>
    </fill>
    <fill>
      <patternFill patternType="solid">
        <fgColor rgb="FF92D050"/>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hair">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2">
    <xf numFmtId="0" fontId="0" fillId="0" borderId="0"/>
    <xf numFmtId="0" fontId="1" fillId="0" borderId="0" applyFont="0" applyFill="0" applyBorder="0" applyAlignment="0" applyProtection="0"/>
    <xf numFmtId="0" fontId="3"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5" fillId="0" borderId="0"/>
    <xf numFmtId="0" fontId="1" fillId="0" borderId="0"/>
    <xf numFmtId="9" fontId="7" fillId="0" borderId="0" applyFont="0" applyFill="0" applyBorder="0" applyAlignment="0" applyProtection="0"/>
    <xf numFmtId="9" fontId="1" fillId="0" borderId="0" applyFont="0" applyFill="0" applyBorder="0" applyAlignment="0" applyProtection="0"/>
  </cellStyleXfs>
  <cellXfs count="311">
    <xf numFmtId="0" fontId="0" fillId="0" borderId="0" xfId="0"/>
    <xf numFmtId="0" fontId="0" fillId="0" borderId="1" xfId="0" applyBorder="1"/>
    <xf numFmtId="0" fontId="10" fillId="8" borderId="2" xfId="4" applyFont="1" applyFill="1" applyBorder="1" applyAlignment="1">
      <alignment horizontal="center" vertical="center" wrapText="1"/>
    </xf>
    <xf numFmtId="0" fontId="1" fillId="0" borderId="0" xfId="4" applyAlignment="1">
      <alignment horizontal="left"/>
    </xf>
    <xf numFmtId="0" fontId="4" fillId="0" borderId="0" xfId="4" applyFont="1"/>
    <xf numFmtId="0" fontId="4" fillId="0" borderId="0" xfId="4" applyFont="1" applyAlignment="1">
      <alignment horizontal="center"/>
    </xf>
    <xf numFmtId="0" fontId="0" fillId="0" borderId="0" xfId="0" applyAlignment="1">
      <alignment horizontal="center"/>
    </xf>
    <xf numFmtId="0" fontId="5" fillId="0" borderId="0" xfId="8"/>
    <xf numFmtId="0" fontId="1" fillId="0" borderId="0" xfId="8" applyFont="1"/>
    <xf numFmtId="0" fontId="0" fillId="0" borderId="1" xfId="0" applyBorder="1" applyAlignment="1">
      <alignment horizontal="center"/>
    </xf>
    <xf numFmtId="14" fontId="0" fillId="0" borderId="1" xfId="0" applyNumberFormat="1" applyBorder="1" applyAlignment="1">
      <alignment horizontal="center"/>
    </xf>
    <xf numFmtId="0" fontId="0" fillId="0" borderId="1" xfId="0" applyBorder="1" applyAlignment="1">
      <alignment horizontal="center" wrapText="1"/>
    </xf>
    <xf numFmtId="14" fontId="0" fillId="0" borderId="1" xfId="0" applyNumberFormat="1" applyBorder="1"/>
    <xf numFmtId="0" fontId="0" fillId="10" borderId="1" xfId="0" applyFill="1" applyBorder="1" applyAlignment="1">
      <alignment horizontal="left"/>
    </xf>
    <xf numFmtId="0" fontId="0" fillId="10" borderId="0" xfId="0" applyFill="1" applyAlignment="1">
      <alignment horizontal="left"/>
    </xf>
    <xf numFmtId="0" fontId="6" fillId="10" borderId="0" xfId="4" applyFont="1" applyFill="1" applyAlignment="1">
      <alignment horizontal="center" wrapText="1"/>
    </xf>
    <xf numFmtId="0" fontId="9" fillId="11" borderId="1" xfId="0" applyFont="1" applyFill="1" applyBorder="1" applyAlignment="1">
      <alignment horizontal="center"/>
    </xf>
    <xf numFmtId="0" fontId="9" fillId="11" borderId="1" xfId="0" applyFont="1" applyFill="1" applyBorder="1" applyAlignment="1">
      <alignment horizontal="center" vertical="center"/>
    </xf>
    <xf numFmtId="0" fontId="6" fillId="10" borderId="0" xfId="4" applyFont="1" applyFill="1" applyAlignment="1">
      <alignment horizontal="left" vertical="center" wrapText="1"/>
    </xf>
    <xf numFmtId="0" fontId="6" fillId="10" borderId="0" xfId="4" applyFont="1" applyFill="1" applyAlignment="1">
      <alignment horizontal="left" vertical="center"/>
    </xf>
    <xf numFmtId="0" fontId="0" fillId="10" borderId="2" xfId="0" applyFill="1" applyBorder="1" applyAlignment="1">
      <alignment horizontal="left"/>
    </xf>
    <xf numFmtId="20" fontId="0" fillId="0" borderId="1" xfId="0" applyNumberFormat="1" applyBorder="1" applyAlignment="1">
      <alignment horizontal="center"/>
    </xf>
    <xf numFmtId="0" fontId="11" fillId="0" borderId="0" xfId="4" applyFont="1" applyAlignment="1">
      <alignment horizontal="center"/>
    </xf>
    <xf numFmtId="0" fontId="0" fillId="0" borderId="1" xfId="0" applyBorder="1" applyAlignment="1">
      <alignment horizontal="left"/>
    </xf>
    <xf numFmtId="0" fontId="9" fillId="11" borderId="2" xfId="0" applyFont="1" applyFill="1" applyBorder="1" applyAlignment="1">
      <alignment horizontal="center"/>
    </xf>
    <xf numFmtId="0" fontId="6" fillId="10" borderId="3" xfId="4" applyFont="1" applyFill="1" applyBorder="1" applyAlignment="1">
      <alignment horizontal="center" wrapText="1"/>
    </xf>
    <xf numFmtId="0" fontId="6" fillId="10" borderId="3" xfId="0" applyFont="1" applyFill="1" applyBorder="1" applyAlignment="1">
      <alignment horizontal="center" wrapText="1"/>
    </xf>
    <xf numFmtId="0" fontId="0" fillId="0" borderId="4" xfId="0" applyBorder="1" applyAlignment="1">
      <alignment horizontal="center"/>
    </xf>
    <xf numFmtId="0" fontId="6" fillId="10" borderId="5" xfId="4" applyFont="1" applyFill="1" applyBorder="1" applyAlignment="1">
      <alignment horizontal="center" wrapText="1"/>
    </xf>
    <xf numFmtId="0" fontId="6" fillId="10" borderId="5" xfId="0" applyFont="1" applyFill="1" applyBorder="1" applyAlignment="1">
      <alignment horizontal="center" wrapText="1"/>
    </xf>
    <xf numFmtId="0" fontId="0" fillId="0" borderId="0" xfId="0" applyAlignment="1">
      <alignment horizontal="left"/>
    </xf>
    <xf numFmtId="0" fontId="0" fillId="0" borderId="0" xfId="0" applyAlignment="1">
      <alignment horizontal="right"/>
    </xf>
    <xf numFmtId="0" fontId="12" fillId="0" borderId="0" xfId="0" applyFont="1" applyAlignment="1">
      <alignment horizontal="center" vertical="center"/>
    </xf>
    <xf numFmtId="0" fontId="12" fillId="0" borderId="6" xfId="0" applyFont="1" applyBorder="1" applyAlignment="1">
      <alignment horizontal="center" vertical="center"/>
    </xf>
    <xf numFmtId="0" fontId="0" fillId="0" borderId="7" xfId="0" applyBorder="1" applyAlignment="1">
      <alignment horizontal="center"/>
    </xf>
    <xf numFmtId="0" fontId="13" fillId="10" borderId="8" xfId="9" applyFont="1" applyFill="1" applyBorder="1" applyAlignment="1">
      <alignment horizontal="left"/>
    </xf>
    <xf numFmtId="0" fontId="6" fillId="0" borderId="5" xfId="4" applyFont="1" applyBorder="1" applyAlignment="1">
      <alignment horizontal="center" wrapText="1"/>
    </xf>
    <xf numFmtId="0" fontId="6" fillId="0" borderId="5" xfId="0" applyFont="1" applyBorder="1" applyAlignment="1">
      <alignment horizontal="center" wrapText="1"/>
    </xf>
    <xf numFmtId="0" fontId="6" fillId="0" borderId="3" xfId="0" applyFont="1" applyBorder="1" applyAlignment="1">
      <alignment horizontal="center" wrapText="1"/>
    </xf>
    <xf numFmtId="0" fontId="14" fillId="0" borderId="1" xfId="0" applyFont="1" applyBorder="1" applyAlignment="1">
      <alignment horizontal="center"/>
    </xf>
    <xf numFmtId="0" fontId="0" fillId="0" borderId="1" xfId="0" applyBorder="1" applyAlignment="1">
      <alignment horizontal="center" vertical="center"/>
    </xf>
    <xf numFmtId="0" fontId="2" fillId="4" borderId="0" xfId="4" applyFont="1" applyFill="1" applyAlignment="1">
      <alignment horizontal="left"/>
    </xf>
    <xf numFmtId="0" fontId="0" fillId="10" borderId="1" xfId="0" applyFill="1" applyBorder="1" applyAlignment="1">
      <alignment horizontal="center"/>
    </xf>
    <xf numFmtId="0" fontId="14" fillId="10" borderId="3" xfId="0" applyFont="1" applyFill="1" applyBorder="1" applyAlignment="1">
      <alignment horizontal="center"/>
    </xf>
    <xf numFmtId="0" fontId="14" fillId="10" borderId="5" xfId="0" applyFont="1" applyFill="1" applyBorder="1" applyAlignment="1">
      <alignment horizontal="center"/>
    </xf>
    <xf numFmtId="0" fontId="6" fillId="10" borderId="1" xfId="0" applyFont="1" applyFill="1" applyBorder="1" applyAlignment="1">
      <alignment horizontal="center" wrapText="1"/>
    </xf>
    <xf numFmtId="0" fontId="6" fillId="10" borderId="1" xfId="4" applyFont="1" applyFill="1" applyBorder="1" applyAlignment="1">
      <alignment horizontal="center" wrapText="1"/>
    </xf>
    <xf numFmtId="0" fontId="1" fillId="11" borderId="1" xfId="0" applyFont="1" applyFill="1" applyBorder="1" applyAlignment="1">
      <alignment horizontal="center" vertical="center" wrapText="1"/>
    </xf>
    <xf numFmtId="0" fontId="0" fillId="0" borderId="0" xfId="0" applyAlignment="1">
      <alignment horizontal="center" vertical="center" wrapText="1"/>
    </xf>
    <xf numFmtId="0" fontId="12" fillId="17" borderId="8" xfId="0" applyFont="1" applyFill="1" applyBorder="1"/>
    <xf numFmtId="0" fontId="13" fillId="2" borderId="12" xfId="9" applyFont="1" applyFill="1" applyBorder="1"/>
    <xf numFmtId="0" fontId="16" fillId="0" borderId="0" xfId="8" applyFont="1"/>
    <xf numFmtId="0" fontId="17" fillId="5" borderId="13" xfId="9" applyFont="1" applyFill="1" applyBorder="1" applyAlignment="1">
      <alignment horizontal="center"/>
    </xf>
    <xf numFmtId="0" fontId="17" fillId="5" borderId="14" xfId="9" applyFont="1" applyFill="1" applyBorder="1" applyAlignment="1">
      <alignment horizontal="center"/>
    </xf>
    <xf numFmtId="0" fontId="17" fillId="5" borderId="15" xfId="9" applyFont="1" applyFill="1" applyBorder="1" applyAlignment="1">
      <alignment horizontal="center"/>
    </xf>
    <xf numFmtId="0" fontId="17" fillId="5" borderId="16" xfId="9" applyFont="1" applyFill="1" applyBorder="1" applyAlignment="1">
      <alignment horizontal="center"/>
    </xf>
    <xf numFmtId="0" fontId="17" fillId="5" borderId="9" xfId="9" applyFont="1" applyFill="1" applyBorder="1" applyAlignment="1">
      <alignment horizontal="center"/>
    </xf>
    <xf numFmtId="0" fontId="13" fillId="2" borderId="8" xfId="9" applyFont="1" applyFill="1" applyBorder="1" applyAlignment="1">
      <alignment horizontal="center"/>
    </xf>
    <xf numFmtId="9" fontId="13" fillId="2" borderId="9" xfId="11" applyFont="1" applyFill="1" applyBorder="1"/>
    <xf numFmtId="9" fontId="13" fillId="2" borderId="17" xfId="11" applyFont="1" applyFill="1" applyBorder="1"/>
    <xf numFmtId="9" fontId="13" fillId="2" borderId="12" xfId="11" applyFont="1" applyFill="1" applyBorder="1"/>
    <xf numFmtId="0" fontId="13" fillId="2" borderId="12" xfId="9" applyFont="1" applyFill="1" applyBorder="1" applyAlignment="1">
      <alignment horizontal="center"/>
    </xf>
    <xf numFmtId="0" fontId="16" fillId="0" borderId="12" xfId="8" applyFont="1" applyBorder="1"/>
    <xf numFmtId="9" fontId="13" fillId="2" borderId="19" xfId="11" applyFont="1" applyFill="1" applyBorder="1"/>
    <xf numFmtId="0" fontId="17" fillId="6" borderId="14" xfId="9" applyFont="1" applyFill="1" applyBorder="1" applyAlignment="1">
      <alignment horizontal="center"/>
    </xf>
    <xf numFmtId="1" fontId="17" fillId="6" borderId="14" xfId="9" applyNumberFormat="1" applyFont="1" applyFill="1" applyBorder="1" applyAlignment="1">
      <alignment horizontal="center"/>
    </xf>
    <xf numFmtId="9" fontId="17" fillId="6" borderId="19" xfId="11" applyFont="1" applyFill="1" applyBorder="1"/>
    <xf numFmtId="9" fontId="17" fillId="6" borderId="14" xfId="11" applyFont="1" applyFill="1" applyBorder="1"/>
    <xf numFmtId="0" fontId="18" fillId="5" borderId="13" xfId="9" applyFont="1" applyFill="1" applyBorder="1" applyAlignment="1">
      <alignment horizontal="center"/>
    </xf>
    <xf numFmtId="0" fontId="18" fillId="5" borderId="14" xfId="9" applyFont="1" applyFill="1" applyBorder="1" applyAlignment="1">
      <alignment horizontal="center"/>
    </xf>
    <xf numFmtId="0" fontId="18" fillId="5" borderId="20" xfId="9" applyFont="1" applyFill="1" applyBorder="1" applyAlignment="1">
      <alignment horizontal="center"/>
    </xf>
    <xf numFmtId="0" fontId="13" fillId="2" borderId="8" xfId="9" applyFont="1" applyFill="1" applyBorder="1" applyAlignment="1">
      <alignment horizontal="left"/>
    </xf>
    <xf numFmtId="0" fontId="16" fillId="10" borderId="8" xfId="5" applyFont="1" applyFill="1" applyBorder="1" applyAlignment="1">
      <alignment horizontal="left"/>
    </xf>
    <xf numFmtId="9" fontId="13" fillId="2" borderId="21" xfId="11" applyFont="1" applyFill="1" applyBorder="1"/>
    <xf numFmtId="0" fontId="16" fillId="0" borderId="19" xfId="8" applyFont="1" applyBorder="1"/>
    <xf numFmtId="0" fontId="17" fillId="5" borderId="20" xfId="9" applyFont="1" applyFill="1" applyBorder="1" applyAlignment="1">
      <alignment horizontal="center"/>
    </xf>
    <xf numFmtId="0" fontId="17" fillId="6" borderId="13" xfId="9" applyFont="1" applyFill="1" applyBorder="1"/>
    <xf numFmtId="9" fontId="17" fillId="6" borderId="20" xfId="11" applyFont="1" applyFill="1" applyBorder="1"/>
    <xf numFmtId="0" fontId="13" fillId="2" borderId="22" xfId="9" applyFont="1" applyFill="1" applyBorder="1"/>
    <xf numFmtId="1" fontId="13" fillId="2" borderId="12" xfId="9" applyNumberFormat="1" applyFont="1" applyFill="1" applyBorder="1" applyAlignment="1">
      <alignment horizontal="center"/>
    </xf>
    <xf numFmtId="9" fontId="13" fillId="2" borderId="0" xfId="11" applyFont="1" applyFill="1" applyBorder="1"/>
    <xf numFmtId="1" fontId="13" fillId="0" borderId="12" xfId="9" applyNumberFormat="1" applyFont="1" applyBorder="1" applyAlignment="1">
      <alignment horizontal="center"/>
    </xf>
    <xf numFmtId="0" fontId="19" fillId="3" borderId="23" xfId="9" applyFont="1" applyFill="1" applyBorder="1"/>
    <xf numFmtId="1" fontId="19" fillId="3" borderId="19" xfId="9" applyNumberFormat="1" applyFont="1" applyFill="1" applyBorder="1" applyAlignment="1">
      <alignment horizontal="center"/>
    </xf>
    <xf numFmtId="0" fontId="19" fillId="7" borderId="14" xfId="9" applyFont="1" applyFill="1" applyBorder="1"/>
    <xf numFmtId="1" fontId="19" fillId="7" borderId="14" xfId="8" applyNumberFormat="1" applyFont="1" applyFill="1" applyBorder="1" applyAlignment="1">
      <alignment horizontal="center"/>
    </xf>
    <xf numFmtId="0" fontId="16" fillId="10" borderId="12" xfId="5" applyFont="1" applyFill="1" applyBorder="1" applyAlignment="1">
      <alignment horizontal="left"/>
    </xf>
    <xf numFmtId="0" fontId="13" fillId="2" borderId="24" xfId="9" applyFont="1" applyFill="1" applyBorder="1"/>
    <xf numFmtId="0" fontId="13" fillId="0" borderId="25" xfId="9" applyFont="1" applyBorder="1" applyAlignment="1">
      <alignment horizontal="center"/>
    </xf>
    <xf numFmtId="0" fontId="13" fillId="2" borderId="26" xfId="9" applyFont="1" applyFill="1" applyBorder="1"/>
    <xf numFmtId="0" fontId="13" fillId="2" borderId="19" xfId="9" applyFont="1" applyFill="1" applyBorder="1"/>
    <xf numFmtId="0" fontId="17" fillId="6" borderId="14" xfId="9" applyFont="1" applyFill="1" applyBorder="1"/>
    <xf numFmtId="1" fontId="13" fillId="2" borderId="22" xfId="8" applyNumberFormat="1" applyFont="1" applyFill="1" applyBorder="1"/>
    <xf numFmtId="0" fontId="13" fillId="2" borderId="11" xfId="9" applyFont="1" applyFill="1" applyBorder="1" applyAlignment="1">
      <alignment horizontal="left"/>
    </xf>
    <xf numFmtId="0" fontId="13" fillId="2" borderId="11" xfId="9" applyFont="1" applyFill="1" applyBorder="1" applyAlignment="1">
      <alignment horizontal="center"/>
    </xf>
    <xf numFmtId="1" fontId="16" fillId="0" borderId="0" xfId="8" applyNumberFormat="1" applyFont="1"/>
    <xf numFmtId="0" fontId="17" fillId="6" borderId="16" xfId="9" applyFont="1" applyFill="1" applyBorder="1"/>
    <xf numFmtId="9" fontId="17" fillId="6" borderId="27" xfId="11" applyFont="1" applyFill="1" applyBorder="1"/>
    <xf numFmtId="1" fontId="17" fillId="6" borderId="28" xfId="9" applyNumberFormat="1" applyFont="1" applyFill="1" applyBorder="1" applyAlignment="1">
      <alignment horizontal="center"/>
    </xf>
    <xf numFmtId="0" fontId="17" fillId="5" borderId="29" xfId="9" applyFont="1" applyFill="1" applyBorder="1" applyAlignment="1">
      <alignment horizontal="center"/>
    </xf>
    <xf numFmtId="0" fontId="13" fillId="2" borderId="8" xfId="9" applyFont="1" applyFill="1" applyBorder="1"/>
    <xf numFmtId="0" fontId="13" fillId="2" borderId="30" xfId="9" applyFont="1" applyFill="1" applyBorder="1"/>
    <xf numFmtId="0" fontId="13" fillId="2" borderId="31" xfId="9" applyFont="1" applyFill="1" applyBorder="1"/>
    <xf numFmtId="0" fontId="17" fillId="6" borderId="19" xfId="9" applyFont="1" applyFill="1" applyBorder="1" applyAlignment="1">
      <alignment horizontal="center"/>
    </xf>
    <xf numFmtId="1" fontId="17" fillId="6" borderId="32" xfId="9" applyNumberFormat="1" applyFont="1" applyFill="1" applyBorder="1" applyAlignment="1">
      <alignment horizontal="center"/>
    </xf>
    <xf numFmtId="0" fontId="13" fillId="2" borderId="19" xfId="9" applyFont="1" applyFill="1" applyBorder="1" applyAlignment="1">
      <alignment horizontal="center"/>
    </xf>
    <xf numFmtId="0" fontId="17" fillId="5" borderId="33" xfId="9" applyFont="1" applyFill="1" applyBorder="1" applyAlignment="1">
      <alignment horizontal="center"/>
    </xf>
    <xf numFmtId="0" fontId="16" fillId="0" borderId="34" xfId="8" applyFont="1" applyBorder="1"/>
    <xf numFmtId="0" fontId="13" fillId="2" borderId="35" xfId="9" applyFont="1" applyFill="1" applyBorder="1" applyAlignment="1">
      <alignment horizontal="center"/>
    </xf>
    <xf numFmtId="9" fontId="13" fillId="2" borderId="35" xfId="11" applyFont="1" applyFill="1" applyBorder="1"/>
    <xf numFmtId="9" fontId="16" fillId="0" borderId="36" xfId="8" applyNumberFormat="1" applyFont="1" applyBorder="1"/>
    <xf numFmtId="0" fontId="20" fillId="18" borderId="11" xfId="4" applyFont="1" applyFill="1" applyBorder="1" applyAlignment="1">
      <alignment horizontal="left"/>
    </xf>
    <xf numFmtId="0" fontId="13" fillId="10" borderId="9" xfId="9" applyFont="1" applyFill="1" applyBorder="1" applyAlignment="1">
      <alignment horizontal="center"/>
    </xf>
    <xf numFmtId="9" fontId="13" fillId="10" borderId="9" xfId="11" applyFont="1" applyFill="1" applyBorder="1"/>
    <xf numFmtId="0" fontId="16" fillId="0" borderId="37" xfId="8" applyFont="1" applyBorder="1"/>
    <xf numFmtId="0" fontId="13" fillId="2" borderId="1" xfId="9" applyFont="1" applyFill="1" applyBorder="1" applyAlignment="1">
      <alignment horizontal="center"/>
    </xf>
    <xf numFmtId="9" fontId="13" fillId="2" borderId="1" xfId="11" applyFont="1" applyFill="1" applyBorder="1"/>
    <xf numFmtId="9" fontId="13" fillId="2" borderId="38" xfId="11" applyFont="1" applyFill="1" applyBorder="1"/>
    <xf numFmtId="0" fontId="18" fillId="18" borderId="8" xfId="4" applyFont="1" applyFill="1" applyBorder="1" applyAlignment="1">
      <alignment horizontal="left"/>
    </xf>
    <xf numFmtId="0" fontId="13" fillId="10" borderId="12" xfId="9" applyFont="1" applyFill="1" applyBorder="1" applyAlignment="1">
      <alignment horizontal="center"/>
    </xf>
    <xf numFmtId="9" fontId="13" fillId="10" borderId="12" xfId="11" applyFont="1" applyFill="1" applyBorder="1"/>
    <xf numFmtId="0" fontId="20" fillId="10" borderId="8" xfId="4" applyFont="1" applyFill="1" applyBorder="1" applyAlignment="1">
      <alignment horizontal="left"/>
    </xf>
    <xf numFmtId="0" fontId="17" fillId="6" borderId="39" xfId="9" applyFont="1" applyFill="1" applyBorder="1" applyAlignment="1">
      <alignment horizontal="center"/>
    </xf>
    <xf numFmtId="1" fontId="17" fillId="6" borderId="40" xfId="9" applyNumberFormat="1" applyFont="1" applyFill="1" applyBorder="1" applyAlignment="1">
      <alignment horizontal="center"/>
    </xf>
    <xf numFmtId="9" fontId="17" fillId="6" borderId="40" xfId="11" applyFont="1" applyFill="1" applyBorder="1"/>
    <xf numFmtId="9" fontId="17" fillId="6" borderId="41" xfId="11" applyFont="1" applyFill="1" applyBorder="1"/>
    <xf numFmtId="0" fontId="20" fillId="18" borderId="30" xfId="4" applyFont="1" applyFill="1" applyBorder="1" applyAlignment="1">
      <alignment horizontal="left"/>
    </xf>
    <xf numFmtId="0" fontId="13" fillId="10" borderId="19" xfId="9" applyFont="1" applyFill="1" applyBorder="1" applyAlignment="1">
      <alignment horizontal="center"/>
    </xf>
    <xf numFmtId="9" fontId="13" fillId="10" borderId="19" xfId="11" applyFont="1" applyFill="1" applyBorder="1"/>
    <xf numFmtId="0" fontId="17" fillId="5" borderId="34" xfId="9" applyFont="1" applyFill="1" applyBorder="1" applyAlignment="1">
      <alignment horizontal="center"/>
    </xf>
    <xf numFmtId="0" fontId="17" fillId="5" borderId="35" xfId="9" applyFont="1" applyFill="1" applyBorder="1" applyAlignment="1">
      <alignment horizontal="center"/>
    </xf>
    <xf numFmtId="0" fontId="17" fillId="5" borderId="36" xfId="9" applyFont="1" applyFill="1" applyBorder="1" applyAlignment="1">
      <alignment horizontal="center"/>
    </xf>
    <xf numFmtId="0" fontId="13" fillId="2" borderId="37" xfId="9" applyFont="1" applyFill="1" applyBorder="1" applyAlignment="1">
      <alignment horizontal="left"/>
    </xf>
    <xf numFmtId="0" fontId="18" fillId="18" borderId="0" xfId="4" applyFont="1" applyFill="1" applyAlignment="1">
      <alignment horizontal="left"/>
    </xf>
    <xf numFmtId="0" fontId="13" fillId="10" borderId="0" xfId="9" applyFont="1" applyFill="1" applyAlignment="1">
      <alignment horizontal="center"/>
    </xf>
    <xf numFmtId="9" fontId="13" fillId="10" borderId="0" xfId="11" applyFont="1" applyFill="1" applyBorder="1"/>
    <xf numFmtId="0" fontId="20" fillId="10" borderId="0" xfId="4" applyFont="1" applyFill="1" applyAlignment="1">
      <alignment horizontal="left"/>
    </xf>
    <xf numFmtId="0" fontId="20" fillId="18" borderId="0" xfId="4" applyFont="1" applyFill="1" applyAlignment="1">
      <alignment horizontal="left"/>
    </xf>
    <xf numFmtId="0" fontId="13" fillId="2" borderId="25" xfId="9" applyFont="1" applyFill="1" applyBorder="1" applyAlignment="1">
      <alignment horizontal="center"/>
    </xf>
    <xf numFmtId="0" fontId="18" fillId="10" borderId="0" xfId="4" applyFont="1" applyFill="1" applyAlignment="1">
      <alignment horizontal="left"/>
    </xf>
    <xf numFmtId="0" fontId="16" fillId="10" borderId="0" xfId="8" applyFont="1" applyFill="1"/>
    <xf numFmtId="0" fontId="16" fillId="0" borderId="0" xfId="8" applyFont="1" applyAlignment="1">
      <alignment horizontal="left"/>
    </xf>
    <xf numFmtId="0" fontId="16" fillId="0" borderId="1" xfId="8" applyFont="1" applyBorder="1" applyAlignment="1">
      <alignment horizontal="center" vertical="center"/>
    </xf>
    <xf numFmtId="0" fontId="12" fillId="17" borderId="37" xfId="0" applyFont="1" applyFill="1" applyBorder="1"/>
    <xf numFmtId="0" fontId="13" fillId="10" borderId="37" xfId="9" applyFont="1" applyFill="1" applyBorder="1" applyAlignment="1">
      <alignment horizontal="left"/>
    </xf>
    <xf numFmtId="9" fontId="17" fillId="6" borderId="39" xfId="11" applyFont="1" applyFill="1" applyBorder="1"/>
    <xf numFmtId="9" fontId="17" fillId="6" borderId="41" xfId="10" applyFont="1" applyFill="1" applyBorder="1" applyAlignment="1">
      <alignment horizontal="center"/>
    </xf>
    <xf numFmtId="1" fontId="17" fillId="6" borderId="40" xfId="11" applyNumberFormat="1" applyFont="1" applyFill="1" applyBorder="1" applyAlignment="1">
      <alignment horizontal="center"/>
    </xf>
    <xf numFmtId="9" fontId="16" fillId="0" borderId="38" xfId="10" applyFont="1" applyBorder="1" applyAlignment="1">
      <alignment horizontal="center"/>
    </xf>
    <xf numFmtId="1" fontId="17" fillId="6" borderId="40" xfId="11" applyNumberFormat="1" applyFont="1" applyFill="1" applyBorder="1" applyAlignment="1">
      <alignment horizontal="center" vertical="center"/>
    </xf>
    <xf numFmtId="0" fontId="16" fillId="11" borderId="37" xfId="8" applyFont="1" applyFill="1" applyBorder="1"/>
    <xf numFmtId="0" fontId="16" fillId="11" borderId="1" xfId="8" applyFont="1" applyFill="1" applyBorder="1" applyAlignment="1">
      <alignment horizontal="center" vertical="center"/>
    </xf>
    <xf numFmtId="9" fontId="16" fillId="11" borderId="38" xfId="10" applyFont="1" applyFill="1" applyBorder="1" applyAlignment="1">
      <alignment horizontal="center"/>
    </xf>
    <xf numFmtId="0" fontId="17" fillId="6" borderId="39" xfId="9" applyFont="1" applyFill="1" applyBorder="1"/>
    <xf numFmtId="0" fontId="17" fillId="6" borderId="40" xfId="9" applyFont="1" applyFill="1" applyBorder="1" applyAlignment="1">
      <alignment horizontal="center" vertical="center"/>
    </xf>
    <xf numFmtId="0" fontId="17" fillId="6" borderId="42" xfId="9" applyFont="1" applyFill="1" applyBorder="1"/>
    <xf numFmtId="0" fontId="17" fillId="6" borderId="2" xfId="9" applyFont="1" applyFill="1" applyBorder="1" applyAlignment="1">
      <alignment horizontal="center" vertical="center"/>
    </xf>
    <xf numFmtId="0" fontId="17" fillId="5" borderId="43" xfId="9" applyFont="1" applyFill="1" applyBorder="1" applyAlignment="1">
      <alignment horizontal="center"/>
    </xf>
    <xf numFmtId="0" fontId="17" fillId="5" borderId="43" xfId="9" applyFont="1" applyFill="1" applyBorder="1" applyAlignment="1">
      <alignment horizontal="center" vertical="center"/>
    </xf>
    <xf numFmtId="0" fontId="17" fillId="5" borderId="20" xfId="9" applyFont="1" applyFill="1" applyBorder="1" applyAlignment="1">
      <alignment horizontal="center" vertical="center"/>
    </xf>
    <xf numFmtId="9" fontId="17" fillId="6" borderId="44" xfId="9" applyNumberFormat="1" applyFont="1" applyFill="1" applyBorder="1" applyAlignment="1">
      <alignment horizontal="center" vertical="center"/>
    </xf>
    <xf numFmtId="9" fontId="16" fillId="0" borderId="26" xfId="10" applyFont="1" applyBorder="1" applyAlignment="1">
      <alignment horizontal="center" vertical="center"/>
    </xf>
    <xf numFmtId="9" fontId="17" fillId="6" borderId="41" xfId="9" applyNumberFormat="1" applyFont="1" applyFill="1" applyBorder="1" applyAlignment="1">
      <alignment horizontal="center" vertical="center"/>
    </xf>
    <xf numFmtId="0" fontId="16" fillId="11" borderId="24" xfId="8" applyFont="1" applyFill="1" applyBorder="1"/>
    <xf numFmtId="0" fontId="16" fillId="11" borderId="7" xfId="8" applyFont="1" applyFill="1" applyBorder="1" applyAlignment="1">
      <alignment horizontal="center" vertical="center"/>
    </xf>
    <xf numFmtId="9" fontId="16" fillId="11" borderId="26" xfId="10" applyFont="1" applyFill="1" applyBorder="1" applyAlignment="1">
      <alignment horizontal="center" vertical="center"/>
    </xf>
    <xf numFmtId="0" fontId="12" fillId="19" borderId="37" xfId="0" applyFont="1" applyFill="1" applyBorder="1"/>
    <xf numFmtId="0" fontId="13" fillId="2" borderId="0" xfId="9" applyFont="1" applyFill="1" applyAlignment="1">
      <alignment horizontal="center"/>
    </xf>
    <xf numFmtId="0" fontId="13" fillId="2" borderId="0" xfId="9" applyFont="1" applyFill="1"/>
    <xf numFmtId="0" fontId="13" fillId="2" borderId="0" xfId="9" applyFont="1" applyFill="1" applyAlignment="1">
      <alignment horizontal="left"/>
    </xf>
    <xf numFmtId="0" fontId="16" fillId="10" borderId="22" xfId="5" applyFont="1" applyFill="1" applyBorder="1" applyAlignment="1">
      <alignment horizontal="left"/>
    </xf>
    <xf numFmtId="0" fontId="15" fillId="9" borderId="2" xfId="4" applyFont="1" applyFill="1" applyBorder="1" applyAlignment="1">
      <alignment horizontal="center" vertical="center" wrapText="1"/>
    </xf>
    <xf numFmtId="0" fontId="1" fillId="11" borderId="2" xfId="0" applyFont="1" applyFill="1" applyBorder="1" applyAlignment="1">
      <alignment horizontal="center" vertical="center" wrapText="1"/>
    </xf>
    <xf numFmtId="0" fontId="12" fillId="0" borderId="0" xfId="0" applyFont="1" applyAlignment="1">
      <alignment horizontal="center"/>
    </xf>
    <xf numFmtId="0" fontId="12" fillId="0" borderId="0" xfId="0" applyFont="1" applyAlignment="1">
      <alignment wrapText="1"/>
    </xf>
    <xf numFmtId="0" fontId="12" fillId="0" borderId="0" xfId="0" applyFont="1"/>
    <xf numFmtId="0" fontId="12" fillId="0" borderId="0" xfId="0" applyFont="1" applyAlignment="1">
      <alignment horizontal="center" wrapText="1"/>
    </xf>
    <xf numFmtId="0" fontId="1" fillId="11" borderId="2" xfId="4" applyFill="1" applyBorder="1" applyAlignment="1">
      <alignment horizontal="center" vertical="center" wrapText="1"/>
    </xf>
    <xf numFmtId="0" fontId="1" fillId="9" borderId="2" xfId="4" applyFill="1" applyBorder="1" applyAlignment="1">
      <alignment horizontal="center" vertical="center" wrapText="1"/>
    </xf>
    <xf numFmtId="0" fontId="16" fillId="9" borderId="0" xfId="0" applyFont="1" applyFill="1"/>
    <xf numFmtId="0" fontId="12" fillId="10" borderId="1" xfId="0" applyFont="1" applyFill="1" applyBorder="1" applyAlignment="1">
      <alignment horizontal="center"/>
    </xf>
    <xf numFmtId="14" fontId="12" fillId="10" borderId="1" xfId="0" applyNumberFormat="1" applyFont="1" applyFill="1" applyBorder="1" applyAlignment="1">
      <alignment horizontal="center"/>
    </xf>
    <xf numFmtId="0" fontId="12" fillId="10" borderId="1" xfId="0" applyFont="1" applyFill="1" applyBorder="1" applyAlignment="1">
      <alignment horizontal="center" vertical="center"/>
    </xf>
    <xf numFmtId="20" fontId="12" fillId="10" borderId="1" xfId="0" applyNumberFormat="1" applyFont="1" applyFill="1" applyBorder="1" applyAlignment="1">
      <alignment horizontal="center"/>
    </xf>
    <xf numFmtId="0" fontId="12" fillId="10" borderId="1" xfId="0" applyFont="1" applyFill="1" applyBorder="1" applyAlignment="1">
      <alignment wrapText="1"/>
    </xf>
    <xf numFmtId="0" fontId="12" fillId="10" borderId="0" xfId="0" applyFont="1" applyFill="1"/>
    <xf numFmtId="0" fontId="12" fillId="10" borderId="0" xfId="0" applyFont="1" applyFill="1" applyAlignment="1">
      <alignment horizontal="center" vertical="center"/>
    </xf>
    <xf numFmtId="0" fontId="12" fillId="0" borderId="1" xfId="0" applyFont="1" applyBorder="1" applyAlignment="1">
      <alignment horizontal="center"/>
    </xf>
    <xf numFmtId="0" fontId="12" fillId="0" borderId="1" xfId="0" applyFont="1" applyBorder="1" applyAlignment="1">
      <alignment horizontal="center" vertical="center"/>
    </xf>
    <xf numFmtId="0" fontId="12" fillId="0" borderId="1" xfId="0" applyFont="1" applyBorder="1" applyAlignment="1">
      <alignment wrapText="1"/>
    </xf>
    <xf numFmtId="0" fontId="12" fillId="10" borderId="0" xfId="0" applyFont="1" applyFill="1" applyAlignment="1">
      <alignment horizontal="center"/>
    </xf>
    <xf numFmtId="0" fontId="25" fillId="12" borderId="0" xfId="4" applyFont="1" applyFill="1" applyAlignment="1">
      <alignment horizontal="left"/>
    </xf>
    <xf numFmtId="0" fontId="2" fillId="13" borderId="9" xfId="4" applyFont="1" applyFill="1" applyBorder="1" applyAlignment="1">
      <alignment horizontal="center"/>
    </xf>
    <xf numFmtId="0" fontId="2" fillId="13" borderId="9" xfId="4" applyFont="1" applyFill="1" applyBorder="1" applyAlignment="1">
      <alignment horizontal="center" wrapText="1"/>
    </xf>
    <xf numFmtId="0" fontId="2" fillId="13" borderId="9" xfId="4" applyFont="1" applyFill="1" applyBorder="1" applyAlignment="1">
      <alignment horizontal="center" vertical="center" wrapText="1"/>
    </xf>
    <xf numFmtId="0" fontId="2" fillId="13" borderId="9" xfId="4" applyFont="1" applyFill="1" applyBorder="1" applyAlignment="1">
      <alignment wrapText="1"/>
    </xf>
    <xf numFmtId="0" fontId="1" fillId="13" borderId="10" xfId="0" applyFont="1" applyFill="1" applyBorder="1" applyAlignment="1">
      <alignment horizontal="center" wrapText="1"/>
    </xf>
    <xf numFmtId="0" fontId="1" fillId="13" borderId="0" xfId="0" applyFont="1" applyFill="1" applyAlignment="1">
      <alignment horizontal="center" wrapText="1"/>
    </xf>
    <xf numFmtId="0" fontId="26" fillId="14" borderId="0" xfId="4" applyFont="1" applyFill="1" applyAlignment="1">
      <alignment horizontal="left"/>
    </xf>
    <xf numFmtId="0" fontId="1" fillId="4" borderId="0" xfId="4" applyFill="1" applyAlignment="1">
      <alignment horizontal="center"/>
    </xf>
    <xf numFmtId="0" fontId="1" fillId="4" borderId="0" xfId="4" applyFill="1" applyAlignment="1">
      <alignment horizontal="center" vertical="center"/>
    </xf>
    <xf numFmtId="0" fontId="1" fillId="4" borderId="0" xfId="4" applyFill="1" applyAlignment="1">
      <alignment horizontal="left"/>
    </xf>
    <xf numFmtId="0" fontId="26" fillId="15" borderId="0" xfId="4" applyFont="1" applyFill="1" applyAlignment="1">
      <alignment horizontal="left"/>
    </xf>
    <xf numFmtId="0" fontId="4" fillId="0" borderId="0" xfId="5" applyFont="1" applyAlignment="1">
      <alignment horizontal="center"/>
    </xf>
    <xf numFmtId="0" fontId="11" fillId="0" borderId="0" xfId="4" applyFont="1" applyAlignment="1">
      <alignment horizontal="center" vertical="center"/>
    </xf>
    <xf numFmtId="0" fontId="4" fillId="0" borderId="8" xfId="5" applyFont="1" applyBorder="1" applyAlignment="1">
      <alignment horizontal="left"/>
    </xf>
    <xf numFmtId="0" fontId="4" fillId="0" borderId="8" xfId="5" applyFont="1" applyBorder="1" applyAlignment="1">
      <alignment horizontal="center"/>
    </xf>
    <xf numFmtId="0" fontId="26" fillId="0" borderId="0" xfId="4" applyFont="1" applyAlignment="1">
      <alignment horizontal="left"/>
    </xf>
    <xf numFmtId="0" fontId="25" fillId="14" borderId="0" xfId="4" applyFont="1" applyFill="1" applyAlignment="1">
      <alignment horizontal="left"/>
    </xf>
    <xf numFmtId="0" fontId="26" fillId="16" borderId="0" xfId="4" applyFont="1" applyFill="1" applyAlignment="1">
      <alignment horizontal="left"/>
    </xf>
    <xf numFmtId="0" fontId="24" fillId="0" borderId="0" xfId="0" applyFont="1" applyAlignment="1">
      <alignment horizontal="center" vertical="center"/>
    </xf>
    <xf numFmtId="0" fontId="24" fillId="0" borderId="0" xfId="0" applyFont="1" applyAlignment="1">
      <alignment vertical="center"/>
    </xf>
    <xf numFmtId="0" fontId="24" fillId="10" borderId="1" xfId="0" applyFont="1" applyFill="1" applyBorder="1" applyAlignment="1">
      <alignment horizontal="center" vertical="center"/>
    </xf>
    <xf numFmtId="17" fontId="24" fillId="11" borderId="1" xfId="0" applyNumberFormat="1" applyFont="1" applyFill="1" applyBorder="1" applyAlignment="1">
      <alignment horizontal="center" vertical="center"/>
    </xf>
    <xf numFmtId="0" fontId="24" fillId="11" borderId="1" xfId="0" applyFont="1" applyFill="1" applyBorder="1" applyAlignment="1">
      <alignment horizontal="center" vertical="center"/>
    </xf>
    <xf numFmtId="0" fontId="24" fillId="0" borderId="1" xfId="0" applyFont="1" applyBorder="1" applyAlignment="1">
      <alignment horizontal="center" vertical="center"/>
    </xf>
    <xf numFmtId="0" fontId="12" fillId="11" borderId="1" xfId="0" applyFont="1" applyFill="1" applyBorder="1" applyAlignment="1">
      <alignment horizontal="center"/>
    </xf>
    <xf numFmtId="0" fontId="14" fillId="0" borderId="0" xfId="0" applyFont="1" applyAlignment="1">
      <alignment horizontal="center"/>
    </xf>
    <xf numFmtId="0" fontId="0" fillId="0" borderId="47" xfId="0" applyBorder="1" applyAlignment="1">
      <alignment horizontal="center"/>
    </xf>
    <xf numFmtId="0" fontId="0" fillId="0" borderId="0" xfId="0" pivotButton="1"/>
    <xf numFmtId="0" fontId="0" fillId="0" borderId="0" xfId="0" applyAlignment="1">
      <alignment horizontal="left" indent="1"/>
    </xf>
    <xf numFmtId="0" fontId="16" fillId="11" borderId="9" xfId="5" applyFont="1" applyFill="1" applyBorder="1" applyAlignment="1">
      <alignment horizontal="left"/>
    </xf>
    <xf numFmtId="0" fontId="13" fillId="11" borderId="12" xfId="9" applyFont="1" applyFill="1" applyBorder="1" applyAlignment="1">
      <alignment horizontal="center"/>
    </xf>
    <xf numFmtId="9" fontId="13" fillId="11" borderId="21" xfId="11" applyFont="1" applyFill="1" applyBorder="1"/>
    <xf numFmtId="9" fontId="13" fillId="11" borderId="12" xfId="11" applyFont="1" applyFill="1" applyBorder="1"/>
    <xf numFmtId="0" fontId="16" fillId="11" borderId="12" xfId="5" applyFont="1" applyFill="1" applyBorder="1" applyAlignment="1">
      <alignment horizontal="left"/>
    </xf>
    <xf numFmtId="0" fontId="13" fillId="11" borderId="11" xfId="9" applyFont="1" applyFill="1" applyBorder="1" applyAlignment="1">
      <alignment horizontal="left"/>
    </xf>
    <xf numFmtId="0" fontId="13" fillId="11" borderId="11" xfId="9" applyFont="1" applyFill="1" applyBorder="1" applyAlignment="1">
      <alignment horizontal="center"/>
    </xf>
    <xf numFmtId="9" fontId="13" fillId="11" borderId="9" xfId="11" applyFont="1" applyFill="1" applyBorder="1"/>
    <xf numFmtId="0" fontId="13" fillId="11" borderId="8" xfId="9" applyFont="1" applyFill="1" applyBorder="1" applyAlignment="1">
      <alignment horizontal="left"/>
    </xf>
    <xf numFmtId="9" fontId="13" fillId="11" borderId="17" xfId="11" applyFont="1" applyFill="1" applyBorder="1"/>
    <xf numFmtId="0" fontId="12" fillId="19" borderId="11" xfId="0" applyFont="1" applyFill="1" applyBorder="1"/>
    <xf numFmtId="0" fontId="13" fillId="11" borderId="9" xfId="9" applyFont="1" applyFill="1" applyBorder="1" applyAlignment="1">
      <alignment horizontal="center"/>
    </xf>
    <xf numFmtId="9" fontId="13" fillId="11" borderId="18" xfId="11" applyFont="1" applyFill="1" applyBorder="1"/>
    <xf numFmtId="0" fontId="12" fillId="19" borderId="8" xfId="0" applyFont="1" applyFill="1" applyBorder="1"/>
    <xf numFmtId="0" fontId="13" fillId="11" borderId="8" xfId="9" applyFont="1" applyFill="1" applyBorder="1" applyAlignment="1">
      <alignment horizontal="center"/>
    </xf>
    <xf numFmtId="0" fontId="13" fillId="11" borderId="9" xfId="9" applyFont="1" applyFill="1" applyBorder="1"/>
    <xf numFmtId="0" fontId="13" fillId="11" borderId="12" xfId="9" applyFont="1" applyFill="1" applyBorder="1"/>
    <xf numFmtId="0" fontId="16" fillId="11" borderId="8" xfId="5" applyFont="1" applyFill="1" applyBorder="1" applyAlignment="1">
      <alignment horizontal="left"/>
    </xf>
    <xf numFmtId="14" fontId="12" fillId="0" borderId="1" xfId="0" applyNumberFormat="1" applyFont="1" applyBorder="1" applyAlignment="1">
      <alignment horizontal="center"/>
    </xf>
    <xf numFmtId="20" fontId="12" fillId="0" borderId="1" xfId="0" applyNumberFormat="1" applyFont="1" applyBorder="1" applyAlignment="1">
      <alignment horizontal="center"/>
    </xf>
    <xf numFmtId="0" fontId="12" fillId="20" borderId="1" xfId="0" applyFont="1" applyFill="1" applyBorder="1" applyAlignment="1">
      <alignment horizontal="center"/>
    </xf>
    <xf numFmtId="0" fontId="12" fillId="10" borderId="1" xfId="0" applyFont="1" applyFill="1" applyBorder="1"/>
    <xf numFmtId="0" fontId="13" fillId="11" borderId="11" xfId="9" applyFont="1" applyFill="1" applyBorder="1"/>
    <xf numFmtId="9" fontId="13" fillId="0" borderId="17" xfId="11" applyFont="1" applyFill="1" applyBorder="1"/>
    <xf numFmtId="0" fontId="24" fillId="11" borderId="1" xfId="0" applyFont="1" applyFill="1" applyBorder="1" applyAlignment="1">
      <alignment horizontal="center" vertical="center" wrapText="1"/>
    </xf>
    <xf numFmtId="0" fontId="12" fillId="0" borderId="8" xfId="0" applyFont="1" applyBorder="1"/>
    <xf numFmtId="0" fontId="13" fillId="0" borderId="12" xfId="9" applyFont="1" applyBorder="1" applyAlignment="1">
      <alignment horizontal="center"/>
    </xf>
    <xf numFmtId="0" fontId="0" fillId="10" borderId="1" xfId="0" applyFill="1" applyBorder="1"/>
    <xf numFmtId="0" fontId="12" fillId="10" borderId="3" xfId="0" applyFont="1" applyFill="1" applyBorder="1" applyAlignment="1">
      <alignment horizontal="center" vertical="center"/>
    </xf>
    <xf numFmtId="0" fontId="12" fillId="10" borderId="2" xfId="0" applyFont="1" applyFill="1" applyBorder="1" applyAlignment="1">
      <alignment horizontal="center" vertical="center"/>
    </xf>
    <xf numFmtId="0" fontId="12" fillId="10" borderId="3" xfId="0" applyFont="1" applyFill="1" applyBorder="1" applyAlignment="1">
      <alignment wrapText="1"/>
    </xf>
    <xf numFmtId="0" fontId="12" fillId="10" borderId="4" xfId="0" applyFont="1" applyFill="1" applyBorder="1" applyAlignment="1">
      <alignment horizontal="center" vertical="center"/>
    </xf>
    <xf numFmtId="14" fontId="0" fillId="0" borderId="1" xfId="0" applyNumberFormat="1" applyBorder="1" applyAlignment="1">
      <alignment horizontal="center" vertical="center"/>
    </xf>
    <xf numFmtId="14" fontId="12" fillId="10" borderId="1" xfId="0" applyNumberFormat="1" applyFont="1" applyFill="1" applyBorder="1" applyAlignment="1">
      <alignment horizontal="center" vertical="center"/>
    </xf>
    <xf numFmtId="0" fontId="12" fillId="10" borderId="7" xfId="0" applyFont="1" applyFill="1" applyBorder="1" applyAlignment="1">
      <alignment horizontal="center" vertical="center"/>
    </xf>
    <xf numFmtId="0" fontId="12" fillId="10" borderId="48" xfId="0" applyFont="1" applyFill="1" applyBorder="1" applyAlignment="1">
      <alignment horizontal="center" vertical="center"/>
    </xf>
    <xf numFmtId="0" fontId="12" fillId="10" borderId="2" xfId="0" applyFont="1" applyFill="1" applyBorder="1" applyAlignment="1">
      <alignment horizontal="center"/>
    </xf>
    <xf numFmtId="0" fontId="12" fillId="10" borderId="1" xfId="0" applyFont="1" applyFill="1" applyBorder="1" applyAlignment="1">
      <alignment horizontal="left" wrapText="1"/>
    </xf>
    <xf numFmtId="0" fontId="24" fillId="10" borderId="1" xfId="0" applyFont="1" applyFill="1" applyBorder="1" applyAlignment="1">
      <alignment horizontal="center" vertical="center" wrapText="1"/>
    </xf>
    <xf numFmtId="0" fontId="12" fillId="11" borderId="1" xfId="0" applyFont="1" applyFill="1" applyBorder="1" applyAlignment="1">
      <alignment horizontal="center" vertical="center"/>
    </xf>
    <xf numFmtId="20" fontId="12" fillId="10" borderId="1" xfId="0" applyNumberFormat="1" applyFont="1" applyFill="1" applyBorder="1" applyAlignment="1">
      <alignment horizontal="center" vertical="center"/>
    </xf>
    <xf numFmtId="0" fontId="12" fillId="10" borderId="1" xfId="0" applyFont="1" applyFill="1" applyBorder="1" applyAlignment="1">
      <alignment vertical="center" wrapText="1"/>
    </xf>
    <xf numFmtId="0" fontId="12" fillId="10" borderId="0" xfId="0" applyFont="1" applyFill="1" applyAlignment="1">
      <alignment vertical="center"/>
    </xf>
    <xf numFmtId="14" fontId="12" fillId="11" borderId="1" xfId="0" applyNumberFormat="1" applyFont="1" applyFill="1" applyBorder="1" applyAlignment="1">
      <alignment horizontal="center"/>
    </xf>
    <xf numFmtId="20" fontId="12" fillId="11" borderId="1" xfId="0" applyNumberFormat="1" applyFont="1" applyFill="1" applyBorder="1" applyAlignment="1">
      <alignment horizontal="center"/>
    </xf>
    <xf numFmtId="0" fontId="12" fillId="11" borderId="1" xfId="0" applyFont="1" applyFill="1" applyBorder="1" applyAlignment="1">
      <alignment wrapText="1"/>
    </xf>
    <xf numFmtId="0" fontId="12" fillId="11" borderId="0" xfId="0" applyFont="1" applyFill="1"/>
    <xf numFmtId="0" fontId="12" fillId="0" borderId="1" xfId="0" applyFont="1" applyBorder="1"/>
    <xf numFmtId="1" fontId="0" fillId="0" borderId="1" xfId="0" applyNumberFormat="1" applyBorder="1"/>
    <xf numFmtId="0" fontId="12" fillId="20"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12" fillId="10" borderId="50" xfId="0" applyFont="1" applyFill="1" applyBorder="1" applyAlignment="1">
      <alignment horizontal="center" vertical="center"/>
    </xf>
    <xf numFmtId="0" fontId="12" fillId="10" borderId="49" xfId="0" applyFont="1" applyFill="1" applyBorder="1" applyAlignment="1">
      <alignment horizontal="center" vertical="center"/>
    </xf>
    <xf numFmtId="14" fontId="12" fillId="20" borderId="1" xfId="0" applyNumberFormat="1" applyFont="1" applyFill="1" applyBorder="1" applyAlignment="1">
      <alignment horizontal="center"/>
    </xf>
    <xf numFmtId="20" fontId="12" fillId="20" borderId="1" xfId="0" applyNumberFormat="1" applyFont="1" applyFill="1" applyBorder="1" applyAlignment="1">
      <alignment horizontal="center"/>
    </xf>
    <xf numFmtId="0" fontId="24" fillId="20" borderId="1" xfId="0" applyFont="1" applyFill="1" applyBorder="1" applyAlignment="1">
      <alignment horizontal="center" vertical="center" wrapText="1"/>
    </xf>
    <xf numFmtId="0" fontId="12" fillId="20" borderId="0" xfId="0" applyFont="1" applyFill="1"/>
    <xf numFmtId="0" fontId="12" fillId="20" borderId="1" xfId="0" applyFont="1" applyFill="1" applyBorder="1" applyAlignment="1">
      <alignment horizontal="left" wrapText="1"/>
    </xf>
    <xf numFmtId="0" fontId="12" fillId="20" borderId="1" xfId="0" applyFont="1" applyFill="1" applyBorder="1" applyAlignment="1">
      <alignment wrapText="1"/>
    </xf>
    <xf numFmtId="14" fontId="12" fillId="20" borderId="0" xfId="0" applyNumberFormat="1" applyFont="1" applyFill="1" applyAlignment="1">
      <alignment horizontal="center"/>
    </xf>
    <xf numFmtId="14" fontId="0" fillId="0" borderId="2" xfId="0" applyNumberFormat="1" applyBorder="1" applyAlignment="1">
      <alignment horizontal="center" vertical="center"/>
    </xf>
    <xf numFmtId="14" fontId="0" fillId="0" borderId="0" xfId="0" applyNumberFormat="1" applyAlignment="1">
      <alignment horizontal="center"/>
    </xf>
    <xf numFmtId="14" fontId="12" fillId="10" borderId="0" xfId="0" applyNumberFormat="1" applyFont="1" applyFill="1" applyAlignment="1">
      <alignment horizontal="center"/>
    </xf>
    <xf numFmtId="14" fontId="0" fillId="0" borderId="2" xfId="0" applyNumberFormat="1" applyBorder="1" applyAlignment="1">
      <alignment horizontal="center"/>
    </xf>
    <xf numFmtId="0" fontId="12" fillId="10" borderId="0" xfId="0" applyFont="1" applyFill="1" applyAlignment="1">
      <alignment wrapText="1"/>
    </xf>
    <xf numFmtId="0" fontId="12" fillId="20" borderId="3" xfId="0" applyFont="1" applyFill="1" applyBorder="1" applyAlignment="1">
      <alignment wrapText="1"/>
    </xf>
    <xf numFmtId="0" fontId="12" fillId="10" borderId="3" xfId="0" applyFont="1" applyFill="1" applyBorder="1" applyAlignment="1">
      <alignment horizontal="left" wrapText="1"/>
    </xf>
    <xf numFmtId="0" fontId="12" fillId="20" borderId="3" xfId="0" applyFont="1" applyFill="1" applyBorder="1" applyAlignment="1">
      <alignment horizontal="left" wrapText="1"/>
    </xf>
    <xf numFmtId="0" fontId="12" fillId="0" borderId="3" xfId="0" applyFont="1" applyBorder="1" applyAlignment="1">
      <alignment wrapText="1"/>
    </xf>
    <xf numFmtId="0" fontId="12" fillId="10" borderId="48" xfId="0" applyFont="1" applyFill="1" applyBorder="1" applyAlignment="1">
      <alignment horizontal="center"/>
    </xf>
    <xf numFmtId="0" fontId="12" fillId="20" borderId="7" xfId="0" applyFont="1" applyFill="1" applyBorder="1" applyAlignment="1">
      <alignment horizontal="center"/>
    </xf>
    <xf numFmtId="0" fontId="12" fillId="20" borderId="2" xfId="0" applyFont="1" applyFill="1" applyBorder="1" applyAlignment="1">
      <alignment horizontal="center"/>
    </xf>
    <xf numFmtId="0" fontId="12" fillId="20" borderId="48" xfId="0" applyFont="1" applyFill="1" applyBorder="1" applyAlignment="1">
      <alignment horizontal="center"/>
    </xf>
    <xf numFmtId="0" fontId="12" fillId="0" borderId="7" xfId="0" applyFont="1" applyBorder="1" applyAlignment="1">
      <alignment horizontal="center"/>
    </xf>
    <xf numFmtId="0" fontId="12" fillId="0" borderId="48" xfId="0" applyFont="1" applyBorder="1" applyAlignment="1">
      <alignment horizontal="center" vertical="center"/>
    </xf>
    <xf numFmtId="0" fontId="12" fillId="0" borderId="2" xfId="0" applyFont="1" applyBorder="1" applyAlignment="1">
      <alignment horizontal="center"/>
    </xf>
    <xf numFmtId="0" fontId="12" fillId="10" borderId="7" xfId="0" applyFont="1" applyFill="1" applyBorder="1" applyAlignment="1">
      <alignment horizontal="center"/>
    </xf>
    <xf numFmtId="0" fontId="12" fillId="20" borderId="4" xfId="0" applyFont="1" applyFill="1" applyBorder="1" applyAlignment="1">
      <alignment horizontal="center" vertical="center"/>
    </xf>
    <xf numFmtId="0" fontId="12" fillId="20" borderId="3" xfId="0" applyFont="1" applyFill="1" applyBorder="1" applyAlignment="1">
      <alignment horizontal="center" vertical="center"/>
    </xf>
    <xf numFmtId="0" fontId="21" fillId="4" borderId="45" xfId="4" applyFont="1" applyFill="1" applyBorder="1" applyAlignment="1">
      <alignment horizontal="center" vertical="center"/>
    </xf>
    <xf numFmtId="0" fontId="21" fillId="10" borderId="45" xfId="4" applyFont="1" applyFill="1" applyBorder="1" applyAlignment="1">
      <alignment horizontal="center" vertical="center"/>
    </xf>
    <xf numFmtId="0" fontId="22" fillId="4" borderId="45" xfId="4"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46" xfId="0" applyBorder="1" applyAlignment="1">
      <alignment horizontal="center" vertical="center" wrapText="1"/>
    </xf>
    <xf numFmtId="0" fontId="0" fillId="0" borderId="47" xfId="0" applyBorder="1" applyAlignment="1">
      <alignment horizontal="center" vertical="center" wrapText="1"/>
    </xf>
  </cellXfs>
  <cellStyles count="12">
    <cellStyle name="Euro" xfId="1" xr:uid="{00000000-0005-0000-0000-000000000000}"/>
    <cellStyle name="Hipervínculo 2" xfId="2" xr:uid="{00000000-0005-0000-0000-000001000000}"/>
    <cellStyle name="Hipervínculo 3" xfId="3" xr:uid="{00000000-0005-0000-0000-000002000000}"/>
    <cellStyle name="Normal" xfId="0" builtinId="0"/>
    <cellStyle name="Normal 2" xfId="4" xr:uid="{00000000-0005-0000-0000-000004000000}"/>
    <cellStyle name="Normal 2 2" xfId="5" xr:uid="{00000000-0005-0000-0000-000005000000}"/>
    <cellStyle name="Normal 3" xfId="6" xr:uid="{00000000-0005-0000-0000-000006000000}"/>
    <cellStyle name="Normal 3 2" xfId="7" xr:uid="{00000000-0005-0000-0000-000007000000}"/>
    <cellStyle name="Normal 4" xfId="8" xr:uid="{00000000-0005-0000-0000-000008000000}"/>
    <cellStyle name="Normal_Trimestral" xfId="9" xr:uid="{00000000-0005-0000-0000-000009000000}"/>
    <cellStyle name="Porcentaje" xfId="10" builtinId="5"/>
    <cellStyle name="Porcentual 2" xfId="11"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pivotCacheDefinition" Target="pivotCache/pivotCacheDefinition5.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pivotCacheDefinition" Target="pivotCache/pivotCacheDefinition8.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pivotCacheDefinition" Target="pivotCache/pivotCacheDefinition4.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pivotCacheDefinition" Target="pivotCache/pivotCacheDefinition7.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onnections" Target="connections.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theme" Target="theme/theme1.xml"/><Relationship Id="rId27" Type="http://schemas.openxmlformats.org/officeDocument/2006/relationships/powerPivotData" Target="model/item.data"/></Relationships>
</file>

<file path=xl/charts/_rels/chart7.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2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2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2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2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3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2197029246991235E-2"/>
          <c:y val="4.8611275944267916E-2"/>
          <c:w val="0.75378927295897236"/>
          <c:h val="0.70139126719586631"/>
        </c:manualLayout>
      </c:layout>
      <c:barChart>
        <c:barDir val="col"/>
        <c:grouping val="clustered"/>
        <c:varyColors val="0"/>
        <c:ser>
          <c:idx val="0"/>
          <c:order val="0"/>
          <c:tx>
            <c:strRef>
              <c:f>'Datos Total'!$C$3</c:f>
              <c:strCache>
                <c:ptCount val="1"/>
                <c:pt idx="0">
                  <c:v>Total</c:v>
                </c:pt>
              </c:strCache>
            </c:strRef>
          </c:tx>
          <c:spPr>
            <a:solidFill>
              <a:srgbClr val="FFFF00"/>
            </a:solidFill>
            <a:ln w="25400">
              <a:noFill/>
            </a:ln>
          </c:spPr>
          <c:invertIfNegative val="0"/>
          <c:dLbls>
            <c:spPr>
              <a:noFill/>
              <a:ln w="25400">
                <a:noFill/>
              </a:ln>
            </c:spPr>
            <c:txPr>
              <a:bodyPr/>
              <a:lstStyle/>
              <a:p>
                <a:pPr>
                  <a:defRPr sz="10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Total'!$B$4:$B$10</c:f>
              <c:strCache>
                <c:ptCount val="7"/>
                <c:pt idx="0">
                  <c:v>IQF Y CALIBRADO</c:v>
                </c:pt>
                <c:pt idx="1">
                  <c:v>SSGG</c:v>
                </c:pt>
                <c:pt idx="2">
                  <c:v>FAENACION</c:v>
                </c:pt>
                <c:pt idx="3">
                  <c:v>TROZADO POLLO</c:v>
                </c:pt>
                <c:pt idx="4">
                  <c:v>FRIGORÍFICO</c:v>
                </c:pt>
                <c:pt idx="5">
                  <c:v>P.POSTERIORES</c:v>
                </c:pt>
                <c:pt idx="6">
                  <c:v>BODEGA</c:v>
                </c:pt>
              </c:strCache>
            </c:strRef>
          </c:cat>
          <c:val>
            <c:numRef>
              <c:f>'Datos Total'!$C$4:$C$10</c:f>
              <c:numCache>
                <c:formatCode>General</c:formatCode>
                <c:ptCount val="7"/>
                <c:pt idx="0">
                  <c:v>6</c:v>
                </c:pt>
                <c:pt idx="1">
                  <c:v>6</c:v>
                </c:pt>
                <c:pt idx="2">
                  <c:v>4</c:v>
                </c:pt>
                <c:pt idx="3">
                  <c:v>6</c:v>
                </c:pt>
                <c:pt idx="4">
                  <c:v>2</c:v>
                </c:pt>
                <c:pt idx="5">
                  <c:v>2</c:v>
                </c:pt>
                <c:pt idx="6">
                  <c:v>1</c:v>
                </c:pt>
              </c:numCache>
            </c:numRef>
          </c:val>
          <c:extLst>
            <c:ext xmlns:c16="http://schemas.microsoft.com/office/drawing/2014/chart" uri="{C3380CC4-5D6E-409C-BE32-E72D297353CC}">
              <c16:uniqueId val="{00000000-6D9C-4277-9D57-9AEE31FC3063}"/>
            </c:ext>
          </c:extLst>
        </c:ser>
        <c:dLbls>
          <c:showLegendKey val="0"/>
          <c:showVal val="0"/>
          <c:showCatName val="0"/>
          <c:showSerName val="0"/>
          <c:showPercent val="0"/>
          <c:showBubbleSize val="0"/>
        </c:dLbls>
        <c:gapWidth val="219"/>
        <c:overlap val="-27"/>
        <c:axId val="213005312"/>
        <c:axId val="212800000"/>
      </c:barChart>
      <c:lineChart>
        <c:grouping val="standard"/>
        <c:varyColors val="0"/>
        <c:ser>
          <c:idx val="1"/>
          <c:order val="1"/>
          <c:tx>
            <c:strRef>
              <c:f>'Datos Total'!$E$3</c:f>
              <c:strCache>
                <c:ptCount val="1"/>
                <c:pt idx="0">
                  <c:v>Pareto</c:v>
                </c:pt>
              </c:strCache>
            </c:strRef>
          </c:tx>
          <c:spPr>
            <a:ln>
              <a:solidFill>
                <a:srgbClr val="00B050"/>
              </a:solidFill>
            </a:ln>
          </c:spPr>
          <c:marker>
            <c:symbol val="none"/>
          </c:marker>
          <c:dLbls>
            <c:dLbl>
              <c:idx val="0"/>
              <c:layout>
                <c:manualLayout>
                  <c:x val="-4.9305999634069238E-2"/>
                  <c:y val="2.3248505217477948E-2"/>
                </c:manualLayout>
              </c:layout>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E227-434C-9701-B63EAC21C55A}"/>
                </c:ext>
              </c:extLst>
            </c:dLbl>
            <c:dLbl>
              <c:idx val="1"/>
              <c:layout>
                <c:manualLayout>
                  <c:x val="-4.9305999634069266E-2"/>
                  <c:y val="2.3248505217477948E-2"/>
                </c:manualLayout>
              </c:layout>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E227-434C-9701-B63EAC21C55A}"/>
                </c:ext>
              </c:extLst>
            </c:dLbl>
            <c:dLbl>
              <c:idx val="2"/>
              <c:layout>
                <c:manualLayout>
                  <c:x val="-4.6430182403802783E-2"/>
                  <c:y val="2.3248505217478031E-2"/>
                </c:manualLayout>
              </c:layout>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E227-434C-9701-B63EAC21C55A}"/>
                </c:ext>
              </c:extLst>
            </c:dLbl>
            <c:dLbl>
              <c:idx val="3"/>
              <c:layout>
                <c:manualLayout>
                  <c:x val="-4.6430182403802783E-2"/>
                  <c:y val="2.7804784595613977E-2"/>
                </c:manualLayout>
              </c:layout>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E227-434C-9701-B63EAC21C55A}"/>
                </c:ext>
              </c:extLst>
            </c:dLbl>
            <c:dLbl>
              <c:idx val="4"/>
              <c:layout>
                <c:manualLayout>
                  <c:x val="-4.6430182403802783E-2"/>
                  <c:y val="2.7804784595614061E-2"/>
                </c:manualLayout>
              </c:layout>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E227-434C-9701-B63EAC21C55A}"/>
                </c:ext>
              </c:extLst>
            </c:dLbl>
            <c:dLbl>
              <c:idx val="5"/>
              <c:layout>
                <c:manualLayout>
                  <c:x val="-4.9305999634069238E-2"/>
                  <c:y val="2.3248505217478115E-2"/>
                </c:manualLayout>
              </c:layout>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E227-434C-9701-B63EAC21C55A}"/>
                </c:ext>
              </c:extLst>
            </c:dLbl>
            <c:dLbl>
              <c:idx val="6"/>
              <c:layout>
                <c:manualLayout>
                  <c:x val="-5.6596083091644024E-2"/>
                  <c:y val="2.3248505217478031E-2"/>
                </c:manualLayout>
              </c:layout>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8-E227-434C-9701-B63EAC21C55A}"/>
                </c:ext>
              </c:extLst>
            </c:dLbl>
            <c:spPr>
              <a:noFill/>
              <a:ln>
                <a:noFill/>
              </a:ln>
              <a:effectLst/>
            </c:spPr>
            <c:dLblPos val="b"/>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ext>
            </c:extLst>
          </c:dLbls>
          <c:cat>
            <c:strRef>
              <c:f>'Datos Total'!$B$4:$B$10</c:f>
              <c:strCache>
                <c:ptCount val="7"/>
                <c:pt idx="0">
                  <c:v>IQF Y CALIBRADO</c:v>
                </c:pt>
                <c:pt idx="1">
                  <c:v>SSGG</c:v>
                </c:pt>
                <c:pt idx="2">
                  <c:v>FAENACION</c:v>
                </c:pt>
                <c:pt idx="3">
                  <c:v>TROZADO POLLO</c:v>
                </c:pt>
                <c:pt idx="4">
                  <c:v>FRIGORÍFICO</c:v>
                </c:pt>
                <c:pt idx="5">
                  <c:v>P.POSTERIORES</c:v>
                </c:pt>
                <c:pt idx="6">
                  <c:v>BODEGA</c:v>
                </c:pt>
              </c:strCache>
            </c:strRef>
          </c:cat>
          <c:val>
            <c:numRef>
              <c:f>'Datos Total'!$E$4:$E$10</c:f>
              <c:numCache>
                <c:formatCode>0%</c:formatCode>
                <c:ptCount val="7"/>
                <c:pt idx="0">
                  <c:v>0.22222222222222221</c:v>
                </c:pt>
                <c:pt idx="1">
                  <c:v>0.44444444444444442</c:v>
                </c:pt>
                <c:pt idx="2">
                  <c:v>0.59259259259259256</c:v>
                </c:pt>
                <c:pt idx="3">
                  <c:v>0.81481481481481477</c:v>
                </c:pt>
                <c:pt idx="4">
                  <c:v>0.88888888888888884</c:v>
                </c:pt>
                <c:pt idx="5">
                  <c:v>0.96296296296296291</c:v>
                </c:pt>
                <c:pt idx="6">
                  <c:v>1</c:v>
                </c:pt>
              </c:numCache>
            </c:numRef>
          </c:val>
          <c:smooth val="0"/>
          <c:extLst>
            <c:ext xmlns:c16="http://schemas.microsoft.com/office/drawing/2014/chart" uri="{C3380CC4-5D6E-409C-BE32-E72D297353CC}">
              <c16:uniqueId val="{00000001-E227-434C-9701-B63EAC21C55A}"/>
            </c:ext>
          </c:extLst>
        </c:ser>
        <c:dLbls>
          <c:showLegendKey val="0"/>
          <c:showVal val="0"/>
          <c:showCatName val="0"/>
          <c:showSerName val="0"/>
          <c:showPercent val="0"/>
          <c:showBubbleSize val="0"/>
        </c:dLbls>
        <c:marker val="1"/>
        <c:smooth val="0"/>
        <c:axId val="1191085503"/>
        <c:axId val="1191079263"/>
      </c:lineChart>
      <c:catAx>
        <c:axId val="21300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600000" vert="horz"/>
          <a:lstStyle/>
          <a:p>
            <a:pPr>
              <a:defRPr sz="600" b="1" i="0" u="none" strike="noStrike" baseline="0">
                <a:solidFill>
                  <a:srgbClr val="333333"/>
                </a:solidFill>
                <a:latin typeface="Calibri"/>
                <a:ea typeface="Calibri"/>
                <a:cs typeface="Calibri"/>
              </a:defRPr>
            </a:pPr>
            <a:endParaRPr lang="es-ES"/>
          </a:p>
        </c:txPr>
        <c:crossAx val="212800000"/>
        <c:crosses val="autoZero"/>
        <c:auto val="1"/>
        <c:lblAlgn val="ctr"/>
        <c:lblOffset val="100"/>
        <c:noMultiLvlLbl val="0"/>
      </c:catAx>
      <c:valAx>
        <c:axId val="212800000"/>
        <c:scaling>
          <c:orientation val="minMax"/>
        </c:scaling>
        <c:delete val="1"/>
        <c:axPos val="l"/>
        <c:numFmt formatCode="General" sourceLinked="1"/>
        <c:majorTickMark val="out"/>
        <c:minorTickMark val="none"/>
        <c:tickLblPos val="nextTo"/>
        <c:crossAx val="213005312"/>
        <c:crosses val="autoZero"/>
        <c:crossBetween val="between"/>
      </c:valAx>
      <c:valAx>
        <c:axId val="1191079263"/>
        <c:scaling>
          <c:orientation val="minMax"/>
        </c:scaling>
        <c:delete val="0"/>
        <c:axPos val="r"/>
        <c:numFmt formatCode="0%" sourceLinked="1"/>
        <c:majorTickMark val="out"/>
        <c:minorTickMark val="none"/>
        <c:tickLblPos val="nextTo"/>
        <c:crossAx val="1191085503"/>
        <c:crosses val="max"/>
        <c:crossBetween val="between"/>
      </c:valAx>
      <c:catAx>
        <c:axId val="1191085503"/>
        <c:scaling>
          <c:orientation val="minMax"/>
        </c:scaling>
        <c:delete val="1"/>
        <c:axPos val="b"/>
        <c:numFmt formatCode="General" sourceLinked="1"/>
        <c:majorTickMark val="out"/>
        <c:minorTickMark val="none"/>
        <c:tickLblPos val="nextTo"/>
        <c:crossAx val="1191079263"/>
        <c:crosses val="autoZero"/>
        <c:auto val="1"/>
        <c:lblAlgn val="ctr"/>
        <c:lblOffset val="100"/>
        <c:noMultiLvlLbl val="0"/>
      </c:cat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4574691870248137E-2"/>
          <c:y val="5.283028602278534E-2"/>
          <c:w val="0.81285519263128514"/>
          <c:h val="0.70566167759006093"/>
        </c:manualLayout>
      </c:layout>
      <c:barChart>
        <c:barDir val="col"/>
        <c:grouping val="clustered"/>
        <c:varyColors val="0"/>
        <c:ser>
          <c:idx val="0"/>
          <c:order val="0"/>
          <c:tx>
            <c:strRef>
              <c:f>'Datos Total'!$L$18</c:f>
              <c:strCache>
                <c:ptCount val="1"/>
                <c:pt idx="0">
                  <c:v> MES</c:v>
                </c:pt>
              </c:strCache>
            </c:strRef>
          </c:tx>
          <c:spPr>
            <a:solidFill>
              <a:srgbClr val="FFFF00"/>
            </a:solidFill>
            <a:ln w="25400">
              <a:noFill/>
            </a:ln>
          </c:spPr>
          <c:invertIfNegative val="0"/>
          <c:dLbls>
            <c:spPr>
              <a:noFill/>
              <a:ln w="25400">
                <a:noFill/>
              </a:ln>
            </c:spPr>
            <c:txPr>
              <a:bodyPr/>
              <a:lstStyle/>
              <a:p>
                <a:pPr>
                  <a:defRPr sz="900" b="1" i="0" u="none" strike="noStrike" baseline="0">
                    <a:solidFill>
                      <a:srgbClr val="FF0000"/>
                    </a:solidFill>
                    <a:latin typeface="Calibri"/>
                    <a:ea typeface="Calibri"/>
                    <a:cs typeface="Calibri"/>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Total'!$L$52:$L$63</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'Datos Total'!$M$19:$M$30</c:f>
              <c:numCache>
                <c:formatCode>0</c:formatCode>
                <c:ptCount val="12"/>
                <c:pt idx="0">
                  <c:v>19</c:v>
                </c:pt>
                <c:pt idx="1">
                  <c:v>8</c:v>
                </c:pt>
                <c:pt idx="2">
                  <c:v>13</c:v>
                </c:pt>
                <c:pt idx="3">
                  <c:v>9</c:v>
                </c:pt>
                <c:pt idx="4">
                  <c:v>16</c:v>
                </c:pt>
                <c:pt idx="5">
                  <c:v>18</c:v>
                </c:pt>
                <c:pt idx="6">
                  <c:v>19</c:v>
                </c:pt>
                <c:pt idx="7">
                  <c:v>5</c:v>
                </c:pt>
                <c:pt idx="8">
                  <c:v>11</c:v>
                </c:pt>
                <c:pt idx="9">
                  <c:v>16</c:v>
                </c:pt>
                <c:pt idx="10">
                  <c:v>28</c:v>
                </c:pt>
                <c:pt idx="11">
                  <c:v>28</c:v>
                </c:pt>
              </c:numCache>
            </c:numRef>
          </c:val>
          <c:extLst>
            <c:ext xmlns:c16="http://schemas.microsoft.com/office/drawing/2014/chart" uri="{C3380CC4-5D6E-409C-BE32-E72D297353CC}">
              <c16:uniqueId val="{00000000-1A53-423D-8110-8A08BC0F0027}"/>
            </c:ext>
          </c:extLst>
        </c:ser>
        <c:ser>
          <c:idx val="1"/>
          <c:order val="1"/>
          <c:tx>
            <c:strRef>
              <c:f>'Datos Total'!$L$51</c:f>
              <c:strCache>
                <c:ptCount val="1"/>
                <c:pt idx="0">
                  <c:v> MES CTP</c:v>
                </c:pt>
              </c:strCache>
            </c:strRef>
          </c:tx>
          <c:spPr>
            <a:solidFill>
              <a:srgbClr val="FF0000"/>
            </a:solidFill>
          </c:spPr>
          <c:invertIfNegative val="0"/>
          <c:dLbls>
            <c:spPr>
              <a:noFill/>
              <a:ln>
                <a:noFill/>
              </a:ln>
              <a:effectLst/>
            </c:spPr>
            <c:txPr>
              <a:bodyPr/>
              <a:lstStyle/>
              <a:p>
                <a:pPr>
                  <a:defRPr lang="es-CL" sz="900" b="1">
                    <a:solidFill>
                      <a:srgbClr val="FF0000"/>
                    </a:solidFill>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Total'!$L$52:$L$63</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'Datos Total'!$M$52:$M$63</c:f>
              <c:numCache>
                <c:formatCode>0</c:formatCode>
                <c:ptCount val="12"/>
                <c:pt idx="0">
                  <c:v>4</c:v>
                </c:pt>
                <c:pt idx="1">
                  <c:v>0</c:v>
                </c:pt>
                <c:pt idx="2">
                  <c:v>3</c:v>
                </c:pt>
                <c:pt idx="3">
                  <c:v>0</c:v>
                </c:pt>
                <c:pt idx="4">
                  <c:v>2</c:v>
                </c:pt>
                <c:pt idx="5">
                  <c:v>2</c:v>
                </c:pt>
                <c:pt idx="6">
                  <c:v>1</c:v>
                </c:pt>
                <c:pt idx="7">
                  <c:v>3</c:v>
                </c:pt>
                <c:pt idx="8">
                  <c:v>2</c:v>
                </c:pt>
                <c:pt idx="9">
                  <c:v>5</c:v>
                </c:pt>
                <c:pt idx="10">
                  <c:v>4</c:v>
                </c:pt>
                <c:pt idx="11">
                  <c:v>2</c:v>
                </c:pt>
              </c:numCache>
            </c:numRef>
          </c:val>
          <c:extLst>
            <c:ext xmlns:c16="http://schemas.microsoft.com/office/drawing/2014/chart" uri="{C3380CC4-5D6E-409C-BE32-E72D297353CC}">
              <c16:uniqueId val="{00000001-1A53-423D-8110-8A08BC0F0027}"/>
            </c:ext>
          </c:extLst>
        </c:ser>
        <c:dLbls>
          <c:showLegendKey val="0"/>
          <c:showVal val="0"/>
          <c:showCatName val="0"/>
          <c:showSerName val="0"/>
          <c:showPercent val="0"/>
          <c:showBubbleSize val="0"/>
        </c:dLbls>
        <c:gapWidth val="219"/>
        <c:axId val="213007872"/>
        <c:axId val="214180992"/>
      </c:barChart>
      <c:catAx>
        <c:axId val="21300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vert="horz"/>
          <a:lstStyle/>
          <a:p>
            <a:pPr>
              <a:defRPr sz="900" b="0" i="0" u="none" strike="noStrike" baseline="0">
                <a:solidFill>
                  <a:srgbClr val="333333"/>
                </a:solidFill>
                <a:latin typeface="Calibri"/>
                <a:ea typeface="Calibri"/>
                <a:cs typeface="Calibri"/>
              </a:defRPr>
            </a:pPr>
            <a:endParaRPr lang="es-ES"/>
          </a:p>
        </c:txPr>
        <c:crossAx val="214180992"/>
        <c:crosses val="autoZero"/>
        <c:auto val="1"/>
        <c:lblAlgn val="ctr"/>
        <c:lblOffset val="100"/>
        <c:noMultiLvlLbl val="0"/>
      </c:catAx>
      <c:valAx>
        <c:axId val="214180992"/>
        <c:scaling>
          <c:orientation val="minMax"/>
        </c:scaling>
        <c:delete val="1"/>
        <c:axPos val="l"/>
        <c:numFmt formatCode="0" sourceLinked="1"/>
        <c:majorTickMark val="out"/>
        <c:minorTickMark val="none"/>
        <c:tickLblPos val="nextTo"/>
        <c:crossAx val="213007872"/>
        <c:crosses val="autoZero"/>
        <c:crossBetween val="between"/>
      </c:valAx>
      <c:spPr>
        <a:noFill/>
        <a:ln w="25400">
          <a:noFill/>
        </a:ln>
      </c:spPr>
    </c:plotArea>
    <c:legend>
      <c:legendPos val="r"/>
      <c:layout>
        <c:manualLayout>
          <c:xMode val="edge"/>
          <c:yMode val="edge"/>
          <c:x val="0.41020844316706656"/>
          <c:y val="0.90566196206606242"/>
          <c:w val="0.16635181941350186"/>
          <c:h val="6.7924528301886791E-2"/>
        </c:manualLayout>
      </c:layout>
      <c:overlay val="0"/>
      <c:spPr>
        <a:noFill/>
        <a:ln w="25400">
          <a:noFill/>
        </a:ln>
      </c:spPr>
      <c:txPr>
        <a:bodyPr/>
        <a:lstStyle/>
        <a:p>
          <a:pPr>
            <a:defRPr lang="es-CO" sz="690" b="0" i="0" u="none" strike="noStrike" baseline="0">
              <a:solidFill>
                <a:srgbClr val="333333"/>
              </a:solidFill>
              <a:latin typeface="Calibri"/>
              <a:ea typeface="Calibri"/>
              <a:cs typeface="Calibri"/>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lang="es-CL"/>
          </a:pPr>
          <a:endParaRPr lang="es-ES"/>
        </a:p>
      </c:txPr>
    </c:title>
    <c:autoTitleDeleted val="0"/>
    <c:view3D>
      <c:rotX val="30"/>
      <c:rotY val="0"/>
      <c:rAngAx val="0"/>
      <c:perspective val="0"/>
    </c:view3D>
    <c:floor>
      <c:thickness val="0"/>
    </c:floor>
    <c:sideWall>
      <c:thickness val="0"/>
    </c:sideWall>
    <c:backWall>
      <c:thickness val="0"/>
    </c:backWall>
    <c:plotArea>
      <c:layout>
        <c:manualLayout>
          <c:layoutTarget val="inner"/>
          <c:xMode val="edge"/>
          <c:yMode val="edge"/>
          <c:x val="0.20643977576012046"/>
          <c:y val="0.21678358689287008"/>
          <c:w val="0.58712229803336957"/>
          <c:h val="0.67832283640672275"/>
        </c:manualLayout>
      </c:layout>
      <c:pie3DChart>
        <c:varyColors val="1"/>
        <c:ser>
          <c:idx val="0"/>
          <c:order val="0"/>
          <c:tx>
            <c:strRef>
              <c:f>'Datos Total'!$L$34</c:f>
              <c:strCache>
                <c:ptCount val="1"/>
                <c:pt idx="0">
                  <c:v>Genero</c:v>
                </c:pt>
              </c:strCache>
            </c:strRef>
          </c:tx>
          <c:dPt>
            <c:idx val="0"/>
            <c:bubble3D val="0"/>
            <c:spPr>
              <a:solidFill>
                <a:srgbClr val="FF0000"/>
              </a:solidFill>
            </c:spPr>
            <c:extLst>
              <c:ext xmlns:c16="http://schemas.microsoft.com/office/drawing/2014/chart" uri="{C3380CC4-5D6E-409C-BE32-E72D297353CC}">
                <c16:uniqueId val="{00000000-A31D-4840-8D17-2FAB528B338D}"/>
              </c:ext>
            </c:extLst>
          </c:dPt>
          <c:dPt>
            <c:idx val="1"/>
            <c:bubble3D val="0"/>
            <c:spPr>
              <a:solidFill>
                <a:srgbClr val="FFFF00"/>
              </a:solidFill>
            </c:spPr>
            <c:extLst>
              <c:ext xmlns:c16="http://schemas.microsoft.com/office/drawing/2014/chart" uri="{C3380CC4-5D6E-409C-BE32-E72D297353CC}">
                <c16:uniqueId val="{00000001-A31D-4840-8D17-2FAB528B338D}"/>
              </c:ext>
            </c:extLst>
          </c:dPt>
          <c:dLbls>
            <c:dLbl>
              <c:idx val="0"/>
              <c:layout>
                <c:manualLayout>
                  <c:x val="-0.1812746312151125"/>
                  <c:y val="-0.1952399151540722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A31D-4840-8D17-2FAB528B338D}"/>
                </c:ext>
              </c:extLst>
            </c:dLbl>
            <c:dLbl>
              <c:idx val="1"/>
              <c:layout>
                <c:manualLayout>
                  <c:x val="0.21156697041486144"/>
                  <c:y val="5.890629379925386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31D-4840-8D17-2FAB528B338D}"/>
                </c:ext>
              </c:extLst>
            </c:dLbl>
            <c:spPr>
              <a:noFill/>
              <a:ln>
                <a:noFill/>
              </a:ln>
              <a:effectLst/>
            </c:spPr>
            <c:txPr>
              <a:bodyPr/>
              <a:lstStyle/>
              <a:p>
                <a:pPr>
                  <a:defRPr lang="es-CL" b="1"/>
                </a:pPr>
                <a:endParaRPr lang="es-ES"/>
              </a:p>
            </c:txPr>
            <c:showLegendKey val="0"/>
            <c:showVal val="0"/>
            <c:showCatName val="1"/>
            <c:showSerName val="0"/>
            <c:showPercent val="1"/>
            <c:showBubbleSize val="0"/>
            <c:showLeaderLines val="1"/>
            <c:extLst>
              <c:ext xmlns:c15="http://schemas.microsoft.com/office/drawing/2012/chart" uri="{CE6537A1-D6FC-4f65-9D91-7224C49458BB}"/>
            </c:extLst>
          </c:dLbls>
          <c:cat>
            <c:strRef>
              <c:f>'Datos Total'!$L$35:$L$36</c:f>
              <c:strCache>
                <c:ptCount val="2"/>
                <c:pt idx="0">
                  <c:v>Masculino</c:v>
                </c:pt>
                <c:pt idx="1">
                  <c:v>Femenino</c:v>
                </c:pt>
              </c:strCache>
            </c:strRef>
          </c:cat>
          <c:val>
            <c:numRef>
              <c:f>'Datos Total'!$M$35:$M$36</c:f>
              <c:numCache>
                <c:formatCode>General</c:formatCode>
                <c:ptCount val="2"/>
                <c:pt idx="0">
                  <c:v>133</c:v>
                </c:pt>
                <c:pt idx="1">
                  <c:v>62</c:v>
                </c:pt>
              </c:numCache>
            </c:numRef>
          </c:val>
          <c:extLst>
            <c:ext xmlns:c16="http://schemas.microsoft.com/office/drawing/2014/chart" uri="{C3380CC4-5D6E-409C-BE32-E72D297353CC}">
              <c16:uniqueId val="{00000002-A31D-4840-8D17-2FAB528B338D}"/>
            </c:ext>
          </c:extLst>
        </c:ser>
        <c:dLbls>
          <c:showLegendKey val="0"/>
          <c:showVal val="0"/>
          <c:showCatName val="0"/>
          <c:showSerName val="0"/>
          <c:showPercent val="0"/>
          <c:showBubbleSize val="0"/>
          <c:showLeaderLines val="1"/>
        </c:dLbls>
      </c:pie3DChart>
      <c:spPr>
        <a:noFill/>
        <a:ln w="25400">
          <a:noFill/>
        </a:ln>
      </c:spPr>
    </c:plotArea>
    <c:plotVisOnly val="1"/>
    <c:dispBlanksAs val="zero"/>
    <c:showDLblsOverMax val="0"/>
  </c:chart>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400" b="0" i="0" u="none" strike="noStrike" baseline="0">
              <a:solidFill>
                <a:srgbClr val="333333"/>
              </a:solidFill>
              <a:latin typeface="Calibri"/>
              <a:ea typeface="Calibri"/>
              <a:cs typeface="Calibri"/>
            </a:defRPr>
          </a:pPr>
          <a:endParaRPr lang="es-ES"/>
        </a:p>
      </c:txPr>
    </c:title>
    <c:autoTitleDeleted val="0"/>
    <c:view3D>
      <c:rotX val="30"/>
      <c:rotY val="0"/>
      <c:rAngAx val="0"/>
      <c:perspective val="0"/>
    </c:view3D>
    <c:floor>
      <c:thickness val="0"/>
    </c:floor>
    <c:sideWall>
      <c:thickness val="0"/>
    </c:sideWall>
    <c:backWall>
      <c:thickness val="0"/>
    </c:backWall>
    <c:plotArea>
      <c:layout>
        <c:manualLayout>
          <c:layoutTarget val="inner"/>
          <c:xMode val="edge"/>
          <c:yMode val="edge"/>
          <c:x val="0.2310610334195842"/>
          <c:y val="0.30449878436348493"/>
          <c:w val="0.52083429664250602"/>
          <c:h val="0.59861692835094082"/>
        </c:manualLayout>
      </c:layout>
      <c:pie3DChart>
        <c:varyColors val="1"/>
        <c:ser>
          <c:idx val="0"/>
          <c:order val="0"/>
          <c:tx>
            <c:strRef>
              <c:f>'Datos Total'!$L$39</c:f>
              <c:strCache>
                <c:ptCount val="1"/>
                <c:pt idx="0">
                  <c:v>Responsabilidad</c:v>
                </c:pt>
              </c:strCache>
            </c:strRef>
          </c:tx>
          <c:dPt>
            <c:idx val="0"/>
            <c:bubble3D val="0"/>
            <c:spPr>
              <a:solidFill>
                <a:srgbClr val="4F81BD"/>
              </a:solidFill>
              <a:ln w="25400">
                <a:solidFill>
                  <a:srgbClr val="FFFFFF"/>
                </a:solidFill>
                <a:prstDash val="solid"/>
              </a:ln>
            </c:spPr>
            <c:extLst>
              <c:ext xmlns:c16="http://schemas.microsoft.com/office/drawing/2014/chart" uri="{C3380CC4-5D6E-409C-BE32-E72D297353CC}">
                <c16:uniqueId val="{00000000-165A-4D86-B70A-2D8CF4082D66}"/>
              </c:ext>
            </c:extLst>
          </c:dPt>
          <c:dPt>
            <c:idx val="1"/>
            <c:bubble3D val="0"/>
            <c:spPr>
              <a:solidFill>
                <a:srgbClr val="C0504D"/>
              </a:solidFill>
              <a:ln w="25400">
                <a:solidFill>
                  <a:srgbClr val="FFFFFF"/>
                </a:solidFill>
                <a:prstDash val="solid"/>
              </a:ln>
            </c:spPr>
            <c:extLst>
              <c:ext xmlns:c16="http://schemas.microsoft.com/office/drawing/2014/chart" uri="{C3380CC4-5D6E-409C-BE32-E72D297353CC}">
                <c16:uniqueId val="{00000001-165A-4D86-B70A-2D8CF4082D66}"/>
              </c:ext>
            </c:extLst>
          </c:dPt>
          <c:dLbls>
            <c:dLbl>
              <c:idx val="0"/>
              <c:layout>
                <c:manualLayout>
                  <c:x val="-4.0438599084727314E-2"/>
                  <c:y val="-0.2480157403570499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165A-4D86-B70A-2D8CF4082D66}"/>
                </c:ext>
              </c:extLst>
            </c:dLbl>
            <c:dLbl>
              <c:idx val="1"/>
              <c:layout>
                <c:manualLayout>
                  <c:x val="0.14834982437135091"/>
                  <c:y val="6.267539589550810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65A-4D86-B70A-2D8CF4082D66}"/>
                </c:ext>
              </c:extLst>
            </c:dLbl>
            <c:dLbl>
              <c:idx val="2"/>
              <c:layout>
                <c:manualLayout>
                  <c:x val="3.1065775868928232E-2"/>
                  <c:y val="8.725862554377970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165A-4D86-B70A-2D8CF4082D66}"/>
                </c:ext>
              </c:extLst>
            </c:dLbl>
            <c:spPr>
              <a:noFill/>
              <a:ln>
                <a:noFill/>
              </a:ln>
              <a:effectLst/>
            </c:spPr>
            <c:txPr>
              <a:bodyPr/>
              <a:lstStyle/>
              <a:p>
                <a:pPr>
                  <a:defRPr lang="es-CL" b="1">
                    <a:solidFill>
                      <a:schemeClr val="bg1"/>
                    </a:solidFill>
                  </a:defRPr>
                </a:pPr>
                <a:endParaRPr lang="es-ES"/>
              </a:p>
            </c:txPr>
            <c:showLegendKey val="0"/>
            <c:showVal val="0"/>
            <c:showCatName val="0"/>
            <c:showSerName val="0"/>
            <c:showPercent val="1"/>
            <c:showBubbleSize val="0"/>
            <c:showLeaderLines val="1"/>
            <c:extLst>
              <c:ext xmlns:c15="http://schemas.microsoft.com/office/drawing/2012/chart" uri="{CE6537A1-D6FC-4f65-9D91-7224C49458BB}"/>
            </c:extLst>
          </c:dLbls>
          <c:cat>
            <c:strRef>
              <c:f>'Datos Total'!$L$40:$L$41</c:f>
              <c:strCache>
                <c:ptCount val="2"/>
                <c:pt idx="0">
                  <c:v>Accion</c:v>
                </c:pt>
                <c:pt idx="1">
                  <c:v>Condicion</c:v>
                </c:pt>
              </c:strCache>
            </c:strRef>
          </c:cat>
          <c:val>
            <c:numRef>
              <c:f>'Datos Total'!$M$40:$M$41</c:f>
              <c:numCache>
                <c:formatCode>General</c:formatCode>
                <c:ptCount val="2"/>
                <c:pt idx="0">
                  <c:v>143</c:v>
                </c:pt>
                <c:pt idx="1">
                  <c:v>41</c:v>
                </c:pt>
              </c:numCache>
            </c:numRef>
          </c:val>
          <c:extLst>
            <c:ext xmlns:c16="http://schemas.microsoft.com/office/drawing/2014/chart" uri="{C3380CC4-5D6E-409C-BE32-E72D297353CC}">
              <c16:uniqueId val="{00000003-165A-4D86-B70A-2D8CF4082D66}"/>
            </c:ext>
          </c:extLst>
        </c:ser>
        <c:dLbls>
          <c:showLegendKey val="0"/>
          <c:showVal val="0"/>
          <c:showCatName val="0"/>
          <c:showSerName val="0"/>
          <c:showPercent val="0"/>
          <c:showBubbleSize val="0"/>
          <c:showLeaderLines val="1"/>
        </c:dLbls>
      </c:pie3DChart>
      <c:spPr>
        <a:noFill/>
        <a:ln w="25400">
          <a:noFill/>
        </a:ln>
      </c:spPr>
    </c:plotArea>
    <c:legend>
      <c:legendPos val="r"/>
      <c:layout>
        <c:manualLayout>
          <c:xMode val="edge"/>
          <c:yMode val="edge"/>
          <c:x val="0.36363704536932884"/>
          <c:y val="0.1314882525497463"/>
          <c:w val="0.27083387303859741"/>
          <c:h val="8.304498269896203E-2"/>
        </c:manualLayout>
      </c:layout>
      <c:overlay val="0"/>
      <c:txPr>
        <a:bodyPr/>
        <a:lstStyle/>
        <a:p>
          <a:pPr>
            <a:defRPr lang="es-CL"/>
          </a:pPr>
          <a:endParaRPr lang="es-E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perspective val="0"/>
    </c:view3D>
    <c:floor>
      <c:thickness val="0"/>
    </c:floor>
    <c:sideWall>
      <c:thickness val="0"/>
    </c:sideWall>
    <c:backWall>
      <c:thickness val="0"/>
    </c:backWall>
    <c:plotArea>
      <c:layout/>
      <c:pie3DChart>
        <c:varyColors val="1"/>
        <c:ser>
          <c:idx val="0"/>
          <c:order val="0"/>
          <c:tx>
            <c:strRef>
              <c:f>'[3]Datos Total'!$L$56</c:f>
              <c:strCache>
                <c:ptCount val="1"/>
                <c:pt idx="0">
                  <c:v>Atencion</c:v>
                </c:pt>
              </c:strCache>
            </c:strRef>
          </c:tx>
          <c:dPt>
            <c:idx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9632-4C19-B500-6FE54521FA80}"/>
              </c:ext>
            </c:extLst>
          </c:dPt>
          <c:dPt>
            <c:idx val="1"/>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9632-4C19-B500-6FE54521FA80}"/>
              </c:ext>
            </c:extLst>
          </c:dPt>
          <c:dLbls>
            <c:spPr>
              <a:noFill/>
              <a:ln w="25400">
                <a:noFill/>
              </a:ln>
            </c:spPr>
            <c:txPr>
              <a:bodyPr/>
              <a:lstStyle/>
              <a:p>
                <a:pPr>
                  <a:defRPr sz="900" b="0" i="0" u="none" strike="noStrike" baseline="0">
                    <a:solidFill>
                      <a:srgbClr val="C0C0C0"/>
                    </a:solidFill>
                    <a:latin typeface="Calibri"/>
                    <a:ea typeface="Calibri"/>
                    <a:cs typeface="Calibri"/>
                  </a:defRPr>
                </a:pPr>
                <a:endParaRPr lang="es-ES"/>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'[3]Datos Total'!$L$57:$L$58</c:f>
              <c:strCache>
                <c:ptCount val="2"/>
                <c:pt idx="0">
                  <c:v>Trabajo</c:v>
                </c:pt>
                <c:pt idx="1">
                  <c:v>Enfermedad Profesional</c:v>
                </c:pt>
              </c:strCache>
            </c:strRef>
          </c:cat>
          <c:val>
            <c:numRef>
              <c:f>'[3]Datos Total'!$N$57:$N$58</c:f>
              <c:numCache>
                <c:formatCode>General</c:formatCode>
                <c:ptCount val="2"/>
                <c:pt idx="0">
                  <c:v>0</c:v>
                </c:pt>
                <c:pt idx="1">
                  <c:v>0</c:v>
                </c:pt>
              </c:numCache>
            </c:numRef>
          </c:val>
          <c:extLst>
            <c:ext xmlns:c16="http://schemas.microsoft.com/office/drawing/2014/chart" uri="{C3380CC4-5D6E-409C-BE32-E72D297353CC}">
              <c16:uniqueId val="{00000002-9632-4C19-B500-6FE54521FA80}"/>
            </c:ext>
          </c:extLst>
        </c:ser>
        <c:dLbls>
          <c:showLegendKey val="0"/>
          <c:showVal val="0"/>
          <c:showCatName val="0"/>
          <c:showSerName val="0"/>
          <c:showPercent val="0"/>
          <c:showBubbleSize val="0"/>
          <c:showLeaderLines val="1"/>
        </c:dLbls>
      </c:pie3DChart>
      <c:spPr>
        <a:noFill/>
        <a:ln w="25400">
          <a:noFill/>
        </a:ln>
      </c:spPr>
    </c:plotArea>
    <c:legend>
      <c:legendPos val="r"/>
      <c:layout>
        <c:manualLayout>
          <c:xMode val="edge"/>
          <c:yMode val="edge"/>
          <c:x val="0.33901580484257687"/>
          <c:y val="0.92307821522309785"/>
          <c:w val="0.31628841849314288"/>
          <c:h val="5.5384615384615407E-2"/>
        </c:manualLayout>
      </c:layout>
      <c:overlay val="0"/>
      <c:spPr>
        <a:noFill/>
        <a:ln w="25400">
          <a:noFill/>
        </a:ln>
      </c:spPr>
      <c:txPr>
        <a:bodyPr/>
        <a:lstStyle/>
        <a:p>
          <a:pPr>
            <a:defRPr lang="es-CO" sz="690" b="0" i="0" u="none" strike="noStrike" baseline="0">
              <a:solidFill>
                <a:srgbClr val="C0C0C0"/>
              </a:solidFill>
              <a:latin typeface="Calibri"/>
              <a:ea typeface="Calibri"/>
              <a:cs typeface="Calibri"/>
            </a:defRPr>
          </a:pPr>
          <a:endParaRPr lang="es-ES"/>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L"/>
              <a:t>Día</a:t>
            </a:r>
          </a:p>
        </c:rich>
      </c:tx>
      <c:overlay val="0"/>
    </c:title>
    <c:autoTitleDeleted val="0"/>
    <c:plotArea>
      <c:layout/>
      <c:barChart>
        <c:barDir val="col"/>
        <c:grouping val="clustered"/>
        <c:varyColors val="0"/>
        <c:ser>
          <c:idx val="0"/>
          <c:order val="0"/>
          <c:tx>
            <c:strRef>
              <c:f>'Datos Total'!$B$38</c:f>
              <c:strCache>
                <c:ptCount val="1"/>
                <c:pt idx="0">
                  <c:v>DIA</c:v>
                </c:pt>
              </c:strCache>
            </c:strRef>
          </c:tx>
          <c:spPr>
            <a:solidFill>
              <a:srgbClr val="FF0000"/>
            </a:solidFill>
            <a:ln w="25400">
              <a:solidFill>
                <a:srgbClr val="FF0000"/>
              </a:solidFill>
            </a:ln>
          </c:spPr>
          <c:invertIfNegative val="0"/>
          <c:cat>
            <c:strRef>
              <c:f>'Datos Total'!$B$39:$B$45</c:f>
              <c:strCache>
                <c:ptCount val="7"/>
                <c:pt idx="0">
                  <c:v>Jueves</c:v>
                </c:pt>
                <c:pt idx="1">
                  <c:v>Miercoles</c:v>
                </c:pt>
                <c:pt idx="2">
                  <c:v>Lunes</c:v>
                </c:pt>
                <c:pt idx="3">
                  <c:v>Viernes</c:v>
                </c:pt>
                <c:pt idx="4">
                  <c:v>Martes</c:v>
                </c:pt>
                <c:pt idx="5">
                  <c:v>Sabado</c:v>
                </c:pt>
                <c:pt idx="6">
                  <c:v>Domingo</c:v>
                </c:pt>
              </c:strCache>
            </c:strRef>
          </c:cat>
          <c:val>
            <c:numRef>
              <c:f>'Datos Total'!$C$39:$C$45</c:f>
              <c:numCache>
                <c:formatCode>General</c:formatCode>
                <c:ptCount val="7"/>
                <c:pt idx="0">
                  <c:v>39</c:v>
                </c:pt>
                <c:pt idx="1">
                  <c:v>38</c:v>
                </c:pt>
                <c:pt idx="2">
                  <c:v>31</c:v>
                </c:pt>
                <c:pt idx="3">
                  <c:v>34</c:v>
                </c:pt>
                <c:pt idx="4">
                  <c:v>27</c:v>
                </c:pt>
                <c:pt idx="5">
                  <c:v>17</c:v>
                </c:pt>
                <c:pt idx="6">
                  <c:v>5</c:v>
                </c:pt>
              </c:numCache>
            </c:numRef>
          </c:val>
          <c:extLst>
            <c:ext xmlns:c16="http://schemas.microsoft.com/office/drawing/2014/chart" uri="{C3380CC4-5D6E-409C-BE32-E72D297353CC}">
              <c16:uniqueId val="{00000000-824D-4222-8AC5-1173B24A3E30}"/>
            </c:ext>
          </c:extLst>
        </c:ser>
        <c:dLbls>
          <c:showLegendKey val="0"/>
          <c:showVal val="0"/>
          <c:showCatName val="0"/>
          <c:showSerName val="0"/>
          <c:showPercent val="0"/>
          <c:showBubbleSize val="0"/>
        </c:dLbls>
        <c:gapWidth val="75"/>
        <c:overlap val="-25"/>
        <c:axId val="214273024"/>
        <c:axId val="214186752"/>
      </c:barChart>
      <c:lineChart>
        <c:grouping val="standard"/>
        <c:varyColors val="0"/>
        <c:ser>
          <c:idx val="2"/>
          <c:order val="1"/>
          <c:tx>
            <c:strRef>
              <c:f>'Datos Total'!$E$38</c:f>
              <c:strCache>
                <c:ptCount val="1"/>
                <c:pt idx="0">
                  <c:v>Pareto</c:v>
                </c:pt>
              </c:strCache>
            </c:strRef>
          </c:tx>
          <c:spPr>
            <a:ln w="28575" cap="rnd">
              <a:solidFill>
                <a:srgbClr val="00B050"/>
              </a:solidFill>
              <a:round/>
            </a:ln>
            <a:effectLst/>
          </c:spPr>
          <c:marker>
            <c:symbol val="none"/>
          </c:marker>
          <c:cat>
            <c:strRef>
              <c:f>'[3]Datos Total'!$B$59:$B$65</c:f>
              <c:strCache>
                <c:ptCount val="7"/>
                <c:pt idx="0">
                  <c:v>Lunes</c:v>
                </c:pt>
                <c:pt idx="1">
                  <c:v>Jueves</c:v>
                </c:pt>
                <c:pt idx="2">
                  <c:v>Viernes</c:v>
                </c:pt>
                <c:pt idx="3">
                  <c:v>Sabado</c:v>
                </c:pt>
                <c:pt idx="4">
                  <c:v>Miercoles</c:v>
                </c:pt>
                <c:pt idx="5">
                  <c:v>Martes</c:v>
                </c:pt>
                <c:pt idx="6">
                  <c:v>Domingo</c:v>
                </c:pt>
              </c:strCache>
            </c:strRef>
          </c:cat>
          <c:val>
            <c:numRef>
              <c:f>'Datos Total'!$E$39:$E$45</c:f>
              <c:numCache>
                <c:formatCode>0%</c:formatCode>
                <c:ptCount val="7"/>
                <c:pt idx="0">
                  <c:v>0.20418848167539266</c:v>
                </c:pt>
                <c:pt idx="1">
                  <c:v>0.40314136125654448</c:v>
                </c:pt>
                <c:pt idx="2">
                  <c:v>0.5654450261780104</c:v>
                </c:pt>
                <c:pt idx="3">
                  <c:v>0.74345549738219885</c:v>
                </c:pt>
                <c:pt idx="4">
                  <c:v>0.88481675392670145</c:v>
                </c:pt>
                <c:pt idx="5">
                  <c:v>0.97382198952879573</c:v>
                </c:pt>
                <c:pt idx="6">
                  <c:v>0.99999999999999989</c:v>
                </c:pt>
              </c:numCache>
            </c:numRef>
          </c:val>
          <c:smooth val="0"/>
          <c:extLst>
            <c:ext xmlns:c16="http://schemas.microsoft.com/office/drawing/2014/chart" uri="{C3380CC4-5D6E-409C-BE32-E72D297353CC}">
              <c16:uniqueId val="{00000001-824D-4222-8AC5-1173B24A3E30}"/>
            </c:ext>
          </c:extLst>
        </c:ser>
        <c:dLbls>
          <c:showLegendKey val="0"/>
          <c:showVal val="0"/>
          <c:showCatName val="0"/>
          <c:showSerName val="0"/>
          <c:showPercent val="0"/>
          <c:showBubbleSize val="0"/>
        </c:dLbls>
        <c:marker val="1"/>
        <c:smooth val="0"/>
        <c:axId val="1057614735"/>
        <c:axId val="1057595599"/>
      </c:lineChart>
      <c:catAx>
        <c:axId val="214273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es-ES"/>
          </a:p>
        </c:txPr>
        <c:crossAx val="214186752"/>
        <c:crosses val="autoZero"/>
        <c:auto val="1"/>
        <c:lblAlgn val="ctr"/>
        <c:lblOffset val="100"/>
        <c:noMultiLvlLbl val="0"/>
      </c:catAx>
      <c:valAx>
        <c:axId val="214186752"/>
        <c:scaling>
          <c:orientation val="minMax"/>
        </c:scaling>
        <c:delete val="0"/>
        <c:axPos val="l"/>
        <c:majorGridlines/>
        <c:numFmt formatCode="General" sourceLinked="1"/>
        <c:majorTickMark val="none"/>
        <c:minorTickMark val="none"/>
        <c:tickLblPos val="nextTo"/>
        <c:spPr>
          <a:ln w="9525">
            <a:noFill/>
          </a:ln>
        </c:spPr>
        <c:crossAx val="214273024"/>
        <c:crosses val="autoZero"/>
        <c:crossBetween val="between"/>
      </c:valAx>
      <c:valAx>
        <c:axId val="1057595599"/>
        <c:scaling>
          <c:orientation val="minMax"/>
        </c:scaling>
        <c:delete val="0"/>
        <c:axPos val="r"/>
        <c:numFmt formatCode="0%" sourceLinked="1"/>
        <c:majorTickMark val="out"/>
        <c:minorTickMark val="none"/>
        <c:tickLblPos val="nextTo"/>
        <c:crossAx val="1057614735"/>
        <c:crosses val="max"/>
        <c:crossBetween val="between"/>
      </c:valAx>
      <c:catAx>
        <c:axId val="1057614735"/>
        <c:scaling>
          <c:orientation val="minMax"/>
        </c:scaling>
        <c:delete val="1"/>
        <c:axPos val="b"/>
        <c:numFmt formatCode="General" sourceLinked="1"/>
        <c:majorTickMark val="out"/>
        <c:minorTickMark val="none"/>
        <c:tickLblPos val="nextTo"/>
        <c:crossAx val="1057595599"/>
        <c:crosses val="autoZero"/>
        <c:auto val="1"/>
        <c:lblAlgn val="ctr"/>
        <c:lblOffset val="100"/>
        <c:noMultiLvlLbl val="0"/>
      </c:catAx>
      <c:spPr>
        <a:noFill/>
        <a:ln w="25400">
          <a:noFill/>
        </a:ln>
      </c:spPr>
    </c:plotArea>
    <c:legend>
      <c:legendPos val="b"/>
      <c:overlay val="0"/>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L"/>
              <a:t>Parte</a:t>
            </a:r>
            <a:r>
              <a:rPr lang="es-CL" baseline="0"/>
              <a:t> afectada</a:t>
            </a:r>
            <a:endParaRPr lang="es-CL"/>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ES"/>
        </a:p>
      </c:txPr>
    </c:title>
    <c:autoTitleDeleted val="0"/>
    <c:plotArea>
      <c:layout/>
      <c:barChart>
        <c:barDir val="col"/>
        <c:grouping val="clustered"/>
        <c:varyColors val="0"/>
        <c:ser>
          <c:idx val="0"/>
          <c:order val="0"/>
          <c:tx>
            <c:strRef>
              <c:f>'Datos Total'!$H$3</c:f>
              <c:strCache>
                <c:ptCount val="1"/>
                <c:pt idx="0">
                  <c:v>Total</c:v>
                </c:pt>
              </c:strCache>
            </c:strRef>
          </c:tx>
          <c:spPr>
            <a:solidFill>
              <a:srgbClr val="FF0000"/>
            </a:solidFill>
            <a:ln>
              <a:solidFill>
                <a:srgbClr val="FF0000"/>
              </a:solidFill>
            </a:ln>
            <a:effectLst>
              <a:outerShdw blurRad="40000" dist="23000" dir="5400000" rotWithShape="0">
                <a:srgbClr val="000000">
                  <a:alpha val="35000"/>
                </a:srgbClr>
              </a:outerShdw>
            </a:effectLst>
          </c:spPr>
          <c:invertIfNegative val="0"/>
          <c:cat>
            <c:strRef>
              <c:f>'Datos Total'!$G$4:$G$15</c:f>
              <c:strCache>
                <c:ptCount val="12"/>
                <c:pt idx="0">
                  <c:v>Manos / dedos</c:v>
                </c:pt>
                <c:pt idx="1">
                  <c:v>Pierna</c:v>
                </c:pt>
                <c:pt idx="2">
                  <c:v>Ojos</c:v>
                </c:pt>
                <c:pt idx="3">
                  <c:v>Pie</c:v>
                </c:pt>
                <c:pt idx="4">
                  <c:v>Brazo</c:v>
                </c:pt>
                <c:pt idx="5">
                  <c:v>Rostro</c:v>
                </c:pt>
                <c:pt idx="6">
                  <c:v>Otro</c:v>
                </c:pt>
                <c:pt idx="7">
                  <c:v>Pelvis</c:v>
                </c:pt>
                <c:pt idx="8">
                  <c:v>Cabeza</c:v>
                </c:pt>
                <c:pt idx="9">
                  <c:v>Tronco</c:v>
                </c:pt>
                <c:pt idx="10">
                  <c:v>Espalda</c:v>
                </c:pt>
                <c:pt idx="11">
                  <c:v>Multiples</c:v>
                </c:pt>
              </c:strCache>
            </c:strRef>
          </c:cat>
          <c:val>
            <c:numRef>
              <c:f>'Datos Total'!$H$4:$H$15</c:f>
              <c:numCache>
                <c:formatCode>General</c:formatCode>
                <c:ptCount val="12"/>
                <c:pt idx="0">
                  <c:v>65</c:v>
                </c:pt>
                <c:pt idx="1">
                  <c:v>20</c:v>
                </c:pt>
                <c:pt idx="2">
                  <c:v>21</c:v>
                </c:pt>
                <c:pt idx="3">
                  <c:v>13</c:v>
                </c:pt>
                <c:pt idx="4">
                  <c:v>22</c:v>
                </c:pt>
                <c:pt idx="5">
                  <c:v>15</c:v>
                </c:pt>
                <c:pt idx="6">
                  <c:v>7</c:v>
                </c:pt>
                <c:pt idx="7">
                  <c:v>4</c:v>
                </c:pt>
                <c:pt idx="8">
                  <c:v>7</c:v>
                </c:pt>
                <c:pt idx="9">
                  <c:v>7</c:v>
                </c:pt>
                <c:pt idx="10">
                  <c:v>9</c:v>
                </c:pt>
                <c:pt idx="11">
                  <c:v>3</c:v>
                </c:pt>
              </c:numCache>
            </c:numRef>
          </c:val>
          <c:extLst>
            <c:ext xmlns:c16="http://schemas.microsoft.com/office/drawing/2014/chart" uri="{C3380CC4-5D6E-409C-BE32-E72D297353CC}">
              <c16:uniqueId val="{00000000-F6C9-4805-8BAB-A5E86B99F4A4}"/>
            </c:ext>
          </c:extLst>
        </c:ser>
        <c:dLbls>
          <c:showLegendKey val="0"/>
          <c:showVal val="0"/>
          <c:showCatName val="0"/>
          <c:showSerName val="0"/>
          <c:showPercent val="0"/>
          <c:showBubbleSize val="0"/>
        </c:dLbls>
        <c:gapWidth val="75"/>
        <c:overlap val="-25"/>
        <c:axId val="214273536"/>
        <c:axId val="215114880"/>
      </c:barChart>
      <c:lineChart>
        <c:grouping val="stacked"/>
        <c:varyColors val="0"/>
        <c:ser>
          <c:idx val="1"/>
          <c:order val="1"/>
          <c:tx>
            <c:strRef>
              <c:f>'Datos Total'!$J$3</c:f>
              <c:strCache>
                <c:ptCount val="1"/>
                <c:pt idx="0">
                  <c:v>Pareto</c:v>
                </c:pt>
              </c:strCache>
            </c:strRef>
          </c:tx>
          <c:spPr>
            <a:ln w="31750" cap="rnd">
              <a:solidFill>
                <a:srgbClr val="00B050"/>
              </a:solidFill>
              <a:round/>
            </a:ln>
            <a:effectLst>
              <a:outerShdw blurRad="40000" dist="23000" dir="5400000" rotWithShape="0">
                <a:srgbClr val="000000">
                  <a:alpha val="35000"/>
                </a:srgbClr>
              </a:outerShdw>
            </a:effectLst>
          </c:spPr>
          <c:marker>
            <c:symbol val="circle"/>
            <c:size val="6"/>
            <c:spPr>
              <a:solidFill>
                <a:srgbClr val="00B050"/>
              </a:solidFill>
              <a:ln w="12700">
                <a:solidFill>
                  <a:schemeClr val="lt2"/>
                </a:solidFill>
                <a:round/>
              </a:ln>
              <a:effectLst>
                <a:outerShdw blurRad="40000" dist="23000" dir="5400000" rotWithShape="0">
                  <a:srgbClr val="000000">
                    <a:alpha val="35000"/>
                  </a:srgbClr>
                </a:outerShdw>
              </a:effectLst>
            </c:spPr>
          </c:marker>
          <c:cat>
            <c:strRef>
              <c:f>'Datos Total'!$G$4:$G$15</c:f>
              <c:strCache>
                <c:ptCount val="12"/>
                <c:pt idx="0">
                  <c:v>Manos / dedos</c:v>
                </c:pt>
                <c:pt idx="1">
                  <c:v>Pierna</c:v>
                </c:pt>
                <c:pt idx="2">
                  <c:v>Ojos</c:v>
                </c:pt>
                <c:pt idx="3">
                  <c:v>Pie</c:v>
                </c:pt>
                <c:pt idx="4">
                  <c:v>Brazo</c:v>
                </c:pt>
                <c:pt idx="5">
                  <c:v>Rostro</c:v>
                </c:pt>
                <c:pt idx="6">
                  <c:v>Otro</c:v>
                </c:pt>
                <c:pt idx="7">
                  <c:v>Pelvis</c:v>
                </c:pt>
                <c:pt idx="8">
                  <c:v>Cabeza</c:v>
                </c:pt>
                <c:pt idx="9">
                  <c:v>Tronco</c:v>
                </c:pt>
                <c:pt idx="10">
                  <c:v>Espalda</c:v>
                </c:pt>
                <c:pt idx="11">
                  <c:v>Multiples</c:v>
                </c:pt>
              </c:strCache>
            </c:strRef>
          </c:cat>
          <c:val>
            <c:numRef>
              <c:f>'Datos Total'!$J$4:$J$15</c:f>
              <c:numCache>
                <c:formatCode>0%</c:formatCode>
                <c:ptCount val="12"/>
                <c:pt idx="0">
                  <c:v>0.33678756476683935</c:v>
                </c:pt>
                <c:pt idx="1">
                  <c:v>0.44041450777202068</c:v>
                </c:pt>
                <c:pt idx="2">
                  <c:v>0.54922279792746109</c:v>
                </c:pt>
                <c:pt idx="3">
                  <c:v>0.61658031088082899</c:v>
                </c:pt>
                <c:pt idx="4">
                  <c:v>0.73056994818652843</c:v>
                </c:pt>
                <c:pt idx="5">
                  <c:v>0.80829015544041449</c:v>
                </c:pt>
                <c:pt idx="6">
                  <c:v>0.84455958549222798</c:v>
                </c:pt>
                <c:pt idx="7">
                  <c:v>0.86528497409326421</c:v>
                </c:pt>
                <c:pt idx="8">
                  <c:v>0.9015544041450777</c:v>
                </c:pt>
                <c:pt idx="9">
                  <c:v>0.93782383419689119</c:v>
                </c:pt>
                <c:pt idx="10">
                  <c:v>0.98445595854922274</c:v>
                </c:pt>
                <c:pt idx="11">
                  <c:v>1</c:v>
                </c:pt>
              </c:numCache>
            </c:numRef>
          </c:val>
          <c:smooth val="0"/>
          <c:extLst>
            <c:ext xmlns:c16="http://schemas.microsoft.com/office/drawing/2014/chart" uri="{C3380CC4-5D6E-409C-BE32-E72D297353CC}">
              <c16:uniqueId val="{00000000-ECFF-4823-BE0E-AE1BCCE888AD}"/>
            </c:ext>
          </c:extLst>
        </c:ser>
        <c:dLbls>
          <c:showLegendKey val="0"/>
          <c:showVal val="0"/>
          <c:showCatName val="0"/>
          <c:showSerName val="0"/>
          <c:showPercent val="0"/>
          <c:showBubbleSize val="0"/>
        </c:dLbls>
        <c:marker val="1"/>
        <c:smooth val="0"/>
        <c:axId val="215220736"/>
        <c:axId val="215115456"/>
      </c:lineChart>
      <c:catAx>
        <c:axId val="214273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s-ES"/>
          </a:p>
        </c:txPr>
        <c:crossAx val="215114880"/>
        <c:crosses val="autoZero"/>
        <c:auto val="1"/>
        <c:lblAlgn val="ctr"/>
        <c:lblOffset val="100"/>
        <c:noMultiLvlLbl val="0"/>
      </c:catAx>
      <c:valAx>
        <c:axId val="21511488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ES"/>
          </a:p>
        </c:txPr>
        <c:crossAx val="214273536"/>
        <c:crosses val="autoZero"/>
        <c:crossBetween val="between"/>
      </c:valAx>
      <c:catAx>
        <c:axId val="215220736"/>
        <c:scaling>
          <c:orientation val="minMax"/>
        </c:scaling>
        <c:delete val="1"/>
        <c:axPos val="b"/>
        <c:numFmt formatCode="General" sourceLinked="1"/>
        <c:majorTickMark val="none"/>
        <c:minorTickMark val="none"/>
        <c:tickLblPos val="nextTo"/>
        <c:crossAx val="215115456"/>
        <c:crosses val="autoZero"/>
        <c:auto val="1"/>
        <c:lblAlgn val="ctr"/>
        <c:lblOffset val="100"/>
        <c:noMultiLvlLbl val="0"/>
      </c:catAx>
      <c:valAx>
        <c:axId val="215115456"/>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ES"/>
          </a:p>
        </c:txPr>
        <c:crossAx val="215220736"/>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ES"/>
        </a:p>
      </c:txPr>
    </c:legend>
    <c:plotVisOnly val="1"/>
    <c:dispBlanksAs val="zero"/>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L"/>
              <a:t>Tipología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'Datos Total'!$C$17</c:f>
              <c:strCache>
                <c:ptCount val="1"/>
                <c:pt idx="0">
                  <c:v>Total</c:v>
                </c:pt>
              </c:strCache>
            </c:strRef>
          </c:tx>
          <c:spPr>
            <a:solidFill>
              <a:srgbClr val="FF0000"/>
            </a:solidFill>
            <a:ln>
              <a:solidFill>
                <a:srgbClr val="FF0000"/>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'Datos Total'!$B$18:$B$31</c:f>
              <c:strCache>
                <c:ptCount val="14"/>
                <c:pt idx="0">
                  <c:v>Caida de mismo nivel</c:v>
                </c:pt>
                <c:pt idx="1">
                  <c:v>Golpeado por</c:v>
                </c:pt>
                <c:pt idx="2">
                  <c:v>Golpeado contra</c:v>
                </c:pt>
                <c:pt idx="3">
                  <c:v>Contacto con cuerpo cortante</c:v>
                </c:pt>
                <c:pt idx="4">
                  <c:v>Proyeccion de particulas</c:v>
                </c:pt>
                <c:pt idx="5">
                  <c:v>Otros</c:v>
                </c:pt>
                <c:pt idx="6">
                  <c:v>Atrapamiento</c:v>
                </c:pt>
                <c:pt idx="7">
                  <c:v>Caida de distinto nivel</c:v>
                </c:pt>
                <c:pt idx="8">
                  <c:v>Exposicion a humo y gases</c:v>
                </c:pt>
                <c:pt idx="9">
                  <c:v>Sobreesfuerzo</c:v>
                </c:pt>
                <c:pt idx="10">
                  <c:v>Contacto con cuerpo punzante</c:v>
                </c:pt>
                <c:pt idx="11">
                  <c:v>Contacto con temperaturas extremas</c:v>
                </c:pt>
                <c:pt idx="12">
                  <c:v>Picadura</c:v>
                </c:pt>
                <c:pt idx="13">
                  <c:v>Contacto con sustancias toxicas</c:v>
                </c:pt>
              </c:strCache>
            </c:strRef>
          </c:cat>
          <c:val>
            <c:numRef>
              <c:f>'Datos Total'!$C$18:$C$31</c:f>
              <c:numCache>
                <c:formatCode>General</c:formatCode>
                <c:ptCount val="14"/>
                <c:pt idx="0">
                  <c:v>34</c:v>
                </c:pt>
                <c:pt idx="1">
                  <c:v>51</c:v>
                </c:pt>
                <c:pt idx="2">
                  <c:v>19</c:v>
                </c:pt>
                <c:pt idx="3">
                  <c:v>18</c:v>
                </c:pt>
                <c:pt idx="4">
                  <c:v>10</c:v>
                </c:pt>
                <c:pt idx="5">
                  <c:v>19</c:v>
                </c:pt>
                <c:pt idx="6">
                  <c:v>10</c:v>
                </c:pt>
                <c:pt idx="7">
                  <c:v>7</c:v>
                </c:pt>
                <c:pt idx="8">
                  <c:v>3</c:v>
                </c:pt>
                <c:pt idx="9">
                  <c:v>10</c:v>
                </c:pt>
                <c:pt idx="10">
                  <c:v>2</c:v>
                </c:pt>
                <c:pt idx="11">
                  <c:v>3</c:v>
                </c:pt>
                <c:pt idx="12">
                  <c:v>1</c:v>
                </c:pt>
                <c:pt idx="13">
                  <c:v>1</c:v>
                </c:pt>
              </c:numCache>
            </c:numRef>
          </c:val>
          <c:extLst>
            <c:ext xmlns:c16="http://schemas.microsoft.com/office/drawing/2014/chart" uri="{C3380CC4-5D6E-409C-BE32-E72D297353CC}">
              <c16:uniqueId val="{00000000-5876-4ABD-8340-33FF1B47A621}"/>
            </c:ext>
          </c:extLst>
        </c:ser>
        <c:dLbls>
          <c:showLegendKey val="0"/>
          <c:showVal val="0"/>
          <c:showCatName val="0"/>
          <c:showSerName val="0"/>
          <c:showPercent val="0"/>
          <c:showBubbleSize val="0"/>
        </c:dLbls>
        <c:gapWidth val="75"/>
        <c:overlap val="-25"/>
        <c:axId val="215221760"/>
        <c:axId val="215117760"/>
      </c:barChart>
      <c:lineChart>
        <c:grouping val="stacked"/>
        <c:varyColors val="0"/>
        <c:ser>
          <c:idx val="1"/>
          <c:order val="1"/>
          <c:tx>
            <c:strRef>
              <c:f>'Datos Total'!$E$17</c:f>
              <c:strCache>
                <c:ptCount val="1"/>
                <c:pt idx="0">
                  <c:v>Pareto</c:v>
                </c:pt>
              </c:strCache>
            </c:strRef>
          </c:tx>
          <c:spPr>
            <a:ln w="34925" cap="rnd">
              <a:solidFill>
                <a:srgbClr val="00B050"/>
              </a:solidFill>
              <a:round/>
            </a:ln>
            <a:effectLst>
              <a:outerShdw blurRad="40000" dist="23000" dir="5400000" rotWithShape="0">
                <a:srgbClr val="000000">
                  <a:alpha val="35000"/>
                </a:srgbClr>
              </a:outerShdw>
            </a:effectLst>
          </c:spPr>
          <c:marker>
            <c:symbol val="circle"/>
            <c:size val="6"/>
            <c:spPr>
              <a:solidFill>
                <a:srgbClr val="00B050"/>
              </a:soli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'Datos Total'!$B$18:$B$31</c:f>
              <c:strCache>
                <c:ptCount val="14"/>
                <c:pt idx="0">
                  <c:v>Caida de mismo nivel</c:v>
                </c:pt>
                <c:pt idx="1">
                  <c:v>Golpeado por</c:v>
                </c:pt>
                <c:pt idx="2">
                  <c:v>Golpeado contra</c:v>
                </c:pt>
                <c:pt idx="3">
                  <c:v>Contacto con cuerpo cortante</c:v>
                </c:pt>
                <c:pt idx="4">
                  <c:v>Proyeccion de particulas</c:v>
                </c:pt>
                <c:pt idx="5">
                  <c:v>Otros</c:v>
                </c:pt>
                <c:pt idx="6">
                  <c:v>Atrapamiento</c:v>
                </c:pt>
                <c:pt idx="7">
                  <c:v>Caida de distinto nivel</c:v>
                </c:pt>
                <c:pt idx="8">
                  <c:v>Exposicion a humo y gases</c:v>
                </c:pt>
                <c:pt idx="9">
                  <c:v>Sobreesfuerzo</c:v>
                </c:pt>
                <c:pt idx="10">
                  <c:v>Contacto con cuerpo punzante</c:v>
                </c:pt>
                <c:pt idx="11">
                  <c:v>Contacto con temperaturas extremas</c:v>
                </c:pt>
                <c:pt idx="12">
                  <c:v>Picadura</c:v>
                </c:pt>
                <c:pt idx="13">
                  <c:v>Contacto con sustancias toxicas</c:v>
                </c:pt>
              </c:strCache>
            </c:strRef>
          </c:cat>
          <c:val>
            <c:numRef>
              <c:f>'Datos Total'!$E$18:$E$31</c:f>
              <c:numCache>
                <c:formatCode>0%</c:formatCode>
                <c:ptCount val="14"/>
                <c:pt idx="0">
                  <c:v>0.17708333333333334</c:v>
                </c:pt>
                <c:pt idx="1">
                  <c:v>0.44270833333333337</c:v>
                </c:pt>
                <c:pt idx="2">
                  <c:v>0.54166666666666674</c:v>
                </c:pt>
                <c:pt idx="3">
                  <c:v>0.63541666666666674</c:v>
                </c:pt>
                <c:pt idx="4">
                  <c:v>0.68750000000000011</c:v>
                </c:pt>
                <c:pt idx="5">
                  <c:v>0.78645833333333348</c:v>
                </c:pt>
                <c:pt idx="6">
                  <c:v>0.83854166666666685</c:v>
                </c:pt>
                <c:pt idx="7">
                  <c:v>0.87500000000000022</c:v>
                </c:pt>
                <c:pt idx="8">
                  <c:v>0.89062500000000022</c:v>
                </c:pt>
                <c:pt idx="9">
                  <c:v>0.94270833333333359</c:v>
                </c:pt>
                <c:pt idx="10">
                  <c:v>0.95312500000000022</c:v>
                </c:pt>
                <c:pt idx="11">
                  <c:v>0.96875000000000022</c:v>
                </c:pt>
                <c:pt idx="12">
                  <c:v>0.97395833333333359</c:v>
                </c:pt>
                <c:pt idx="13">
                  <c:v>0.97916666666666696</c:v>
                </c:pt>
              </c:numCache>
            </c:numRef>
          </c:val>
          <c:smooth val="0"/>
          <c:extLst>
            <c:ext xmlns:c16="http://schemas.microsoft.com/office/drawing/2014/chart" uri="{C3380CC4-5D6E-409C-BE32-E72D297353CC}">
              <c16:uniqueId val="{00000000-2C13-4CF4-BEE7-EDDA0235FBEF}"/>
            </c:ext>
          </c:extLst>
        </c:ser>
        <c:dLbls>
          <c:showLegendKey val="0"/>
          <c:showVal val="0"/>
          <c:showCatName val="0"/>
          <c:showSerName val="0"/>
          <c:showPercent val="0"/>
          <c:showBubbleSize val="0"/>
        </c:dLbls>
        <c:marker val="1"/>
        <c:smooth val="0"/>
        <c:axId val="215222784"/>
        <c:axId val="215118336"/>
      </c:lineChart>
      <c:catAx>
        <c:axId val="2152217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5117760"/>
        <c:crosses val="autoZero"/>
        <c:auto val="1"/>
        <c:lblAlgn val="ctr"/>
        <c:lblOffset val="100"/>
        <c:noMultiLvlLbl val="0"/>
      </c:catAx>
      <c:valAx>
        <c:axId val="215117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5221760"/>
        <c:crosses val="autoZero"/>
        <c:crossBetween val="between"/>
      </c:valAx>
      <c:catAx>
        <c:axId val="215222784"/>
        <c:scaling>
          <c:orientation val="minMax"/>
        </c:scaling>
        <c:delete val="1"/>
        <c:axPos val="b"/>
        <c:numFmt formatCode="General" sourceLinked="1"/>
        <c:majorTickMark val="none"/>
        <c:minorTickMark val="none"/>
        <c:tickLblPos val="nextTo"/>
        <c:crossAx val="215118336"/>
        <c:crosses val="autoZero"/>
        <c:auto val="1"/>
        <c:lblAlgn val="ctr"/>
        <c:lblOffset val="100"/>
        <c:noMultiLvlLbl val="0"/>
      </c:catAx>
      <c:valAx>
        <c:axId val="21511833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5222784"/>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598491504075494E-2"/>
          <c:y val="5.2434648710530454E-2"/>
          <c:w val="0.79734995958725352"/>
          <c:h val="0.71161308964291337"/>
        </c:manualLayout>
      </c:layout>
      <c:barChart>
        <c:barDir val="col"/>
        <c:grouping val="clustered"/>
        <c:varyColors val="0"/>
        <c:ser>
          <c:idx val="0"/>
          <c:order val="0"/>
          <c:tx>
            <c:strRef>
              <c:f>'Datos Total'!$L$3</c:f>
              <c:strCache>
                <c:ptCount val="1"/>
                <c:pt idx="0">
                  <c:v>AREA</c:v>
                </c:pt>
              </c:strCache>
            </c:strRef>
          </c:tx>
          <c:spPr>
            <a:noFill/>
            <a:ln w="25400" cap="flat" cmpd="sng" algn="ctr">
              <a:solidFill>
                <a:schemeClr val="accent1"/>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Total'!$B$4:$B$13</c:f>
              <c:strCache>
                <c:ptCount val="10"/>
                <c:pt idx="0">
                  <c:v>IQF Y CALIBRADO</c:v>
                </c:pt>
                <c:pt idx="1">
                  <c:v>SSGG</c:v>
                </c:pt>
                <c:pt idx="2">
                  <c:v>FAENACION</c:v>
                </c:pt>
                <c:pt idx="3">
                  <c:v>TROZADO POLLO</c:v>
                </c:pt>
                <c:pt idx="4">
                  <c:v>FRIGORÍFICO</c:v>
                </c:pt>
                <c:pt idx="5">
                  <c:v>P.POSTERIORES</c:v>
                </c:pt>
                <c:pt idx="6">
                  <c:v>BODEGA</c:v>
                </c:pt>
                <c:pt idx="7">
                  <c:v>MANTENCION</c:v>
                </c:pt>
                <c:pt idx="8">
                  <c:v>TROZADO PAVO</c:v>
                </c:pt>
                <c:pt idx="9">
                  <c:v>CALIDAD</c:v>
                </c:pt>
              </c:strCache>
            </c:strRef>
          </c:cat>
          <c:val>
            <c:numRef>
              <c:f>'Datos Total'!$M$4:$M$13</c:f>
              <c:numCache>
                <c:formatCode>General</c:formatCode>
                <c:ptCount val="10"/>
                <c:pt idx="0">
                  <c:v>63</c:v>
                </c:pt>
                <c:pt idx="1">
                  <c:v>29</c:v>
                </c:pt>
                <c:pt idx="2">
                  <c:v>31</c:v>
                </c:pt>
                <c:pt idx="3">
                  <c:v>22</c:v>
                </c:pt>
                <c:pt idx="4">
                  <c:v>13</c:v>
                </c:pt>
                <c:pt idx="5">
                  <c:v>15</c:v>
                </c:pt>
                <c:pt idx="6">
                  <c:v>8</c:v>
                </c:pt>
                <c:pt idx="7">
                  <c:v>6</c:v>
                </c:pt>
                <c:pt idx="8">
                  <c:v>3</c:v>
                </c:pt>
                <c:pt idx="9">
                  <c:v>1</c:v>
                </c:pt>
              </c:numCache>
            </c:numRef>
          </c:val>
          <c:extLst>
            <c:ext xmlns:c16="http://schemas.microsoft.com/office/drawing/2014/chart" uri="{C3380CC4-5D6E-409C-BE32-E72D297353CC}">
              <c16:uniqueId val="{00000000-9C7B-40DA-B357-6E82DD45A255}"/>
            </c:ext>
          </c:extLst>
        </c:ser>
        <c:ser>
          <c:idx val="1"/>
          <c:order val="1"/>
          <c:tx>
            <c:strRef>
              <c:f>'Datos Total'!$B$3</c:f>
              <c:strCache>
                <c:ptCount val="1"/>
                <c:pt idx="0">
                  <c:v>AREA CTP</c:v>
                </c:pt>
              </c:strCache>
            </c:strRef>
          </c:tx>
          <c:spPr>
            <a:noFill/>
            <a:ln w="25400" cap="flat" cmpd="sng" algn="ctr">
              <a:solidFill>
                <a:schemeClr val="accent2"/>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Total'!$B$4:$B$13</c:f>
              <c:strCache>
                <c:ptCount val="10"/>
                <c:pt idx="0">
                  <c:v>IQF Y CALIBRADO</c:v>
                </c:pt>
                <c:pt idx="1">
                  <c:v>SSGG</c:v>
                </c:pt>
                <c:pt idx="2">
                  <c:v>FAENACION</c:v>
                </c:pt>
                <c:pt idx="3">
                  <c:v>TROZADO POLLO</c:v>
                </c:pt>
                <c:pt idx="4">
                  <c:v>FRIGORÍFICO</c:v>
                </c:pt>
                <c:pt idx="5">
                  <c:v>P.POSTERIORES</c:v>
                </c:pt>
                <c:pt idx="6">
                  <c:v>BODEGA</c:v>
                </c:pt>
                <c:pt idx="7">
                  <c:v>MANTENCION</c:v>
                </c:pt>
                <c:pt idx="8">
                  <c:v>TROZADO PAVO</c:v>
                </c:pt>
                <c:pt idx="9">
                  <c:v>CALIDAD</c:v>
                </c:pt>
              </c:strCache>
            </c:strRef>
          </c:cat>
          <c:val>
            <c:numRef>
              <c:f>'Datos Total'!$C$4:$C$13</c:f>
              <c:numCache>
                <c:formatCode>General</c:formatCode>
                <c:ptCount val="10"/>
                <c:pt idx="0">
                  <c:v>6</c:v>
                </c:pt>
                <c:pt idx="1">
                  <c:v>6</c:v>
                </c:pt>
                <c:pt idx="2">
                  <c:v>4</c:v>
                </c:pt>
                <c:pt idx="3">
                  <c:v>6</c:v>
                </c:pt>
                <c:pt idx="4">
                  <c:v>2</c:v>
                </c:pt>
                <c:pt idx="5">
                  <c:v>2</c:v>
                </c:pt>
                <c:pt idx="6">
                  <c:v>1</c:v>
                </c:pt>
                <c:pt idx="7">
                  <c:v>0</c:v>
                </c:pt>
                <c:pt idx="8">
                  <c:v>0</c:v>
                </c:pt>
                <c:pt idx="9">
                  <c:v>0</c:v>
                </c:pt>
              </c:numCache>
            </c:numRef>
          </c:val>
          <c:extLst>
            <c:ext xmlns:c16="http://schemas.microsoft.com/office/drawing/2014/chart" uri="{C3380CC4-5D6E-409C-BE32-E72D297353CC}">
              <c16:uniqueId val="{00000001-9C7B-40DA-B357-6E82DD45A255}"/>
            </c:ext>
          </c:extLst>
        </c:ser>
        <c:dLbls>
          <c:showLegendKey val="0"/>
          <c:showVal val="0"/>
          <c:showCatName val="0"/>
          <c:showSerName val="0"/>
          <c:showPercent val="0"/>
          <c:showBubbleSize val="0"/>
        </c:dLbls>
        <c:gapWidth val="164"/>
        <c:overlap val="-35"/>
        <c:axId val="191937024"/>
        <c:axId val="215120640"/>
      </c:barChart>
      <c:catAx>
        <c:axId val="191937024"/>
        <c:scaling>
          <c:orientation val="minMax"/>
        </c:scaling>
        <c:delete val="0"/>
        <c:axPos val="b"/>
        <c:numFmt formatCode="General" sourceLinked="1"/>
        <c:majorTickMark val="none"/>
        <c:minorTickMark val="none"/>
        <c:tickLblPos val="nextTo"/>
        <c:spPr>
          <a:noFill/>
          <a:ln>
            <a:noFill/>
          </a:ln>
          <a:effectLst/>
        </c:spPr>
        <c:txPr>
          <a:bodyPr rot="-2700000" spcFirstLastPara="1" vertOverflow="ellipsis"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15120640"/>
        <c:crosses val="autoZero"/>
        <c:auto val="1"/>
        <c:lblAlgn val="ctr"/>
        <c:lblOffset val="100"/>
        <c:noMultiLvlLbl val="0"/>
      </c:catAx>
      <c:valAx>
        <c:axId val="215120640"/>
        <c:scaling>
          <c:orientation val="minMax"/>
        </c:scaling>
        <c:delete val="1"/>
        <c:axPos val="l"/>
        <c:numFmt formatCode="General" sourceLinked="1"/>
        <c:majorTickMark val="none"/>
        <c:minorTickMark val="none"/>
        <c:tickLblPos val="nextTo"/>
        <c:crossAx val="1919370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5151543175054698E-2"/>
          <c:y val="5.2434648710530454E-2"/>
          <c:w val="0.79545601669037225"/>
          <c:h val="0.59925312812034737"/>
        </c:manualLayout>
      </c:layout>
      <c:barChart>
        <c:barDir val="col"/>
        <c:grouping val="clustered"/>
        <c:varyColors val="0"/>
        <c:ser>
          <c:idx val="0"/>
          <c:order val="0"/>
          <c:tx>
            <c:strRef>
              <c:f>'Datos Total'!$L$44</c:f>
              <c:strCache>
                <c:ptCount val="1"/>
                <c:pt idx="0">
                  <c:v>Turnos</c:v>
                </c:pt>
              </c:strCache>
            </c:strRef>
          </c:tx>
          <c:spPr>
            <a:solidFill>
              <a:srgbClr val="FF0000"/>
            </a:solidFill>
            <a:ln w="25400">
              <a:noFill/>
            </a:ln>
          </c:spPr>
          <c:invertIfNegative val="0"/>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Total'!$L$45:$L$48</c:f>
              <c:strCache>
                <c:ptCount val="4"/>
                <c:pt idx="0">
                  <c:v>Mañana (05:00 a 12:00)</c:v>
                </c:pt>
                <c:pt idx="1">
                  <c:v>Tarde (12:00 a 21:00)</c:v>
                </c:pt>
                <c:pt idx="2">
                  <c:v>Noche (21:00 a 05:00)</c:v>
                </c:pt>
                <c:pt idx="3">
                  <c:v>Administrativo (08:00 a 18:30)</c:v>
                </c:pt>
              </c:strCache>
            </c:strRef>
          </c:cat>
          <c:val>
            <c:numRef>
              <c:f>'Datos Total'!$M$45:$M$48</c:f>
              <c:numCache>
                <c:formatCode>General</c:formatCode>
                <c:ptCount val="4"/>
                <c:pt idx="0">
                  <c:v>70</c:v>
                </c:pt>
                <c:pt idx="1">
                  <c:v>88</c:v>
                </c:pt>
                <c:pt idx="2">
                  <c:v>25</c:v>
                </c:pt>
                <c:pt idx="3">
                  <c:v>0</c:v>
                </c:pt>
              </c:numCache>
            </c:numRef>
          </c:val>
          <c:extLst>
            <c:ext xmlns:c16="http://schemas.microsoft.com/office/drawing/2014/chart" uri="{C3380CC4-5D6E-409C-BE32-E72D297353CC}">
              <c16:uniqueId val="{00000000-A912-4132-8148-C6BA13059493}"/>
            </c:ext>
          </c:extLst>
        </c:ser>
        <c:dLbls>
          <c:showLegendKey val="0"/>
          <c:showVal val="0"/>
          <c:showCatName val="0"/>
          <c:showSerName val="0"/>
          <c:showPercent val="0"/>
          <c:showBubbleSize val="0"/>
        </c:dLbls>
        <c:gapWidth val="219"/>
        <c:overlap val="-27"/>
        <c:axId val="214917632"/>
        <c:axId val="214860928"/>
      </c:barChart>
      <c:lineChart>
        <c:grouping val="standard"/>
        <c:varyColors val="0"/>
        <c:ser>
          <c:idx val="2"/>
          <c:order val="1"/>
          <c:tx>
            <c:strRef>
              <c:f>'Datos Total'!$O$44</c:f>
              <c:strCache>
                <c:ptCount val="1"/>
                <c:pt idx="0">
                  <c:v>Pareto</c:v>
                </c:pt>
              </c:strCache>
            </c:strRef>
          </c:tx>
          <c:spPr>
            <a:ln w="28575" cap="rnd">
              <a:solidFill>
                <a:schemeClr val="accent3"/>
              </a:solidFill>
              <a:round/>
            </a:ln>
            <a:effectLst/>
          </c:spPr>
          <c:marker>
            <c:symbol val="none"/>
          </c:marker>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'[3]Datos Total'!$G$35:$G$42</c:f>
              <c:strCache>
                <c:ptCount val="8"/>
                <c:pt idx="0">
                  <c:v>Piso</c:v>
                </c:pt>
                <c:pt idx="1">
                  <c:v>Agua Caliente</c:v>
                </c:pt>
                <c:pt idx="2">
                  <c:v>Maquina o Equipo</c:v>
                </c:pt>
                <c:pt idx="3">
                  <c:v>Quimicos Aseo</c:v>
                </c:pt>
                <c:pt idx="4">
                  <c:v>Insumos</c:v>
                </c:pt>
                <c:pt idx="5">
                  <c:v>Superficie de Trabajo</c:v>
                </c:pt>
                <c:pt idx="6">
                  <c:v>Estructura</c:v>
                </c:pt>
                <c:pt idx="7">
                  <c:v>Otro</c:v>
                </c:pt>
              </c:strCache>
            </c:strRef>
          </c:cat>
          <c:val>
            <c:numRef>
              <c:f>'Datos Total'!$O$45:$O$48</c:f>
              <c:numCache>
                <c:formatCode>0%</c:formatCode>
                <c:ptCount val="4"/>
                <c:pt idx="0">
                  <c:v>0.38251366120218577</c:v>
                </c:pt>
                <c:pt idx="1">
                  <c:v>0.86338797814207646</c:v>
                </c:pt>
                <c:pt idx="2">
                  <c:v>1</c:v>
                </c:pt>
                <c:pt idx="3">
                  <c:v>1</c:v>
                </c:pt>
              </c:numCache>
            </c:numRef>
          </c:val>
          <c:smooth val="0"/>
          <c:extLst>
            <c:ext xmlns:c16="http://schemas.microsoft.com/office/drawing/2014/chart" uri="{C3380CC4-5D6E-409C-BE32-E72D297353CC}">
              <c16:uniqueId val="{00000001-A912-4132-8148-C6BA13059493}"/>
            </c:ext>
          </c:extLst>
        </c:ser>
        <c:dLbls>
          <c:showLegendKey val="0"/>
          <c:showVal val="0"/>
          <c:showCatName val="0"/>
          <c:showSerName val="0"/>
          <c:showPercent val="0"/>
          <c:showBubbleSize val="0"/>
        </c:dLbls>
        <c:marker val="1"/>
        <c:smooth val="0"/>
        <c:axId val="214917632"/>
        <c:axId val="214860928"/>
      </c:lineChart>
      <c:catAx>
        <c:axId val="214917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vert="horz"/>
          <a:lstStyle/>
          <a:p>
            <a:pPr>
              <a:defRPr sz="600" b="1" i="0" u="none" strike="noStrike" baseline="0">
                <a:solidFill>
                  <a:srgbClr val="333333"/>
                </a:solidFill>
                <a:latin typeface="Calibri"/>
                <a:ea typeface="Calibri"/>
                <a:cs typeface="Calibri"/>
              </a:defRPr>
            </a:pPr>
            <a:endParaRPr lang="es-ES"/>
          </a:p>
        </c:txPr>
        <c:crossAx val="214860928"/>
        <c:crosses val="autoZero"/>
        <c:auto val="1"/>
        <c:lblAlgn val="ctr"/>
        <c:lblOffset val="100"/>
        <c:noMultiLvlLbl val="0"/>
      </c:catAx>
      <c:valAx>
        <c:axId val="214860928"/>
        <c:scaling>
          <c:orientation val="minMax"/>
        </c:scaling>
        <c:delete val="1"/>
        <c:axPos val="l"/>
        <c:numFmt formatCode="General" sourceLinked="1"/>
        <c:majorTickMark val="out"/>
        <c:minorTickMark val="none"/>
        <c:tickLblPos val="nextTo"/>
        <c:crossAx val="214917632"/>
        <c:crosses val="autoZero"/>
        <c:crossBetween val="between"/>
      </c:valAx>
      <c:spPr>
        <a:noFill/>
        <a:ln w="25400">
          <a:noFill/>
        </a:ln>
      </c:spPr>
    </c:plotArea>
    <c:legend>
      <c:legendPos val="r"/>
      <c:layout>
        <c:manualLayout>
          <c:xMode val="edge"/>
          <c:yMode val="edge"/>
          <c:x val="0.36174296394768879"/>
          <c:y val="0.90637018687270787"/>
          <c:w val="0.25947006624171981"/>
          <c:h val="6.7416123546354428E-2"/>
        </c:manualLayout>
      </c:layout>
      <c:overlay val="0"/>
      <c:spPr>
        <a:noFill/>
        <a:ln w="25400">
          <a:noFill/>
        </a:ln>
      </c:spPr>
      <c:txPr>
        <a:bodyPr/>
        <a:lstStyle/>
        <a:p>
          <a:pPr>
            <a:defRPr lang="es-CO" sz="690" b="0" i="0" u="none" strike="noStrike" baseline="0">
              <a:solidFill>
                <a:srgbClr val="333333"/>
              </a:solidFill>
              <a:latin typeface="Calibri"/>
              <a:ea typeface="Calibri"/>
              <a:cs typeface="Calibri"/>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400" b="0" i="0" u="none" strike="noStrike" baseline="0">
              <a:solidFill>
                <a:srgbClr val="333333"/>
              </a:solidFill>
              <a:latin typeface="Calibri"/>
              <a:ea typeface="Calibri"/>
              <a:cs typeface="Calibri"/>
            </a:defRPr>
          </a:pPr>
          <a:endParaRPr lang="es-ES"/>
        </a:p>
      </c:txPr>
    </c:title>
    <c:autoTitleDeleted val="0"/>
    <c:view3D>
      <c:rotX val="30"/>
      <c:rotY val="0"/>
      <c:rAngAx val="0"/>
      <c:perspective val="0"/>
    </c:view3D>
    <c:floor>
      <c:thickness val="0"/>
    </c:floor>
    <c:sideWall>
      <c:thickness val="0"/>
    </c:sideWall>
    <c:backWall>
      <c:thickness val="0"/>
    </c:backWall>
    <c:plotArea>
      <c:layout>
        <c:manualLayout>
          <c:layoutTarget val="inner"/>
          <c:xMode val="edge"/>
          <c:yMode val="edge"/>
          <c:x val="0.25000046238840284"/>
          <c:y val="0.20415259406188169"/>
          <c:w val="0.49431909608615981"/>
          <c:h val="0.56401479376418173"/>
        </c:manualLayout>
      </c:layout>
      <c:pie3DChart>
        <c:varyColors val="1"/>
        <c:ser>
          <c:idx val="0"/>
          <c:order val="0"/>
          <c:tx>
            <c:strRef>
              <c:f>'Datos Total'!$G$50</c:f>
              <c:strCache>
                <c:ptCount val="1"/>
                <c:pt idx="0">
                  <c:v>Atencion</c:v>
                </c:pt>
              </c:strCache>
            </c:strRef>
          </c:tx>
          <c:dPt>
            <c:idx val="0"/>
            <c:bubble3D val="0"/>
            <c:spPr>
              <a:solidFill>
                <a:srgbClr val="00B0F0"/>
              </a:solidFill>
              <a:ln w="25400">
                <a:solidFill>
                  <a:srgbClr val="FFFFFF"/>
                </a:solidFill>
                <a:prstDash val="solid"/>
              </a:ln>
            </c:spPr>
            <c:extLst>
              <c:ext xmlns:c16="http://schemas.microsoft.com/office/drawing/2014/chart" uri="{C3380CC4-5D6E-409C-BE32-E72D297353CC}">
                <c16:uniqueId val="{00000000-77AB-4E3F-B731-2640C419DEAA}"/>
              </c:ext>
            </c:extLst>
          </c:dPt>
          <c:dPt>
            <c:idx val="1"/>
            <c:bubble3D val="0"/>
            <c:spPr>
              <a:solidFill>
                <a:srgbClr val="FF0000"/>
              </a:solidFill>
              <a:ln w="25400">
                <a:solidFill>
                  <a:srgbClr val="FFFFFF"/>
                </a:solidFill>
                <a:prstDash val="solid"/>
              </a:ln>
            </c:spPr>
            <c:extLst>
              <c:ext xmlns:c16="http://schemas.microsoft.com/office/drawing/2014/chart" uri="{C3380CC4-5D6E-409C-BE32-E72D297353CC}">
                <c16:uniqueId val="{00000001-77AB-4E3F-B731-2640C419DEAA}"/>
              </c:ext>
            </c:extLst>
          </c:dPt>
          <c:dPt>
            <c:idx val="2"/>
            <c:bubble3D val="0"/>
            <c:spPr>
              <a:solidFill>
                <a:srgbClr val="FFFF00"/>
              </a:solidFill>
              <a:ln w="25400">
                <a:solidFill>
                  <a:srgbClr val="FFFFFF"/>
                </a:solidFill>
                <a:prstDash val="solid"/>
              </a:ln>
            </c:spPr>
            <c:extLst>
              <c:ext xmlns:c16="http://schemas.microsoft.com/office/drawing/2014/chart" uri="{C3380CC4-5D6E-409C-BE32-E72D297353CC}">
                <c16:uniqueId val="{00000002-77AB-4E3F-B731-2640C419DEAA}"/>
              </c:ext>
            </c:extLst>
          </c:dPt>
          <c:dLbls>
            <c:dLbl>
              <c:idx val="0"/>
              <c:layout>
                <c:manualLayout>
                  <c:x val="-7.8176250695935728E-2"/>
                  <c:y val="-0.23731248126856141"/>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7AB-4E3F-B731-2640C419DEAA}"/>
                </c:ext>
              </c:extLst>
            </c:dLbl>
            <c:dLbl>
              <c:idx val="1"/>
              <c:layout>
                <c:manualLayout>
                  <c:x val="7.1747991728307023E-2"/>
                  <c:y val="8.680162384546222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7AB-4E3F-B731-2640C419DEAA}"/>
                </c:ext>
              </c:extLst>
            </c:dLbl>
            <c:dLbl>
              <c:idx val="2"/>
              <c:layout>
                <c:manualLayout>
                  <c:x val="1.8751690129642885E-2"/>
                  <c:y val="-1.470579153384373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7AB-4E3F-B731-2640C419DEAA}"/>
                </c:ext>
              </c:extLst>
            </c:dLbl>
            <c:dLbl>
              <c:idx val="3"/>
              <c:layout>
                <c:manualLayout>
                  <c:x val="5.44514425873052E-2"/>
                  <c:y val="-1.957605708634532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7AB-4E3F-B731-2640C419DEAA}"/>
                </c:ext>
              </c:extLst>
            </c:dLbl>
            <c:spPr>
              <a:noFill/>
              <a:ln>
                <a:noFill/>
              </a:ln>
              <a:effectLst/>
            </c:spPr>
            <c:txPr>
              <a:bodyPr/>
              <a:lstStyle/>
              <a:p>
                <a:pPr>
                  <a:defRPr lang="es-CL" b="1">
                    <a:solidFill>
                      <a:sysClr val="windowText" lastClr="000000"/>
                    </a:solidFill>
                  </a:defRPr>
                </a:pPr>
                <a:endParaRPr lang="es-ES"/>
              </a:p>
            </c:txPr>
            <c:showLegendKey val="0"/>
            <c:showVal val="1"/>
            <c:showCatName val="0"/>
            <c:showSerName val="0"/>
            <c:showPercent val="0"/>
            <c:showBubbleSize val="0"/>
            <c:showLeaderLines val="1"/>
            <c:extLst>
              <c:ext xmlns:c15="http://schemas.microsoft.com/office/drawing/2012/chart" uri="{CE6537A1-D6FC-4f65-9D91-7224C49458BB}"/>
            </c:extLst>
          </c:dLbls>
          <c:cat>
            <c:strRef>
              <c:f>'Datos Total'!$G$51:$G$54</c:f>
              <c:strCache>
                <c:ptCount val="4"/>
                <c:pt idx="0">
                  <c:v>Acc. STP</c:v>
                </c:pt>
                <c:pt idx="1">
                  <c:v>Acc. CTP</c:v>
                </c:pt>
                <c:pt idx="2">
                  <c:v>Acc. Grave</c:v>
                </c:pt>
                <c:pt idx="3">
                  <c:v>EP</c:v>
                </c:pt>
              </c:strCache>
            </c:strRef>
          </c:cat>
          <c:val>
            <c:numRef>
              <c:f>'Datos Total'!$H$51:$H$54</c:f>
              <c:numCache>
                <c:formatCode>General</c:formatCode>
                <c:ptCount val="4"/>
                <c:pt idx="0">
                  <c:v>163</c:v>
                </c:pt>
                <c:pt idx="1">
                  <c:v>29</c:v>
                </c:pt>
                <c:pt idx="2">
                  <c:v>0</c:v>
                </c:pt>
                <c:pt idx="3">
                  <c:v>0</c:v>
                </c:pt>
              </c:numCache>
            </c:numRef>
          </c:val>
          <c:extLst>
            <c:ext xmlns:c16="http://schemas.microsoft.com/office/drawing/2014/chart" uri="{C3380CC4-5D6E-409C-BE32-E72D297353CC}">
              <c16:uniqueId val="{00000004-77AB-4E3F-B731-2640C419DEAA}"/>
            </c:ext>
          </c:extLst>
        </c:ser>
        <c:dLbls>
          <c:showLegendKey val="0"/>
          <c:showVal val="0"/>
          <c:showCatName val="0"/>
          <c:showSerName val="0"/>
          <c:showPercent val="0"/>
          <c:showBubbleSize val="0"/>
          <c:showLeaderLines val="1"/>
        </c:dLbls>
      </c:pie3DChart>
      <c:spPr>
        <a:noFill/>
        <a:ln w="25400">
          <a:noFill/>
        </a:ln>
      </c:spPr>
    </c:plotArea>
    <c:legend>
      <c:legendPos val="r"/>
      <c:layout>
        <c:manualLayout>
          <c:xMode val="edge"/>
          <c:yMode val="edge"/>
          <c:x val="0.15340923293679223"/>
          <c:y val="0.86851356383220191"/>
          <c:w val="0.698865141857267"/>
          <c:h val="0.10380622837370251"/>
        </c:manualLayout>
      </c:layout>
      <c:overlay val="0"/>
      <c:spPr>
        <a:noFill/>
        <a:ln w="25400">
          <a:noFill/>
        </a:ln>
      </c:spPr>
      <c:txPr>
        <a:bodyPr/>
        <a:lstStyle/>
        <a:p>
          <a:pPr>
            <a:defRPr lang="es-CO" sz="1400" b="0" i="0" u="none" strike="noStrike" baseline="0">
              <a:solidFill>
                <a:srgbClr val="333333"/>
              </a:solidFill>
              <a:latin typeface="Calibri"/>
              <a:ea typeface="Calibri"/>
              <a:cs typeface="Calibri"/>
            </a:defRPr>
          </a:pPr>
          <a:endParaRPr lang="es-E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8939428968818399E-3"/>
          <c:y val="4.827586206896544E-2"/>
          <c:w val="0.76894081613402743"/>
          <c:h val="0.71034482758620732"/>
        </c:manualLayout>
      </c:layout>
      <c:barChart>
        <c:barDir val="col"/>
        <c:grouping val="clustered"/>
        <c:varyColors val="0"/>
        <c:ser>
          <c:idx val="0"/>
          <c:order val="0"/>
          <c:tx>
            <c:strRef>
              <c:f>'Datos Total'!$B$50</c:f>
              <c:strCache>
                <c:ptCount val="1"/>
                <c:pt idx="0">
                  <c:v>Antigüedad</c:v>
                </c:pt>
              </c:strCache>
            </c:strRef>
          </c:tx>
          <c:spPr>
            <a:solidFill>
              <a:srgbClr val="FF0000"/>
            </a:solidFill>
            <a:ln w="25400">
              <a:noFill/>
            </a:ln>
          </c:spPr>
          <c:invertIfNegative val="0"/>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'Datos Total'!$B$51:$B$53</c:f>
              <c:strCache>
                <c:ptCount val="3"/>
                <c:pt idx="0">
                  <c:v>Nuevo &lt;18 Meses</c:v>
                </c:pt>
                <c:pt idx="1">
                  <c:v>Antiguo &gt;36 Meses</c:v>
                </c:pt>
                <c:pt idx="2">
                  <c:v>Intermedio 18&lt;X&gt;36</c:v>
                </c:pt>
              </c:strCache>
            </c:strRef>
          </c:cat>
          <c:val>
            <c:numRef>
              <c:f>'Datos Total'!$C$51:$C$53</c:f>
              <c:numCache>
                <c:formatCode>General</c:formatCode>
                <c:ptCount val="3"/>
                <c:pt idx="0">
                  <c:v>83</c:v>
                </c:pt>
                <c:pt idx="1">
                  <c:v>80</c:v>
                </c:pt>
                <c:pt idx="2">
                  <c:v>31</c:v>
                </c:pt>
              </c:numCache>
            </c:numRef>
          </c:val>
          <c:extLst>
            <c:ext xmlns:c16="http://schemas.microsoft.com/office/drawing/2014/chart" uri="{C3380CC4-5D6E-409C-BE32-E72D297353CC}">
              <c16:uniqueId val="{00000000-AFA2-4566-A61F-B80600BDFC0C}"/>
            </c:ext>
          </c:extLst>
        </c:ser>
        <c:dLbls>
          <c:showLegendKey val="0"/>
          <c:showVal val="0"/>
          <c:showCatName val="0"/>
          <c:showSerName val="0"/>
          <c:showPercent val="0"/>
          <c:showBubbleSize val="0"/>
        </c:dLbls>
        <c:gapWidth val="219"/>
        <c:overlap val="-27"/>
        <c:axId val="214919168"/>
        <c:axId val="214864384"/>
      </c:barChart>
      <c:lineChart>
        <c:grouping val="standard"/>
        <c:varyColors val="0"/>
        <c:ser>
          <c:idx val="2"/>
          <c:order val="1"/>
          <c:tx>
            <c:strRef>
              <c:f>'Datos Total'!$E$50</c:f>
              <c:strCache>
                <c:ptCount val="1"/>
                <c:pt idx="0">
                  <c:v>Pareto</c:v>
                </c:pt>
              </c:strCache>
            </c:strRef>
          </c:tx>
          <c:spPr>
            <a:ln w="28575">
              <a:solidFill>
                <a:srgbClr val="FFFF00"/>
              </a:solidFill>
              <a:prstDash val="solid"/>
            </a:ln>
            <a:effectLst/>
          </c:spPr>
          <c:marker>
            <c:symbol val="circle"/>
            <c:size val="5"/>
            <c:spPr>
              <a:ln>
                <a:solidFill>
                  <a:srgbClr val="FFFF00"/>
                </a:solidFill>
                <a:prstDash val="solid"/>
              </a:ln>
            </c:spPr>
          </c:marker>
          <c:dLbls>
            <c:spPr>
              <a:noFill/>
              <a:ln w="25400">
                <a:noFill/>
              </a:ln>
            </c:spPr>
            <c:txPr>
              <a:bodyPr/>
              <a:lstStyle/>
              <a:p>
                <a:pPr>
                  <a:defRPr sz="900" b="0" i="0" u="none" strike="noStrike" baseline="0">
                    <a:solidFill>
                      <a:srgbClr val="333333"/>
                    </a:solidFill>
                    <a:latin typeface="Calibri"/>
                    <a:ea typeface="Calibri"/>
                    <a:cs typeface="Calibri"/>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Dir val="y"/>
            <c:errBarType val="both"/>
            <c:errValType val="percentage"/>
            <c:noEndCap val="0"/>
            <c:val val="0.1"/>
          </c:errBars>
          <c:cat>
            <c:strRef>
              <c:f>'[3]Datos Total'!$G$35:$G$42</c:f>
              <c:strCache>
                <c:ptCount val="8"/>
                <c:pt idx="0">
                  <c:v>Piso</c:v>
                </c:pt>
                <c:pt idx="1">
                  <c:v>Agua Caliente</c:v>
                </c:pt>
                <c:pt idx="2">
                  <c:v>Maquina o Equipo</c:v>
                </c:pt>
                <c:pt idx="3">
                  <c:v>Quimicos Aseo</c:v>
                </c:pt>
                <c:pt idx="4">
                  <c:v>Insumos</c:v>
                </c:pt>
                <c:pt idx="5">
                  <c:v>Superficie de Trabajo</c:v>
                </c:pt>
                <c:pt idx="6">
                  <c:v>Estructura</c:v>
                </c:pt>
                <c:pt idx="7">
                  <c:v>Otro</c:v>
                </c:pt>
              </c:strCache>
            </c:strRef>
          </c:cat>
          <c:val>
            <c:numRef>
              <c:f>'Datos Total'!$E$51:$E$53</c:f>
              <c:numCache>
                <c:formatCode>0%</c:formatCode>
                <c:ptCount val="3"/>
                <c:pt idx="0">
                  <c:v>0.42783505154639173</c:v>
                </c:pt>
                <c:pt idx="1">
                  <c:v>0.84020618556701021</c:v>
                </c:pt>
                <c:pt idx="2">
                  <c:v>0.99999999999999989</c:v>
                </c:pt>
              </c:numCache>
            </c:numRef>
          </c:val>
          <c:smooth val="0"/>
          <c:extLst>
            <c:ext xmlns:c16="http://schemas.microsoft.com/office/drawing/2014/chart" uri="{C3380CC4-5D6E-409C-BE32-E72D297353CC}">
              <c16:uniqueId val="{00000001-AFA2-4566-A61F-B80600BDFC0C}"/>
            </c:ext>
          </c:extLst>
        </c:ser>
        <c:dLbls>
          <c:showLegendKey val="0"/>
          <c:showVal val="0"/>
          <c:showCatName val="0"/>
          <c:showSerName val="0"/>
          <c:showPercent val="0"/>
          <c:showBubbleSize val="0"/>
        </c:dLbls>
        <c:marker val="1"/>
        <c:smooth val="0"/>
        <c:axId val="214919168"/>
        <c:axId val="214864384"/>
      </c:lineChart>
      <c:catAx>
        <c:axId val="21491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vert="horz"/>
          <a:lstStyle/>
          <a:p>
            <a:pPr>
              <a:defRPr sz="600" b="1" i="0" u="none" strike="noStrike" baseline="0">
                <a:solidFill>
                  <a:srgbClr val="333333"/>
                </a:solidFill>
                <a:latin typeface="Calibri"/>
                <a:ea typeface="Calibri"/>
                <a:cs typeface="Calibri"/>
              </a:defRPr>
            </a:pPr>
            <a:endParaRPr lang="es-ES"/>
          </a:p>
        </c:txPr>
        <c:crossAx val="214864384"/>
        <c:crosses val="autoZero"/>
        <c:auto val="1"/>
        <c:lblAlgn val="ctr"/>
        <c:lblOffset val="100"/>
        <c:noMultiLvlLbl val="0"/>
      </c:catAx>
      <c:valAx>
        <c:axId val="214864384"/>
        <c:scaling>
          <c:orientation val="minMax"/>
        </c:scaling>
        <c:delete val="1"/>
        <c:axPos val="l"/>
        <c:numFmt formatCode="General" sourceLinked="1"/>
        <c:majorTickMark val="out"/>
        <c:minorTickMark val="none"/>
        <c:tickLblPos val="nextTo"/>
        <c:crossAx val="214919168"/>
        <c:crosses val="autoZero"/>
        <c:crossBetween val="between"/>
      </c:valAx>
      <c:spPr>
        <a:noFill/>
        <a:ln w="25400">
          <a:noFill/>
        </a:ln>
      </c:spPr>
    </c:plotArea>
    <c:legend>
      <c:legendPos val="r"/>
      <c:overlay val="0"/>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L"/>
              <a:t>Agente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ES"/>
        </a:p>
      </c:txPr>
    </c:title>
    <c:autoTitleDeleted val="0"/>
    <c:plotArea>
      <c:layout/>
      <c:barChart>
        <c:barDir val="col"/>
        <c:grouping val="clustered"/>
        <c:varyColors val="0"/>
        <c:ser>
          <c:idx val="0"/>
          <c:order val="0"/>
          <c:tx>
            <c:strRef>
              <c:f>'Datos Total'!$H$26</c:f>
              <c:strCache>
                <c:ptCount val="1"/>
                <c:pt idx="0">
                  <c:v>Total</c:v>
                </c:pt>
              </c:strCache>
            </c:strRef>
          </c:tx>
          <c:spPr>
            <a:solidFill>
              <a:srgbClr val="FF0000"/>
            </a:solidFill>
            <a:ln>
              <a:solidFill>
                <a:srgbClr val="FF0000"/>
              </a:solidFill>
            </a:ln>
            <a:effectLst>
              <a:outerShdw blurRad="40000" dist="23000" dir="5400000" rotWithShape="0">
                <a:srgbClr val="000000">
                  <a:alpha val="35000"/>
                </a:srgbClr>
              </a:outerShdw>
            </a:effectLst>
          </c:spPr>
          <c:invertIfNegative val="0"/>
          <c:cat>
            <c:strRef>
              <c:f>'Datos Total'!$G$27:$G$41</c:f>
              <c:strCache>
                <c:ptCount val="15"/>
                <c:pt idx="0">
                  <c:v>Superficies de trabajo</c:v>
                </c:pt>
                <c:pt idx="1">
                  <c:v>Infraestructura</c:v>
                </c:pt>
                <c:pt idx="2">
                  <c:v>Otros</c:v>
                </c:pt>
                <c:pt idx="3">
                  <c:v>Materia Prima</c:v>
                </c:pt>
                <c:pt idx="4">
                  <c:v>Maquinarias</c:v>
                </c:pt>
                <c:pt idx="5">
                  <c:v>Materiales</c:v>
                </c:pt>
                <c:pt idx="6">
                  <c:v>Producto quimico</c:v>
                </c:pt>
                <c:pt idx="7">
                  <c:v>Equipos Transporte de carga</c:v>
                </c:pt>
                <c:pt idx="8">
                  <c:v>Bins</c:v>
                </c:pt>
                <c:pt idx="9">
                  <c:v>Bandejas</c:v>
                </c:pt>
                <c:pt idx="10">
                  <c:v>Cuchillo</c:v>
                </c:pt>
                <c:pt idx="11">
                  <c:v>Pallet</c:v>
                </c:pt>
                <c:pt idx="12">
                  <c:v>Cajas</c:v>
                </c:pt>
                <c:pt idx="13">
                  <c:v>Animales - Insectos</c:v>
                </c:pt>
                <c:pt idx="14">
                  <c:v>Herramientas de mano</c:v>
                </c:pt>
              </c:strCache>
            </c:strRef>
          </c:cat>
          <c:val>
            <c:numRef>
              <c:f>'Datos Total'!$H$27:$H$41</c:f>
              <c:numCache>
                <c:formatCode>General</c:formatCode>
                <c:ptCount val="15"/>
                <c:pt idx="0">
                  <c:v>26</c:v>
                </c:pt>
                <c:pt idx="1">
                  <c:v>19</c:v>
                </c:pt>
                <c:pt idx="2">
                  <c:v>45</c:v>
                </c:pt>
                <c:pt idx="3">
                  <c:v>15</c:v>
                </c:pt>
                <c:pt idx="4">
                  <c:v>19</c:v>
                </c:pt>
                <c:pt idx="5">
                  <c:v>16</c:v>
                </c:pt>
                <c:pt idx="6">
                  <c:v>9</c:v>
                </c:pt>
                <c:pt idx="7">
                  <c:v>13</c:v>
                </c:pt>
                <c:pt idx="8">
                  <c:v>4</c:v>
                </c:pt>
                <c:pt idx="9">
                  <c:v>5</c:v>
                </c:pt>
                <c:pt idx="10">
                  <c:v>5</c:v>
                </c:pt>
                <c:pt idx="11">
                  <c:v>3</c:v>
                </c:pt>
                <c:pt idx="12">
                  <c:v>6</c:v>
                </c:pt>
                <c:pt idx="13">
                  <c:v>1</c:v>
                </c:pt>
                <c:pt idx="14">
                  <c:v>3</c:v>
                </c:pt>
              </c:numCache>
            </c:numRef>
          </c:val>
          <c:extLst>
            <c:ext xmlns:c16="http://schemas.microsoft.com/office/drawing/2014/chart" uri="{C3380CC4-5D6E-409C-BE32-E72D297353CC}">
              <c16:uniqueId val="{00000000-1D74-452E-A2E8-2CF95AB44F18}"/>
            </c:ext>
          </c:extLst>
        </c:ser>
        <c:dLbls>
          <c:showLegendKey val="0"/>
          <c:showVal val="0"/>
          <c:showCatName val="0"/>
          <c:showSerName val="0"/>
          <c:showPercent val="0"/>
          <c:showBubbleSize val="0"/>
        </c:dLbls>
        <c:gapWidth val="75"/>
        <c:overlap val="-25"/>
        <c:axId val="214273536"/>
        <c:axId val="215114880"/>
      </c:barChart>
      <c:lineChart>
        <c:grouping val="stacked"/>
        <c:varyColors val="0"/>
        <c:ser>
          <c:idx val="1"/>
          <c:order val="1"/>
          <c:tx>
            <c:strRef>
              <c:f>'Datos Total'!$J$26</c:f>
              <c:strCache>
                <c:ptCount val="1"/>
                <c:pt idx="0">
                  <c:v>Pareto</c:v>
                </c:pt>
              </c:strCache>
            </c:strRef>
          </c:tx>
          <c:spPr>
            <a:ln w="31750" cap="rnd">
              <a:solidFill>
                <a:srgbClr val="00B050"/>
              </a:solidFill>
              <a:round/>
            </a:ln>
            <a:effectLst>
              <a:outerShdw blurRad="40000" dist="23000" dir="5400000" rotWithShape="0">
                <a:srgbClr val="000000">
                  <a:alpha val="35000"/>
                </a:srgbClr>
              </a:outerShdw>
            </a:effectLst>
          </c:spPr>
          <c:marker>
            <c:symbol val="circle"/>
            <c:size val="6"/>
            <c:spPr>
              <a:solidFill>
                <a:srgbClr val="00B050"/>
              </a:solidFill>
              <a:ln w="12700">
                <a:solidFill>
                  <a:schemeClr val="lt2"/>
                </a:solidFill>
                <a:round/>
              </a:ln>
              <a:effectLst>
                <a:outerShdw blurRad="40000" dist="23000" dir="5400000" rotWithShape="0">
                  <a:srgbClr val="000000">
                    <a:alpha val="35000"/>
                  </a:srgbClr>
                </a:outerShdw>
              </a:effectLst>
            </c:spPr>
          </c:marker>
          <c:cat>
            <c:strRef>
              <c:f>'Datos Total'!$G$27:$G$41</c:f>
              <c:strCache>
                <c:ptCount val="15"/>
                <c:pt idx="0">
                  <c:v>Superficies de trabajo</c:v>
                </c:pt>
                <c:pt idx="1">
                  <c:v>Infraestructura</c:v>
                </c:pt>
                <c:pt idx="2">
                  <c:v>Otros</c:v>
                </c:pt>
                <c:pt idx="3">
                  <c:v>Materia Prima</c:v>
                </c:pt>
                <c:pt idx="4">
                  <c:v>Maquinarias</c:v>
                </c:pt>
                <c:pt idx="5">
                  <c:v>Materiales</c:v>
                </c:pt>
                <c:pt idx="6">
                  <c:v>Producto quimico</c:v>
                </c:pt>
                <c:pt idx="7">
                  <c:v>Equipos Transporte de carga</c:v>
                </c:pt>
                <c:pt idx="8">
                  <c:v>Bins</c:v>
                </c:pt>
                <c:pt idx="9">
                  <c:v>Bandejas</c:v>
                </c:pt>
                <c:pt idx="10">
                  <c:v>Cuchillo</c:v>
                </c:pt>
                <c:pt idx="11">
                  <c:v>Pallet</c:v>
                </c:pt>
                <c:pt idx="12">
                  <c:v>Cajas</c:v>
                </c:pt>
                <c:pt idx="13">
                  <c:v>Animales - Insectos</c:v>
                </c:pt>
                <c:pt idx="14">
                  <c:v>Herramientas de mano</c:v>
                </c:pt>
              </c:strCache>
            </c:strRef>
          </c:cat>
          <c:val>
            <c:numRef>
              <c:f>'Datos Total'!$J$27:$J$41</c:f>
              <c:numCache>
                <c:formatCode>0%</c:formatCode>
                <c:ptCount val="15"/>
                <c:pt idx="0">
                  <c:v>0.13541666666666666</c:v>
                </c:pt>
                <c:pt idx="1">
                  <c:v>0.234375</c:v>
                </c:pt>
                <c:pt idx="2">
                  <c:v>0.46875</c:v>
                </c:pt>
                <c:pt idx="3">
                  <c:v>0.546875</c:v>
                </c:pt>
                <c:pt idx="4">
                  <c:v>0.64583333333333337</c:v>
                </c:pt>
                <c:pt idx="5">
                  <c:v>0.72916666666666674</c:v>
                </c:pt>
                <c:pt idx="6">
                  <c:v>0.77604166666666674</c:v>
                </c:pt>
                <c:pt idx="7">
                  <c:v>0.84375000000000011</c:v>
                </c:pt>
                <c:pt idx="8">
                  <c:v>0.86458333333333348</c:v>
                </c:pt>
                <c:pt idx="9">
                  <c:v>0.89062500000000011</c:v>
                </c:pt>
                <c:pt idx="10">
                  <c:v>0.91666666666666674</c:v>
                </c:pt>
                <c:pt idx="11">
                  <c:v>0.93229166666666674</c:v>
                </c:pt>
                <c:pt idx="12">
                  <c:v>0.96354166666666674</c:v>
                </c:pt>
                <c:pt idx="13">
                  <c:v>0.96875000000000011</c:v>
                </c:pt>
                <c:pt idx="14">
                  <c:v>0.98437500000000011</c:v>
                </c:pt>
              </c:numCache>
            </c:numRef>
          </c:val>
          <c:smooth val="0"/>
          <c:extLst>
            <c:ext xmlns:c16="http://schemas.microsoft.com/office/drawing/2014/chart" uri="{C3380CC4-5D6E-409C-BE32-E72D297353CC}">
              <c16:uniqueId val="{00000000-A1C7-447C-BA0B-4691468D77A8}"/>
            </c:ext>
          </c:extLst>
        </c:ser>
        <c:dLbls>
          <c:showLegendKey val="0"/>
          <c:showVal val="0"/>
          <c:showCatName val="0"/>
          <c:showSerName val="0"/>
          <c:showPercent val="0"/>
          <c:showBubbleSize val="0"/>
        </c:dLbls>
        <c:marker val="1"/>
        <c:smooth val="0"/>
        <c:axId val="215220736"/>
        <c:axId val="215115456"/>
      </c:lineChart>
      <c:catAx>
        <c:axId val="214273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s-ES"/>
          </a:p>
        </c:txPr>
        <c:crossAx val="215114880"/>
        <c:crosses val="autoZero"/>
        <c:auto val="1"/>
        <c:lblAlgn val="ctr"/>
        <c:lblOffset val="100"/>
        <c:noMultiLvlLbl val="0"/>
      </c:catAx>
      <c:valAx>
        <c:axId val="21511488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ES"/>
          </a:p>
        </c:txPr>
        <c:crossAx val="214273536"/>
        <c:crosses val="autoZero"/>
        <c:crossBetween val="between"/>
      </c:valAx>
      <c:catAx>
        <c:axId val="215220736"/>
        <c:scaling>
          <c:orientation val="minMax"/>
        </c:scaling>
        <c:delete val="1"/>
        <c:axPos val="b"/>
        <c:numFmt formatCode="General" sourceLinked="1"/>
        <c:majorTickMark val="none"/>
        <c:minorTickMark val="none"/>
        <c:tickLblPos val="nextTo"/>
        <c:crossAx val="215115456"/>
        <c:crosses val="autoZero"/>
        <c:auto val="1"/>
        <c:lblAlgn val="ctr"/>
        <c:lblOffset val="100"/>
        <c:noMultiLvlLbl val="0"/>
      </c:catAx>
      <c:valAx>
        <c:axId val="215115456"/>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ES"/>
          </a:p>
        </c:txPr>
        <c:crossAx val="215220736"/>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ES"/>
        </a:p>
      </c:txPr>
    </c:legend>
    <c:plotVisOnly val="1"/>
    <c:dispBlanksAs val="zero"/>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Supervisores Trozado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2500023119420142"/>
          <c:y val="0.14552265319396643"/>
          <c:w val="0.84848641780306322"/>
          <c:h val="0.62686681375862463"/>
        </c:manualLayout>
      </c:layout>
      <c:bar3DChart>
        <c:barDir val="col"/>
        <c:grouping val="clustered"/>
        <c:varyColors val="0"/>
        <c:ser>
          <c:idx val="0"/>
          <c:order val="0"/>
          <c:tx>
            <c:strRef>
              <c:f>'Grafica Sup.'!$C$2</c:f>
              <c:strCache>
                <c:ptCount val="1"/>
                <c:pt idx="0">
                  <c:v>N° ACC.</c:v>
                </c:pt>
              </c:strCache>
            </c:strRef>
          </c:tx>
          <c:spPr>
            <a:solidFill>
              <a:srgbClr val="FF0000"/>
            </a:solidFill>
          </c:spPr>
          <c:invertIfNegative val="0"/>
          <c:cat>
            <c:strRef>
              <c:f>'Grafica Sup.'!$B$3:$B$8</c:f>
              <c:strCache>
                <c:ptCount val="6"/>
                <c:pt idx="0">
                  <c:v>ARNALDO VERA</c:v>
                </c:pt>
                <c:pt idx="1">
                  <c:v>RAMIRO RAMIREZ</c:v>
                </c:pt>
                <c:pt idx="2">
                  <c:v>FABIAN GONZALEZ</c:v>
                </c:pt>
                <c:pt idx="3">
                  <c:v>JOSE CARVALLO</c:v>
                </c:pt>
                <c:pt idx="4">
                  <c:v>RAFAEL ASTORGA</c:v>
                </c:pt>
                <c:pt idx="5">
                  <c:v>JORGE MEZA</c:v>
                </c:pt>
              </c:strCache>
            </c:strRef>
          </c:cat>
          <c:val>
            <c:numRef>
              <c:f>'Grafica Sup.'!$C$3:$C$8</c:f>
              <c:numCache>
                <c:formatCode>General</c:formatCode>
                <c:ptCount val="6"/>
                <c:pt idx="0">
                  <c:v>17</c:v>
                </c:pt>
                <c:pt idx="1">
                  <c:v>12</c:v>
                </c:pt>
                <c:pt idx="2">
                  <c:v>0</c:v>
                </c:pt>
                <c:pt idx="3">
                  <c:v>17</c:v>
                </c:pt>
                <c:pt idx="4">
                  <c:v>6</c:v>
                </c:pt>
                <c:pt idx="5">
                  <c:v>0</c:v>
                </c:pt>
              </c:numCache>
            </c:numRef>
          </c:val>
          <c:extLst>
            <c:ext xmlns:c16="http://schemas.microsoft.com/office/drawing/2014/chart" uri="{C3380CC4-5D6E-409C-BE32-E72D297353CC}">
              <c16:uniqueId val="{00000000-7897-4A26-ABB1-0B7AE4A9C491}"/>
            </c:ext>
          </c:extLst>
        </c:ser>
        <c:ser>
          <c:idx val="1"/>
          <c:order val="1"/>
          <c:tx>
            <c:strRef>
              <c:f>'Grafica Sup.'!$D$2</c:f>
              <c:strCache>
                <c:ptCount val="1"/>
                <c:pt idx="0">
                  <c:v>N° ACC CTP</c:v>
                </c:pt>
              </c:strCache>
            </c:strRef>
          </c:tx>
          <c:spPr>
            <a:solidFill>
              <a:srgbClr val="FFFF00"/>
            </a:solidFill>
          </c:spPr>
          <c:invertIfNegative val="0"/>
          <c:val>
            <c:numRef>
              <c:f>'Grafica Sup.'!$D$3:$D$8</c:f>
              <c:numCache>
                <c:formatCode>General</c:formatCode>
                <c:ptCount val="6"/>
                <c:pt idx="0">
                  <c:v>0</c:v>
                </c:pt>
                <c:pt idx="1">
                  <c:v>3</c:v>
                </c:pt>
                <c:pt idx="2">
                  <c:v>0</c:v>
                </c:pt>
                <c:pt idx="3">
                  <c:v>2</c:v>
                </c:pt>
                <c:pt idx="4">
                  <c:v>0</c:v>
                </c:pt>
                <c:pt idx="5">
                  <c:v>1</c:v>
                </c:pt>
              </c:numCache>
            </c:numRef>
          </c:val>
          <c:extLst>
            <c:ext xmlns:c16="http://schemas.microsoft.com/office/drawing/2014/chart" uri="{C3380CC4-5D6E-409C-BE32-E72D297353CC}">
              <c16:uniqueId val="{00000001-7897-4A26-ABB1-0B7AE4A9C491}"/>
            </c:ext>
          </c:extLst>
        </c:ser>
        <c:dLbls>
          <c:showLegendKey val="0"/>
          <c:showVal val="0"/>
          <c:showCatName val="0"/>
          <c:showSerName val="0"/>
          <c:showPercent val="0"/>
          <c:showBubbleSize val="0"/>
        </c:dLbls>
        <c:gapWidth val="150"/>
        <c:shape val="box"/>
        <c:axId val="213353984"/>
        <c:axId val="214866688"/>
        <c:axId val="0"/>
      </c:bar3DChart>
      <c:catAx>
        <c:axId val="213353984"/>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214866688"/>
        <c:crosses val="autoZero"/>
        <c:auto val="1"/>
        <c:lblAlgn val="ctr"/>
        <c:lblOffset val="100"/>
        <c:noMultiLvlLbl val="0"/>
      </c:catAx>
      <c:valAx>
        <c:axId val="214866688"/>
        <c:scaling>
          <c:orientation val="minMax"/>
        </c:scaling>
        <c:delete val="1"/>
        <c:axPos val="l"/>
        <c:numFmt formatCode="General" sourceLinked="1"/>
        <c:majorTickMark val="out"/>
        <c:minorTickMark val="none"/>
        <c:tickLblPos val="nextTo"/>
        <c:crossAx val="213353984"/>
        <c:crosses val="autoZero"/>
        <c:crossBetween val="between"/>
      </c:valAx>
      <c:dTable>
        <c:showHorzBorder val="1"/>
        <c:showVertBorder val="1"/>
        <c:showOutline val="1"/>
        <c:showKeys val="1"/>
        <c:txPr>
          <a:bodyPr/>
          <a:lstStyle/>
          <a:p>
            <a:pPr rtl="0">
              <a:defRPr lang="es-CL" sz="500" b="0" i="0" u="none" strike="noStrike" baseline="0">
                <a:solidFill>
                  <a:srgbClr val="000000"/>
                </a:solidFill>
                <a:latin typeface="Arial Black" pitchFamily="34" charset="0"/>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SSGG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2689417409108311"/>
          <c:y val="5.2419354838709721E-2"/>
          <c:w val="0.88447133284381863"/>
          <c:h val="0.7338709677419355"/>
        </c:manualLayout>
      </c:layout>
      <c:bar3DChart>
        <c:barDir val="col"/>
        <c:grouping val="clustered"/>
        <c:varyColors val="0"/>
        <c:ser>
          <c:idx val="0"/>
          <c:order val="0"/>
          <c:tx>
            <c:strRef>
              <c:f>'Grafica Sup.'!$C$16</c:f>
              <c:strCache>
                <c:ptCount val="1"/>
                <c:pt idx="0">
                  <c:v>N° ACC.</c:v>
                </c:pt>
              </c:strCache>
            </c:strRef>
          </c:tx>
          <c:spPr>
            <a:solidFill>
              <a:srgbClr val="FF0000"/>
            </a:solidFill>
          </c:spPr>
          <c:invertIfNegative val="0"/>
          <c:cat>
            <c:strRef>
              <c:f>'Grafica Sup.'!$B$17:$B$23</c:f>
              <c:strCache>
                <c:ptCount val="7"/>
                <c:pt idx="0">
                  <c:v>SERGIO AQUEVEQUE</c:v>
                </c:pt>
                <c:pt idx="1">
                  <c:v>FELIPE HERRERA</c:v>
                </c:pt>
                <c:pt idx="2">
                  <c:v>DAVID ROMO</c:v>
                </c:pt>
                <c:pt idx="3">
                  <c:v>ROLANDO EMIHUEQUE</c:v>
                </c:pt>
                <c:pt idx="4">
                  <c:v>PATRICIO PALACIOS</c:v>
                </c:pt>
                <c:pt idx="5">
                  <c:v>ORLANDO FARIAS</c:v>
                </c:pt>
                <c:pt idx="6">
                  <c:v>LUIS URBINA</c:v>
                </c:pt>
              </c:strCache>
            </c:strRef>
          </c:cat>
          <c:val>
            <c:numRef>
              <c:f>'Grafica Sup.'!$C$17:$C$23</c:f>
              <c:numCache>
                <c:formatCode>General</c:formatCode>
                <c:ptCount val="7"/>
                <c:pt idx="0">
                  <c:v>8</c:v>
                </c:pt>
                <c:pt idx="1">
                  <c:v>0</c:v>
                </c:pt>
                <c:pt idx="2">
                  <c:v>1</c:v>
                </c:pt>
                <c:pt idx="3">
                  <c:v>4</c:v>
                </c:pt>
                <c:pt idx="4">
                  <c:v>4</c:v>
                </c:pt>
                <c:pt idx="5">
                  <c:v>0</c:v>
                </c:pt>
                <c:pt idx="6">
                  <c:v>8</c:v>
                </c:pt>
              </c:numCache>
            </c:numRef>
          </c:val>
          <c:extLst>
            <c:ext xmlns:c16="http://schemas.microsoft.com/office/drawing/2014/chart" uri="{C3380CC4-5D6E-409C-BE32-E72D297353CC}">
              <c16:uniqueId val="{00000000-53DB-41D3-BC61-B4112FA505AB}"/>
            </c:ext>
          </c:extLst>
        </c:ser>
        <c:ser>
          <c:idx val="1"/>
          <c:order val="1"/>
          <c:tx>
            <c:strRef>
              <c:f>'Grafica Sup.'!$D$16</c:f>
              <c:strCache>
                <c:ptCount val="1"/>
                <c:pt idx="0">
                  <c:v>N° ACC CTP</c:v>
                </c:pt>
              </c:strCache>
            </c:strRef>
          </c:tx>
          <c:spPr>
            <a:solidFill>
              <a:srgbClr val="FFFF00"/>
            </a:solidFill>
          </c:spPr>
          <c:invertIfNegative val="0"/>
          <c:cat>
            <c:strRef>
              <c:f>'Grafica Sup.'!$B$17:$B$23</c:f>
              <c:strCache>
                <c:ptCount val="7"/>
                <c:pt idx="0">
                  <c:v>SERGIO AQUEVEQUE</c:v>
                </c:pt>
                <c:pt idx="1">
                  <c:v>FELIPE HERRERA</c:v>
                </c:pt>
                <c:pt idx="2">
                  <c:v>DAVID ROMO</c:v>
                </c:pt>
                <c:pt idx="3">
                  <c:v>ROLANDO EMIHUEQUE</c:v>
                </c:pt>
                <c:pt idx="4">
                  <c:v>PATRICIO PALACIOS</c:v>
                </c:pt>
                <c:pt idx="5">
                  <c:v>ORLANDO FARIAS</c:v>
                </c:pt>
                <c:pt idx="6">
                  <c:v>LUIS URBINA</c:v>
                </c:pt>
              </c:strCache>
            </c:strRef>
          </c:cat>
          <c:val>
            <c:numRef>
              <c:f>'Grafica Sup.'!$D$17:$D$23</c:f>
              <c:numCache>
                <c:formatCode>General</c:formatCode>
                <c:ptCount val="7"/>
                <c:pt idx="0">
                  <c:v>2</c:v>
                </c:pt>
                <c:pt idx="1">
                  <c:v>0</c:v>
                </c:pt>
                <c:pt idx="2">
                  <c:v>1</c:v>
                </c:pt>
                <c:pt idx="3">
                  <c:v>0</c:v>
                </c:pt>
                <c:pt idx="4">
                  <c:v>1</c:v>
                </c:pt>
                <c:pt idx="5">
                  <c:v>0</c:v>
                </c:pt>
                <c:pt idx="6">
                  <c:v>2</c:v>
                </c:pt>
              </c:numCache>
            </c:numRef>
          </c:val>
          <c:extLst>
            <c:ext xmlns:c16="http://schemas.microsoft.com/office/drawing/2014/chart" uri="{C3380CC4-5D6E-409C-BE32-E72D297353CC}">
              <c16:uniqueId val="{00000001-53DB-41D3-BC61-B4112FA505AB}"/>
            </c:ext>
          </c:extLst>
        </c:ser>
        <c:dLbls>
          <c:showLegendKey val="0"/>
          <c:showVal val="0"/>
          <c:showCatName val="0"/>
          <c:showSerName val="0"/>
          <c:showPercent val="0"/>
          <c:showBubbleSize val="0"/>
        </c:dLbls>
        <c:gapWidth val="150"/>
        <c:shape val="box"/>
        <c:axId val="213327872"/>
        <c:axId val="215516288"/>
        <c:axId val="0"/>
      </c:bar3DChart>
      <c:catAx>
        <c:axId val="213327872"/>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215516288"/>
        <c:crosses val="autoZero"/>
        <c:auto val="1"/>
        <c:lblAlgn val="ctr"/>
        <c:lblOffset val="100"/>
        <c:noMultiLvlLbl val="0"/>
      </c:catAx>
      <c:valAx>
        <c:axId val="215516288"/>
        <c:scaling>
          <c:orientation val="minMax"/>
        </c:scaling>
        <c:delete val="1"/>
        <c:axPos val="l"/>
        <c:numFmt formatCode="General" sourceLinked="1"/>
        <c:majorTickMark val="out"/>
        <c:minorTickMark val="none"/>
        <c:tickLblPos val="nextTo"/>
        <c:crossAx val="213327872"/>
        <c:crosses val="autoZero"/>
        <c:crossBetween val="between"/>
      </c:valAx>
      <c:dTable>
        <c:showHorzBorder val="1"/>
        <c:showVertBorder val="1"/>
        <c:showOutline val="1"/>
        <c:showKeys val="1"/>
        <c:txPr>
          <a:bodyPr/>
          <a:lstStyle/>
          <a:p>
            <a:pPr rtl="0">
              <a:defRPr lang="es-CL" sz="500" b="1" i="0" u="none" strike="noStrike" baseline="0">
                <a:solidFill>
                  <a:srgbClr val="000000"/>
                </a:solidFill>
                <a:latin typeface="Arial Black" pitchFamily="34" charset="0"/>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P.Posteriores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077505720464727"/>
          <c:y val="0.10222266589698749"/>
          <c:w val="0.9054828773729886"/>
          <c:h val="0.69333634260565358"/>
        </c:manualLayout>
      </c:layout>
      <c:bar3DChart>
        <c:barDir val="col"/>
        <c:grouping val="clustered"/>
        <c:varyColors val="0"/>
        <c:ser>
          <c:idx val="0"/>
          <c:order val="0"/>
          <c:tx>
            <c:strRef>
              <c:f>'Grafica Sup.'!$C$32</c:f>
              <c:strCache>
                <c:ptCount val="1"/>
                <c:pt idx="0">
                  <c:v>N° ACC.</c:v>
                </c:pt>
              </c:strCache>
            </c:strRef>
          </c:tx>
          <c:spPr>
            <a:solidFill>
              <a:srgbClr val="FF0000"/>
            </a:solidFill>
          </c:spPr>
          <c:invertIfNegative val="0"/>
          <c:cat>
            <c:strRef>
              <c:f>'Grafica Sup.'!$B$33:$B$35</c:f>
              <c:strCache>
                <c:ptCount val="3"/>
                <c:pt idx="0">
                  <c:v>RONALD ONELL</c:v>
                </c:pt>
                <c:pt idx="1">
                  <c:v>MARCO QUINTANILLA</c:v>
                </c:pt>
                <c:pt idx="2">
                  <c:v>EDGAR HERNANDEZ</c:v>
                </c:pt>
              </c:strCache>
            </c:strRef>
          </c:cat>
          <c:val>
            <c:numRef>
              <c:f>'Grafica Sup.'!$C$33:$C$35</c:f>
              <c:numCache>
                <c:formatCode>General</c:formatCode>
                <c:ptCount val="3"/>
                <c:pt idx="0">
                  <c:v>1</c:v>
                </c:pt>
                <c:pt idx="1">
                  <c:v>0</c:v>
                </c:pt>
                <c:pt idx="2">
                  <c:v>0</c:v>
                </c:pt>
              </c:numCache>
            </c:numRef>
          </c:val>
          <c:extLst>
            <c:ext xmlns:c16="http://schemas.microsoft.com/office/drawing/2014/chart" uri="{C3380CC4-5D6E-409C-BE32-E72D297353CC}">
              <c16:uniqueId val="{00000000-F743-4DB7-8C78-701AC9405DDA}"/>
            </c:ext>
          </c:extLst>
        </c:ser>
        <c:ser>
          <c:idx val="1"/>
          <c:order val="1"/>
          <c:tx>
            <c:strRef>
              <c:f>'Grafica Sup.'!$D$32</c:f>
              <c:strCache>
                <c:ptCount val="1"/>
                <c:pt idx="0">
                  <c:v>N° ACC CTP</c:v>
                </c:pt>
              </c:strCache>
            </c:strRef>
          </c:tx>
          <c:spPr>
            <a:solidFill>
              <a:srgbClr val="FFFF00"/>
            </a:solidFill>
          </c:spPr>
          <c:invertIfNegative val="0"/>
          <c:cat>
            <c:strRef>
              <c:f>'Grafica Sup.'!$B$33:$B$35</c:f>
              <c:strCache>
                <c:ptCount val="3"/>
                <c:pt idx="0">
                  <c:v>RONALD ONELL</c:v>
                </c:pt>
                <c:pt idx="1">
                  <c:v>MARCO QUINTANILLA</c:v>
                </c:pt>
                <c:pt idx="2">
                  <c:v>EDGAR HERNANDEZ</c:v>
                </c:pt>
              </c:strCache>
            </c:strRef>
          </c:cat>
          <c:val>
            <c:numRef>
              <c:f>'Grafica Sup.'!$D$33:$D$35</c:f>
              <c:numCache>
                <c:formatCode>General</c:formatCode>
                <c:ptCount val="3"/>
                <c:pt idx="0">
                  <c:v>0</c:v>
                </c:pt>
                <c:pt idx="1">
                  <c:v>0</c:v>
                </c:pt>
                <c:pt idx="2">
                  <c:v>0</c:v>
                </c:pt>
              </c:numCache>
            </c:numRef>
          </c:val>
          <c:extLst>
            <c:ext xmlns:c16="http://schemas.microsoft.com/office/drawing/2014/chart" uri="{C3380CC4-5D6E-409C-BE32-E72D297353CC}">
              <c16:uniqueId val="{00000001-F743-4DB7-8C78-701AC9405DDA}"/>
            </c:ext>
          </c:extLst>
        </c:ser>
        <c:dLbls>
          <c:showLegendKey val="0"/>
          <c:showVal val="0"/>
          <c:showCatName val="0"/>
          <c:showSerName val="0"/>
          <c:showPercent val="0"/>
          <c:showBubbleSize val="0"/>
        </c:dLbls>
        <c:gapWidth val="150"/>
        <c:shape val="box"/>
        <c:axId val="213329408"/>
        <c:axId val="215518592"/>
        <c:axId val="0"/>
      </c:bar3DChart>
      <c:catAx>
        <c:axId val="213329408"/>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215518592"/>
        <c:crosses val="autoZero"/>
        <c:auto val="1"/>
        <c:lblAlgn val="ctr"/>
        <c:lblOffset val="100"/>
        <c:noMultiLvlLbl val="0"/>
      </c:catAx>
      <c:valAx>
        <c:axId val="215518592"/>
        <c:scaling>
          <c:orientation val="minMax"/>
        </c:scaling>
        <c:delete val="1"/>
        <c:axPos val="l"/>
        <c:numFmt formatCode="General" sourceLinked="1"/>
        <c:majorTickMark val="out"/>
        <c:minorTickMark val="none"/>
        <c:tickLblPos val="nextTo"/>
        <c:crossAx val="213329408"/>
        <c:crosses val="autoZero"/>
        <c:crossBetween val="between"/>
      </c:valAx>
      <c:dTable>
        <c:showHorzBorder val="1"/>
        <c:showVertBorder val="1"/>
        <c:showOutline val="1"/>
        <c:showKeys val="1"/>
        <c:txPr>
          <a:bodyPr/>
          <a:lstStyle/>
          <a:p>
            <a:pPr rtl="0">
              <a:defRPr lang="es-CL" sz="500" b="0" i="0" u="none" strike="noStrike" baseline="0">
                <a:solidFill>
                  <a:srgbClr val="000000"/>
                </a:solidFill>
                <a:latin typeface="Arial Black" pitchFamily="34" charset="0"/>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Faena V/S Incidentes</a:t>
            </a:r>
          </a:p>
        </c:rich>
      </c:tx>
      <c:overlay val="0"/>
    </c:title>
    <c:autoTitleDeleted val="0"/>
    <c:view3D>
      <c:rotX val="15"/>
      <c:rotY val="20"/>
      <c:depthPercent val="100"/>
      <c:rAngAx val="1"/>
    </c:view3D>
    <c:floor>
      <c:thickness val="0"/>
    </c:floor>
    <c:sideWall>
      <c:thickness val="0"/>
      <c:spPr>
        <a:noFill/>
        <a:ln w="25400">
          <a:noFill/>
        </a:ln>
      </c:spPr>
    </c:sideWall>
    <c:backWall>
      <c:thickness val="0"/>
      <c:spPr>
        <a:noFill/>
        <a:ln w="25400">
          <a:noFill/>
        </a:ln>
      </c:spPr>
    </c:backWall>
    <c:plotArea>
      <c:layout>
        <c:manualLayout>
          <c:layoutTarget val="inner"/>
          <c:xMode val="edge"/>
          <c:yMode val="edge"/>
          <c:x val="0.14095264314107739"/>
          <c:y val="0.14335688810657524"/>
          <c:w val="0.86476351332498813"/>
          <c:h val="0.6118891565524559"/>
        </c:manualLayout>
      </c:layout>
      <c:bar3DChart>
        <c:barDir val="col"/>
        <c:grouping val="clustered"/>
        <c:varyColors val="0"/>
        <c:ser>
          <c:idx val="0"/>
          <c:order val="0"/>
          <c:tx>
            <c:strRef>
              <c:f>'Grafica Sup.'!$C$45</c:f>
              <c:strCache>
                <c:ptCount val="1"/>
                <c:pt idx="0">
                  <c:v>N° ACC.</c:v>
                </c:pt>
              </c:strCache>
            </c:strRef>
          </c:tx>
          <c:spPr>
            <a:solidFill>
              <a:srgbClr val="FF0000"/>
            </a:solidFill>
          </c:spPr>
          <c:invertIfNegative val="0"/>
          <c:cat>
            <c:strRef>
              <c:f>'Grafica Sup.'!$B$46:$B$49</c:f>
              <c:strCache>
                <c:ptCount val="4"/>
                <c:pt idx="0">
                  <c:v>ERWIN GATICA</c:v>
                </c:pt>
                <c:pt idx="1">
                  <c:v>CESAR CARTAGENA</c:v>
                </c:pt>
                <c:pt idx="2">
                  <c:v>ANTONIO RIVAS</c:v>
                </c:pt>
                <c:pt idx="3">
                  <c:v>CRISTIAN MEZA</c:v>
                </c:pt>
              </c:strCache>
            </c:strRef>
          </c:cat>
          <c:val>
            <c:numRef>
              <c:f>'Grafica Sup.'!$C$46:$C$49</c:f>
              <c:numCache>
                <c:formatCode>General</c:formatCode>
                <c:ptCount val="4"/>
                <c:pt idx="0">
                  <c:v>8</c:v>
                </c:pt>
                <c:pt idx="1">
                  <c:v>5</c:v>
                </c:pt>
                <c:pt idx="2">
                  <c:v>6</c:v>
                </c:pt>
                <c:pt idx="3">
                  <c:v>0</c:v>
                </c:pt>
              </c:numCache>
            </c:numRef>
          </c:val>
          <c:extLst>
            <c:ext xmlns:c16="http://schemas.microsoft.com/office/drawing/2014/chart" uri="{C3380CC4-5D6E-409C-BE32-E72D297353CC}">
              <c16:uniqueId val="{00000000-1B29-4C12-A29A-7DE7BEDCD1CF}"/>
            </c:ext>
          </c:extLst>
        </c:ser>
        <c:ser>
          <c:idx val="1"/>
          <c:order val="1"/>
          <c:tx>
            <c:strRef>
              <c:f>'Grafica Sup.'!$D$45</c:f>
              <c:strCache>
                <c:ptCount val="1"/>
                <c:pt idx="0">
                  <c:v>N° ACC CTP</c:v>
                </c:pt>
              </c:strCache>
            </c:strRef>
          </c:tx>
          <c:spPr>
            <a:solidFill>
              <a:srgbClr val="FFFF00"/>
            </a:solidFill>
          </c:spPr>
          <c:invertIfNegative val="0"/>
          <c:cat>
            <c:strRef>
              <c:f>'Grafica Sup.'!$B$46:$B$49</c:f>
              <c:strCache>
                <c:ptCount val="4"/>
                <c:pt idx="0">
                  <c:v>ERWIN GATICA</c:v>
                </c:pt>
                <c:pt idx="1">
                  <c:v>CESAR CARTAGENA</c:v>
                </c:pt>
                <c:pt idx="2">
                  <c:v>ANTONIO RIVAS</c:v>
                </c:pt>
                <c:pt idx="3">
                  <c:v>CRISTIAN MEZA</c:v>
                </c:pt>
              </c:strCache>
            </c:strRef>
          </c:cat>
          <c:val>
            <c:numRef>
              <c:f>'Grafica Sup.'!$D$46:$D$49</c:f>
              <c:numCache>
                <c:formatCode>General</c:formatCode>
                <c:ptCount val="4"/>
                <c:pt idx="0">
                  <c:v>2</c:v>
                </c:pt>
                <c:pt idx="1">
                  <c:v>0</c:v>
                </c:pt>
                <c:pt idx="2">
                  <c:v>2</c:v>
                </c:pt>
                <c:pt idx="3">
                  <c:v>0</c:v>
                </c:pt>
              </c:numCache>
            </c:numRef>
          </c:val>
          <c:extLst>
            <c:ext xmlns:c16="http://schemas.microsoft.com/office/drawing/2014/chart" uri="{C3380CC4-5D6E-409C-BE32-E72D297353CC}">
              <c16:uniqueId val="{00000001-1B29-4C12-A29A-7DE7BEDCD1CF}"/>
            </c:ext>
          </c:extLst>
        </c:ser>
        <c:dLbls>
          <c:showLegendKey val="0"/>
          <c:showVal val="0"/>
          <c:showCatName val="0"/>
          <c:showSerName val="0"/>
          <c:showPercent val="0"/>
          <c:showBubbleSize val="0"/>
        </c:dLbls>
        <c:gapWidth val="150"/>
        <c:shape val="box"/>
        <c:axId val="215941120"/>
        <c:axId val="215520896"/>
        <c:axId val="0"/>
      </c:bar3DChart>
      <c:catAx>
        <c:axId val="215941120"/>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215520896"/>
        <c:crosses val="autoZero"/>
        <c:auto val="1"/>
        <c:lblAlgn val="ctr"/>
        <c:lblOffset val="100"/>
        <c:noMultiLvlLbl val="0"/>
      </c:catAx>
      <c:valAx>
        <c:axId val="215520896"/>
        <c:scaling>
          <c:orientation val="minMax"/>
        </c:scaling>
        <c:delete val="1"/>
        <c:axPos val="l"/>
        <c:numFmt formatCode="General" sourceLinked="1"/>
        <c:majorTickMark val="out"/>
        <c:minorTickMark val="none"/>
        <c:tickLblPos val="nextTo"/>
        <c:crossAx val="215941120"/>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Trozado</a:t>
            </a:r>
            <a:r>
              <a:rPr lang="es-CL" baseline="0"/>
              <a:t> Pavo</a:t>
            </a:r>
            <a:r>
              <a:rPr lang="es-CL"/>
              <a:t>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4015177436925583"/>
          <c:y val="9.9631175823007706E-2"/>
          <c:w val="0.86553190387499979"/>
          <c:h val="0.6531377081730505"/>
        </c:manualLayout>
      </c:layout>
      <c:bar3DChart>
        <c:barDir val="col"/>
        <c:grouping val="clustered"/>
        <c:varyColors val="0"/>
        <c:ser>
          <c:idx val="0"/>
          <c:order val="0"/>
          <c:tx>
            <c:strRef>
              <c:f>'Grafica Sup.'!$C$59</c:f>
              <c:strCache>
                <c:ptCount val="1"/>
                <c:pt idx="0">
                  <c:v>N° ACC.</c:v>
                </c:pt>
              </c:strCache>
            </c:strRef>
          </c:tx>
          <c:spPr>
            <a:solidFill>
              <a:srgbClr val="FF0000"/>
            </a:solidFill>
          </c:spPr>
          <c:invertIfNegative val="0"/>
          <c:cat>
            <c:strRef>
              <c:f>'Grafica Sup.'!$B$60:$B$61</c:f>
              <c:strCache>
                <c:ptCount val="2"/>
                <c:pt idx="0">
                  <c:v>JAQUELINE PAVEZ</c:v>
                </c:pt>
                <c:pt idx="1">
                  <c:v>MARCELA MARDONES </c:v>
                </c:pt>
              </c:strCache>
            </c:strRef>
          </c:cat>
          <c:val>
            <c:numRef>
              <c:f>'Grafica Sup.'!$C$60:$C$61</c:f>
              <c:numCache>
                <c:formatCode>General</c:formatCode>
                <c:ptCount val="2"/>
                <c:pt idx="0">
                  <c:v>3</c:v>
                </c:pt>
                <c:pt idx="1">
                  <c:v>0</c:v>
                </c:pt>
              </c:numCache>
            </c:numRef>
          </c:val>
          <c:extLst>
            <c:ext xmlns:c16="http://schemas.microsoft.com/office/drawing/2014/chart" uri="{C3380CC4-5D6E-409C-BE32-E72D297353CC}">
              <c16:uniqueId val="{00000000-D0D9-4CE3-90B8-FC9B3D7D20C0}"/>
            </c:ext>
          </c:extLst>
        </c:ser>
        <c:ser>
          <c:idx val="1"/>
          <c:order val="1"/>
          <c:tx>
            <c:strRef>
              <c:f>'Grafica Sup.'!$D$59</c:f>
              <c:strCache>
                <c:ptCount val="1"/>
                <c:pt idx="0">
                  <c:v>N° ACC CTP</c:v>
                </c:pt>
              </c:strCache>
            </c:strRef>
          </c:tx>
          <c:spPr>
            <a:solidFill>
              <a:srgbClr val="FFFF00"/>
            </a:solidFill>
          </c:spPr>
          <c:invertIfNegative val="0"/>
          <c:cat>
            <c:strRef>
              <c:f>'Grafica Sup.'!$B$60:$B$61</c:f>
              <c:strCache>
                <c:ptCount val="2"/>
                <c:pt idx="0">
                  <c:v>JAQUELINE PAVEZ</c:v>
                </c:pt>
                <c:pt idx="1">
                  <c:v>MARCELA MARDONES </c:v>
                </c:pt>
              </c:strCache>
            </c:strRef>
          </c:cat>
          <c:val>
            <c:numRef>
              <c:f>'Grafica Sup.'!$D$60:$D$61</c:f>
              <c:numCache>
                <c:formatCode>General</c:formatCode>
                <c:ptCount val="2"/>
                <c:pt idx="0">
                  <c:v>0</c:v>
                </c:pt>
                <c:pt idx="1">
                  <c:v>0</c:v>
                </c:pt>
              </c:numCache>
            </c:numRef>
          </c:val>
          <c:extLst>
            <c:ext xmlns:c16="http://schemas.microsoft.com/office/drawing/2014/chart" uri="{C3380CC4-5D6E-409C-BE32-E72D297353CC}">
              <c16:uniqueId val="{00000001-D0D9-4CE3-90B8-FC9B3D7D20C0}"/>
            </c:ext>
          </c:extLst>
        </c:ser>
        <c:dLbls>
          <c:showLegendKey val="0"/>
          <c:showVal val="0"/>
          <c:showCatName val="0"/>
          <c:showSerName val="0"/>
          <c:showPercent val="0"/>
          <c:showBubbleSize val="0"/>
        </c:dLbls>
        <c:gapWidth val="150"/>
        <c:shape val="box"/>
        <c:axId val="215942656"/>
        <c:axId val="215859200"/>
        <c:axId val="0"/>
      </c:bar3DChart>
      <c:catAx>
        <c:axId val="215942656"/>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215859200"/>
        <c:crosses val="autoZero"/>
        <c:auto val="1"/>
        <c:lblAlgn val="ctr"/>
        <c:lblOffset val="100"/>
        <c:noMultiLvlLbl val="0"/>
      </c:catAx>
      <c:valAx>
        <c:axId val="215859200"/>
        <c:scaling>
          <c:orientation val="minMax"/>
        </c:scaling>
        <c:delete val="1"/>
        <c:axPos val="l"/>
        <c:numFmt formatCode="General" sourceLinked="1"/>
        <c:majorTickMark val="out"/>
        <c:minorTickMark val="none"/>
        <c:tickLblPos val="nextTo"/>
        <c:crossAx val="215942656"/>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Frigorifico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3962264150943396"/>
          <c:y val="0.14400028125054931"/>
          <c:w val="0.86603773584905652"/>
          <c:h val="0.61600120312734985"/>
        </c:manualLayout>
      </c:layout>
      <c:bar3DChart>
        <c:barDir val="col"/>
        <c:grouping val="clustered"/>
        <c:varyColors val="0"/>
        <c:ser>
          <c:idx val="1"/>
          <c:order val="0"/>
          <c:tx>
            <c:strRef>
              <c:f>'Grafica Sup.'!$C$73</c:f>
              <c:strCache>
                <c:ptCount val="1"/>
                <c:pt idx="0">
                  <c:v>N° ACC.</c:v>
                </c:pt>
              </c:strCache>
            </c:strRef>
          </c:tx>
          <c:spPr>
            <a:solidFill>
              <a:srgbClr val="FF0000"/>
            </a:solidFill>
          </c:spPr>
          <c:invertIfNegative val="0"/>
          <c:cat>
            <c:strRef>
              <c:f>'Grafica Sup.'!$B$74:$B$76</c:f>
              <c:strCache>
                <c:ptCount val="3"/>
                <c:pt idx="0">
                  <c:v>MAURICIO HERNANDEZ</c:v>
                </c:pt>
                <c:pt idx="1">
                  <c:v>MARIA EUGENIA YAÑEZ</c:v>
                </c:pt>
                <c:pt idx="2">
                  <c:v>JUAN VILLAVICENCIO</c:v>
                </c:pt>
              </c:strCache>
            </c:strRef>
          </c:cat>
          <c:val>
            <c:numRef>
              <c:f>'Grafica Sup.'!$C$74:$C$76</c:f>
              <c:numCache>
                <c:formatCode>General</c:formatCode>
                <c:ptCount val="3"/>
                <c:pt idx="0">
                  <c:v>2</c:v>
                </c:pt>
                <c:pt idx="1">
                  <c:v>0</c:v>
                </c:pt>
                <c:pt idx="2">
                  <c:v>5</c:v>
                </c:pt>
              </c:numCache>
            </c:numRef>
          </c:val>
          <c:extLst>
            <c:ext xmlns:c16="http://schemas.microsoft.com/office/drawing/2014/chart" uri="{C3380CC4-5D6E-409C-BE32-E72D297353CC}">
              <c16:uniqueId val="{00000000-1D17-4E74-85E4-5EA2B1B4F887}"/>
            </c:ext>
          </c:extLst>
        </c:ser>
        <c:ser>
          <c:idx val="2"/>
          <c:order val="1"/>
          <c:tx>
            <c:strRef>
              <c:f>'Grafica Sup.'!$D$73</c:f>
              <c:strCache>
                <c:ptCount val="1"/>
                <c:pt idx="0">
                  <c:v>N° ACC CTP</c:v>
                </c:pt>
              </c:strCache>
            </c:strRef>
          </c:tx>
          <c:spPr>
            <a:solidFill>
              <a:srgbClr val="FFFF00"/>
            </a:solidFill>
          </c:spPr>
          <c:invertIfNegative val="0"/>
          <c:cat>
            <c:strRef>
              <c:f>'Grafica Sup.'!$B$74:$B$76</c:f>
              <c:strCache>
                <c:ptCount val="3"/>
                <c:pt idx="0">
                  <c:v>MAURICIO HERNANDEZ</c:v>
                </c:pt>
                <c:pt idx="1">
                  <c:v>MARIA EUGENIA YAÑEZ</c:v>
                </c:pt>
                <c:pt idx="2">
                  <c:v>JUAN VILLAVICENCIO</c:v>
                </c:pt>
              </c:strCache>
            </c:strRef>
          </c:cat>
          <c:val>
            <c:numRef>
              <c:f>'Grafica Sup.'!$D$74:$D$76</c:f>
              <c:numCache>
                <c:formatCode>General</c:formatCode>
                <c:ptCount val="3"/>
                <c:pt idx="0">
                  <c:v>0</c:v>
                </c:pt>
                <c:pt idx="1">
                  <c:v>0</c:v>
                </c:pt>
                <c:pt idx="2">
                  <c:v>2</c:v>
                </c:pt>
              </c:numCache>
            </c:numRef>
          </c:val>
          <c:extLst>
            <c:ext xmlns:c16="http://schemas.microsoft.com/office/drawing/2014/chart" uri="{C3380CC4-5D6E-409C-BE32-E72D297353CC}">
              <c16:uniqueId val="{00000001-1D17-4E74-85E4-5EA2B1B4F887}"/>
            </c:ext>
          </c:extLst>
        </c:ser>
        <c:dLbls>
          <c:showLegendKey val="0"/>
          <c:showVal val="0"/>
          <c:showCatName val="0"/>
          <c:showSerName val="0"/>
          <c:showPercent val="0"/>
          <c:showBubbleSize val="0"/>
        </c:dLbls>
        <c:gapWidth val="150"/>
        <c:shape val="box"/>
        <c:axId val="215944704"/>
        <c:axId val="215861504"/>
        <c:axId val="0"/>
      </c:bar3DChart>
      <c:catAx>
        <c:axId val="215944704"/>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215861504"/>
        <c:crosses val="autoZero"/>
        <c:auto val="1"/>
        <c:lblAlgn val="ctr"/>
        <c:lblOffset val="100"/>
        <c:noMultiLvlLbl val="0"/>
      </c:catAx>
      <c:valAx>
        <c:axId val="215861504"/>
        <c:scaling>
          <c:orientation val="minMax"/>
        </c:scaling>
        <c:delete val="1"/>
        <c:axPos val="l"/>
        <c:numFmt formatCode="General" sourceLinked="1"/>
        <c:majorTickMark val="out"/>
        <c:minorTickMark val="none"/>
        <c:tickLblPos val="nextTo"/>
        <c:crossAx val="215944704"/>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Mantencion</a:t>
            </a:r>
            <a:r>
              <a:rPr lang="es-CL" baseline="0"/>
              <a:t> </a:t>
            </a:r>
            <a:r>
              <a:rPr lang="es-CL"/>
              <a:t>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8.782749288831751E-2"/>
          <c:y val="8.2353059445455262E-2"/>
          <c:w val="0.91987742551448315"/>
          <c:h val="0.69411864389740907"/>
        </c:manualLayout>
      </c:layout>
      <c:bar3DChart>
        <c:barDir val="col"/>
        <c:grouping val="clustered"/>
        <c:varyColors val="0"/>
        <c:ser>
          <c:idx val="1"/>
          <c:order val="0"/>
          <c:tx>
            <c:strRef>
              <c:f>'Grafica Sup.'!$C$86</c:f>
              <c:strCache>
                <c:ptCount val="1"/>
                <c:pt idx="0">
                  <c:v>N° ACC.</c:v>
                </c:pt>
              </c:strCache>
            </c:strRef>
          </c:tx>
          <c:spPr>
            <a:solidFill>
              <a:srgbClr val="FF0000"/>
            </a:solidFill>
          </c:spPr>
          <c:invertIfNegative val="0"/>
          <c:cat>
            <c:strRef>
              <c:f>'Grafica Sup.'!$B$87:$B$97</c:f>
              <c:strCache>
                <c:ptCount val="11"/>
                <c:pt idx="0">
                  <c:v>MICHEL CARVAJAL</c:v>
                </c:pt>
                <c:pt idx="1">
                  <c:v>ISMAEL SANTIS</c:v>
                </c:pt>
                <c:pt idx="2">
                  <c:v>DANIEL GONZALEZ</c:v>
                </c:pt>
                <c:pt idx="3">
                  <c:v>NICOLAS ROJAS</c:v>
                </c:pt>
                <c:pt idx="4">
                  <c:v>EMANUEL MELLADO</c:v>
                </c:pt>
                <c:pt idx="5">
                  <c:v>DAVID ROJAS</c:v>
                </c:pt>
                <c:pt idx="6">
                  <c:v>DAVID MADARIAGA</c:v>
                </c:pt>
                <c:pt idx="7">
                  <c:v>JORGE CONTRERAS</c:v>
                </c:pt>
                <c:pt idx="8">
                  <c:v>SERGIO LETELIER</c:v>
                </c:pt>
                <c:pt idx="9">
                  <c:v>FRANCISCO ACEVEDO</c:v>
                </c:pt>
                <c:pt idx="10">
                  <c:v>PEDRO HUERTA</c:v>
                </c:pt>
              </c:strCache>
            </c:strRef>
          </c:cat>
          <c:val>
            <c:numRef>
              <c:f>'Grafica Sup.'!$C$87:$C$97</c:f>
              <c:numCache>
                <c:formatCode>General</c:formatCode>
                <c:ptCount val="11"/>
                <c:pt idx="0">
                  <c:v>0</c:v>
                </c:pt>
                <c:pt idx="1">
                  <c:v>0</c:v>
                </c:pt>
                <c:pt idx="2">
                  <c:v>0</c:v>
                </c:pt>
                <c:pt idx="3">
                  <c:v>1</c:v>
                </c:pt>
                <c:pt idx="4">
                  <c:v>0</c:v>
                </c:pt>
                <c:pt idx="5">
                  <c:v>2</c:v>
                </c:pt>
                <c:pt idx="6">
                  <c:v>0</c:v>
                </c:pt>
                <c:pt idx="7">
                  <c:v>0</c:v>
                </c:pt>
                <c:pt idx="8">
                  <c:v>1</c:v>
                </c:pt>
                <c:pt idx="9">
                  <c:v>0</c:v>
                </c:pt>
                <c:pt idx="10">
                  <c:v>0</c:v>
                </c:pt>
              </c:numCache>
            </c:numRef>
          </c:val>
          <c:extLst>
            <c:ext xmlns:c16="http://schemas.microsoft.com/office/drawing/2014/chart" uri="{C3380CC4-5D6E-409C-BE32-E72D297353CC}">
              <c16:uniqueId val="{00000000-2032-4246-BBC8-0B46F8F2A0B3}"/>
            </c:ext>
          </c:extLst>
        </c:ser>
        <c:ser>
          <c:idx val="2"/>
          <c:order val="1"/>
          <c:tx>
            <c:strRef>
              <c:f>'Grafica Sup.'!$D$86</c:f>
              <c:strCache>
                <c:ptCount val="1"/>
                <c:pt idx="0">
                  <c:v>N° ACC CTP</c:v>
                </c:pt>
              </c:strCache>
            </c:strRef>
          </c:tx>
          <c:spPr>
            <a:solidFill>
              <a:srgbClr val="FFFF00"/>
            </a:solidFill>
          </c:spPr>
          <c:invertIfNegative val="0"/>
          <c:cat>
            <c:strRef>
              <c:f>'Grafica Sup.'!$B$87:$B$97</c:f>
              <c:strCache>
                <c:ptCount val="11"/>
                <c:pt idx="0">
                  <c:v>MICHEL CARVAJAL</c:v>
                </c:pt>
                <c:pt idx="1">
                  <c:v>ISMAEL SANTIS</c:v>
                </c:pt>
                <c:pt idx="2">
                  <c:v>DANIEL GONZALEZ</c:v>
                </c:pt>
                <c:pt idx="3">
                  <c:v>NICOLAS ROJAS</c:v>
                </c:pt>
                <c:pt idx="4">
                  <c:v>EMANUEL MELLADO</c:v>
                </c:pt>
                <c:pt idx="5">
                  <c:v>DAVID ROJAS</c:v>
                </c:pt>
                <c:pt idx="6">
                  <c:v>DAVID MADARIAGA</c:v>
                </c:pt>
                <c:pt idx="7">
                  <c:v>JORGE CONTRERAS</c:v>
                </c:pt>
                <c:pt idx="8">
                  <c:v>SERGIO LETELIER</c:v>
                </c:pt>
                <c:pt idx="9">
                  <c:v>FRANCISCO ACEVEDO</c:v>
                </c:pt>
                <c:pt idx="10">
                  <c:v>PEDRO HUERTA</c:v>
                </c:pt>
              </c:strCache>
            </c:strRef>
          </c:cat>
          <c:val>
            <c:numRef>
              <c:f>'Grafica Sup.'!$D$87:$D$97</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2032-4246-BBC8-0B46F8F2A0B3}"/>
            </c:ext>
          </c:extLst>
        </c:ser>
        <c:dLbls>
          <c:showLegendKey val="0"/>
          <c:showVal val="0"/>
          <c:showCatName val="0"/>
          <c:showSerName val="0"/>
          <c:showPercent val="0"/>
          <c:showBubbleSize val="0"/>
        </c:dLbls>
        <c:gapWidth val="150"/>
        <c:shape val="box"/>
        <c:axId val="216327680"/>
        <c:axId val="215863808"/>
        <c:axId val="0"/>
      </c:bar3DChart>
      <c:catAx>
        <c:axId val="216327680"/>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215863808"/>
        <c:crosses val="autoZero"/>
        <c:auto val="1"/>
        <c:lblAlgn val="ctr"/>
        <c:lblOffset val="100"/>
        <c:noMultiLvlLbl val="0"/>
      </c:catAx>
      <c:valAx>
        <c:axId val="215863808"/>
        <c:scaling>
          <c:orientation val="minMax"/>
        </c:scaling>
        <c:delete val="1"/>
        <c:axPos val="l"/>
        <c:numFmt formatCode="General" sourceLinked="1"/>
        <c:majorTickMark val="out"/>
        <c:minorTickMark val="none"/>
        <c:tickLblPos val="nextTo"/>
        <c:crossAx val="216327680"/>
        <c:crosses val="autoZero"/>
        <c:crossBetween val="between"/>
      </c:valAx>
      <c:dTable>
        <c:showHorzBorder val="1"/>
        <c:showVertBorder val="1"/>
        <c:showOutline val="1"/>
        <c:showKeys val="1"/>
        <c:txPr>
          <a:bodyPr/>
          <a:lstStyle/>
          <a:p>
            <a:pPr rtl="0">
              <a:defRPr lang="es-CL" sz="500" b="0" i="0" u="none" strike="noStrike" baseline="0">
                <a:solidFill>
                  <a:srgbClr val="000000"/>
                </a:solidFill>
                <a:latin typeface="Franklin Gothic Demi" pitchFamily="34" charset="0"/>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a:t>
            </a:r>
            <a:r>
              <a:rPr lang="es-CL" sz="1800" b="1" i="0" u="none" strike="noStrike" baseline="0">
                <a:effectLst/>
              </a:rPr>
              <a:t>IQF Calibrado </a:t>
            </a:r>
            <a:r>
              <a:rPr lang="es-CL"/>
              <a:t>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4015177436925583"/>
          <c:y val="9.9678456591640027E-2"/>
          <c:w val="0.86553190387499979"/>
          <c:h val="0.70418006430868163"/>
        </c:manualLayout>
      </c:layout>
      <c:bar3DChart>
        <c:barDir val="col"/>
        <c:grouping val="clustered"/>
        <c:varyColors val="0"/>
        <c:ser>
          <c:idx val="0"/>
          <c:order val="0"/>
          <c:tx>
            <c:strRef>
              <c:f>'Grafica Sup.'!$C$105</c:f>
              <c:strCache>
                <c:ptCount val="1"/>
                <c:pt idx="0">
                  <c:v>N° ACC.</c:v>
                </c:pt>
              </c:strCache>
            </c:strRef>
          </c:tx>
          <c:spPr>
            <a:solidFill>
              <a:srgbClr val="FF0000"/>
            </a:solidFill>
          </c:spPr>
          <c:invertIfNegative val="0"/>
          <c:cat>
            <c:multiLvlStrRef>
              <c:f>'Grafica Sup.'!$A$122:$B$126</c:f>
              <c:multiLvlStrCache>
                <c:ptCount val="5"/>
                <c:lvl>
                  <c:pt idx="0">
                    <c:v> MAXIMO CAMPOS</c:v>
                  </c:pt>
                  <c:pt idx="1">
                    <c:v>FERNANDO FUENTEALBA</c:v>
                  </c:pt>
                  <c:pt idx="2">
                    <c:v> </c:v>
                  </c:pt>
                  <c:pt idx="3">
                    <c:v>FRANCISCO SANCHEZ</c:v>
                  </c:pt>
                  <c:pt idx="4">
                    <c:v>MIGUEL HENRRIQUEZ</c:v>
                  </c:pt>
                </c:lvl>
                <c:lvl>
                  <c:pt idx="0">
                    <c:v>IQF Y CALIBRADO</c:v>
                  </c:pt>
                </c:lvl>
              </c:multiLvlStrCache>
            </c:multiLvlStrRef>
          </c:cat>
          <c:val>
            <c:numRef>
              <c:f>'Grafica Sup.'!$C$122:$C$126</c:f>
              <c:numCache>
                <c:formatCode>General</c:formatCode>
                <c:ptCount val="5"/>
                <c:pt idx="0">
                  <c:v>8</c:v>
                </c:pt>
                <c:pt idx="1">
                  <c:v>9</c:v>
                </c:pt>
                <c:pt idx="2">
                  <c:v>0</c:v>
                </c:pt>
                <c:pt idx="3">
                  <c:v>8</c:v>
                </c:pt>
                <c:pt idx="4">
                  <c:v>6</c:v>
                </c:pt>
              </c:numCache>
            </c:numRef>
          </c:val>
          <c:extLst>
            <c:ext xmlns:c16="http://schemas.microsoft.com/office/drawing/2014/chart" uri="{C3380CC4-5D6E-409C-BE32-E72D297353CC}">
              <c16:uniqueId val="{00000000-BE77-4F47-9DEE-E30A87D59E21}"/>
            </c:ext>
          </c:extLst>
        </c:ser>
        <c:ser>
          <c:idx val="1"/>
          <c:order val="1"/>
          <c:tx>
            <c:strRef>
              <c:f>'Grafica Sup.'!$D$105</c:f>
              <c:strCache>
                <c:ptCount val="1"/>
                <c:pt idx="0">
                  <c:v>N° ACC CTP</c:v>
                </c:pt>
              </c:strCache>
            </c:strRef>
          </c:tx>
          <c:spPr>
            <a:solidFill>
              <a:srgbClr val="FFFF00"/>
            </a:solidFill>
          </c:spPr>
          <c:invertIfNegative val="0"/>
          <c:cat>
            <c:multiLvlStrRef>
              <c:f>'Grafica Sup.'!$A$122:$B$126</c:f>
              <c:multiLvlStrCache>
                <c:ptCount val="5"/>
                <c:lvl>
                  <c:pt idx="0">
                    <c:v> MAXIMO CAMPOS</c:v>
                  </c:pt>
                  <c:pt idx="1">
                    <c:v>FERNANDO FUENTEALBA</c:v>
                  </c:pt>
                  <c:pt idx="2">
                    <c:v> </c:v>
                  </c:pt>
                  <c:pt idx="3">
                    <c:v>FRANCISCO SANCHEZ</c:v>
                  </c:pt>
                  <c:pt idx="4">
                    <c:v>MIGUEL HENRRIQUEZ</c:v>
                  </c:pt>
                </c:lvl>
                <c:lvl>
                  <c:pt idx="0">
                    <c:v>IQF Y CALIBRADO</c:v>
                  </c:pt>
                </c:lvl>
              </c:multiLvlStrCache>
            </c:multiLvlStrRef>
          </c:cat>
          <c:val>
            <c:numRef>
              <c:f>'Grafica Sup.'!$D$122:$D$126</c:f>
              <c:numCache>
                <c:formatCode>General</c:formatCode>
                <c:ptCount val="5"/>
                <c:pt idx="0">
                  <c:v>2</c:v>
                </c:pt>
                <c:pt idx="1">
                  <c:v>4</c:v>
                </c:pt>
                <c:pt idx="2">
                  <c:v>0</c:v>
                </c:pt>
                <c:pt idx="3">
                  <c:v>0</c:v>
                </c:pt>
                <c:pt idx="4">
                  <c:v>0</c:v>
                </c:pt>
              </c:numCache>
            </c:numRef>
          </c:val>
          <c:extLst>
            <c:ext xmlns:c16="http://schemas.microsoft.com/office/drawing/2014/chart" uri="{C3380CC4-5D6E-409C-BE32-E72D297353CC}">
              <c16:uniqueId val="{00000001-BE77-4F47-9DEE-E30A87D59E21}"/>
            </c:ext>
          </c:extLst>
        </c:ser>
        <c:dLbls>
          <c:showLegendKey val="0"/>
          <c:showVal val="0"/>
          <c:showCatName val="0"/>
          <c:showSerName val="0"/>
          <c:showPercent val="0"/>
          <c:showBubbleSize val="0"/>
        </c:dLbls>
        <c:gapWidth val="150"/>
        <c:shape val="box"/>
        <c:axId val="216329216"/>
        <c:axId val="215866112"/>
        <c:axId val="0"/>
      </c:bar3DChart>
      <c:catAx>
        <c:axId val="216329216"/>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215866112"/>
        <c:crosses val="autoZero"/>
        <c:auto val="1"/>
        <c:lblAlgn val="ctr"/>
        <c:lblOffset val="100"/>
        <c:noMultiLvlLbl val="0"/>
      </c:catAx>
      <c:valAx>
        <c:axId val="215866112"/>
        <c:scaling>
          <c:orientation val="minMax"/>
        </c:scaling>
        <c:delete val="1"/>
        <c:axPos val="l"/>
        <c:numFmt formatCode="General" sourceLinked="1"/>
        <c:majorTickMark val="out"/>
        <c:minorTickMark val="none"/>
        <c:tickLblPos val="nextTo"/>
        <c:crossAx val="216329216"/>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Calidad 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330936420631833"/>
          <c:y val="0.14375000000000004"/>
          <c:w val="0.86510867341069209"/>
          <c:h val="0.62187500000000073"/>
        </c:manualLayout>
      </c:layout>
      <c:bar3DChart>
        <c:barDir val="col"/>
        <c:grouping val="clustered"/>
        <c:varyColors val="0"/>
        <c:ser>
          <c:idx val="0"/>
          <c:order val="0"/>
          <c:tx>
            <c:strRef>
              <c:f>'Grafica Sup.'!$C$121</c:f>
              <c:strCache>
                <c:ptCount val="1"/>
                <c:pt idx="0">
                  <c:v>N° ACC.</c:v>
                </c:pt>
              </c:strCache>
            </c:strRef>
          </c:tx>
          <c:spPr>
            <a:solidFill>
              <a:srgbClr val="FF0000"/>
            </a:solidFill>
          </c:spPr>
          <c:invertIfNegative val="0"/>
          <c:cat>
            <c:multiLvlStrRef>
              <c:f>'Grafica Sup.'!$A$106:$B$107</c:f>
              <c:multiLvlStrCache>
                <c:ptCount val="2"/>
                <c:lvl>
                  <c:pt idx="0">
                    <c:v>SOLEDAD CARRASCO</c:v>
                  </c:pt>
                  <c:pt idx="1">
                    <c:v>HECNIMAR URDANETA</c:v>
                  </c:pt>
                </c:lvl>
                <c:lvl>
                  <c:pt idx="0">
                    <c:v>CALIDAD</c:v>
                  </c:pt>
                </c:lvl>
              </c:multiLvlStrCache>
            </c:multiLvlStrRef>
          </c:cat>
          <c:val>
            <c:numRef>
              <c:f>'Grafica Sup.'!$C$106:$C$107</c:f>
              <c:numCache>
                <c:formatCode>General</c:formatCode>
                <c:ptCount val="2"/>
                <c:pt idx="0">
                  <c:v>3</c:v>
                </c:pt>
                <c:pt idx="1">
                  <c:v>0</c:v>
                </c:pt>
              </c:numCache>
            </c:numRef>
          </c:val>
          <c:extLst>
            <c:ext xmlns:c16="http://schemas.microsoft.com/office/drawing/2014/chart" uri="{C3380CC4-5D6E-409C-BE32-E72D297353CC}">
              <c16:uniqueId val="{00000000-4878-4395-9BE9-E932493516E8}"/>
            </c:ext>
          </c:extLst>
        </c:ser>
        <c:ser>
          <c:idx val="1"/>
          <c:order val="1"/>
          <c:tx>
            <c:strRef>
              <c:f>'Grafica Sup.'!$D$121</c:f>
              <c:strCache>
                <c:ptCount val="1"/>
                <c:pt idx="0">
                  <c:v>N° ACC CTP</c:v>
                </c:pt>
              </c:strCache>
            </c:strRef>
          </c:tx>
          <c:spPr>
            <a:solidFill>
              <a:srgbClr val="FFFF00"/>
            </a:solidFill>
          </c:spPr>
          <c:invertIfNegative val="0"/>
          <c:cat>
            <c:multiLvlStrRef>
              <c:f>'Grafica Sup.'!$A$106:$B$107</c:f>
              <c:multiLvlStrCache>
                <c:ptCount val="2"/>
                <c:lvl>
                  <c:pt idx="0">
                    <c:v>SOLEDAD CARRASCO</c:v>
                  </c:pt>
                  <c:pt idx="1">
                    <c:v>HECNIMAR URDANETA</c:v>
                  </c:pt>
                </c:lvl>
                <c:lvl>
                  <c:pt idx="0">
                    <c:v>CALIDAD</c:v>
                  </c:pt>
                </c:lvl>
              </c:multiLvlStrCache>
            </c:multiLvlStrRef>
          </c:cat>
          <c:val>
            <c:numRef>
              <c:f>'Grafica Sup.'!$D$106:$D$107</c:f>
              <c:numCache>
                <c:formatCode>General</c:formatCode>
                <c:ptCount val="2"/>
                <c:pt idx="0">
                  <c:v>0</c:v>
                </c:pt>
                <c:pt idx="1">
                  <c:v>0</c:v>
                </c:pt>
              </c:numCache>
            </c:numRef>
          </c:val>
          <c:extLst>
            <c:ext xmlns:c16="http://schemas.microsoft.com/office/drawing/2014/chart" uri="{C3380CC4-5D6E-409C-BE32-E72D297353CC}">
              <c16:uniqueId val="{00000001-4878-4395-9BE9-E932493516E8}"/>
            </c:ext>
          </c:extLst>
        </c:ser>
        <c:dLbls>
          <c:showLegendKey val="0"/>
          <c:showVal val="0"/>
          <c:showCatName val="0"/>
          <c:showSerName val="0"/>
          <c:showPercent val="0"/>
          <c:showBubbleSize val="0"/>
        </c:dLbls>
        <c:gapWidth val="150"/>
        <c:shape val="box"/>
        <c:axId val="216329728"/>
        <c:axId val="216065152"/>
        <c:axId val="0"/>
      </c:bar3DChart>
      <c:catAx>
        <c:axId val="216329728"/>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216065152"/>
        <c:crosses val="autoZero"/>
        <c:auto val="1"/>
        <c:lblAlgn val="ctr"/>
        <c:lblOffset val="100"/>
        <c:noMultiLvlLbl val="0"/>
      </c:catAx>
      <c:valAx>
        <c:axId val="216065152"/>
        <c:scaling>
          <c:orientation val="minMax"/>
        </c:scaling>
        <c:delete val="1"/>
        <c:axPos val="l"/>
        <c:numFmt formatCode="General" sourceLinked="1"/>
        <c:majorTickMark val="out"/>
        <c:minorTickMark val="none"/>
        <c:tickLblPos val="nextTo"/>
        <c:crossAx val="216329728"/>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CL" sz="1800" b="1" i="0" u="none" strike="noStrike" baseline="0">
                <a:solidFill>
                  <a:srgbClr val="000000"/>
                </a:solidFill>
                <a:latin typeface="Calibri"/>
                <a:ea typeface="Calibri"/>
                <a:cs typeface="Calibri"/>
              </a:defRPr>
            </a:pPr>
            <a:r>
              <a:rPr lang="es-CL"/>
              <a:t>Supervisor </a:t>
            </a:r>
            <a:r>
              <a:rPr lang="es-CL" sz="1800" b="1" i="0" u="none" strike="noStrike" baseline="0">
                <a:effectLst/>
              </a:rPr>
              <a:t>Bodega </a:t>
            </a:r>
            <a:r>
              <a:rPr lang="es-CL"/>
              <a:t>V/S Incidentes</a:t>
            </a:r>
          </a:p>
        </c:rich>
      </c:tx>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14015177436925583"/>
          <c:y val="0.14423122067564564"/>
          <c:w val="0.86553190387499979"/>
          <c:h val="0.60577112683771173"/>
        </c:manualLayout>
      </c:layout>
      <c:bar3DChart>
        <c:barDir val="col"/>
        <c:grouping val="clustered"/>
        <c:varyColors val="0"/>
        <c:ser>
          <c:idx val="0"/>
          <c:order val="0"/>
          <c:spPr>
            <a:solidFill>
              <a:srgbClr val="FF0000"/>
            </a:solidFill>
          </c:spPr>
          <c:invertIfNegative val="0"/>
          <c:cat>
            <c:strRef>
              <c:f>'Grafica Sup.'!$A$138:$B$138</c:f>
              <c:strCache>
                <c:ptCount val="2"/>
                <c:pt idx="0">
                  <c:v>BODEGA</c:v>
                </c:pt>
                <c:pt idx="1">
                  <c:v>VICTORIA MILLARES</c:v>
                </c:pt>
              </c:strCache>
            </c:strRef>
          </c:cat>
          <c:val>
            <c:numRef>
              <c:f>'Grafica Sup.'!$C$138</c:f>
              <c:numCache>
                <c:formatCode>General</c:formatCode>
                <c:ptCount val="1"/>
                <c:pt idx="0">
                  <c:v>1</c:v>
                </c:pt>
              </c:numCache>
            </c:numRef>
          </c:val>
          <c:extLst>
            <c:ext xmlns:c16="http://schemas.microsoft.com/office/drawing/2014/chart" uri="{C3380CC4-5D6E-409C-BE32-E72D297353CC}">
              <c16:uniqueId val="{00000000-37B5-470F-87C4-6C6F0682D134}"/>
            </c:ext>
          </c:extLst>
        </c:ser>
        <c:ser>
          <c:idx val="1"/>
          <c:order val="1"/>
          <c:spPr>
            <a:solidFill>
              <a:srgbClr val="FFFF00"/>
            </a:solidFill>
          </c:spPr>
          <c:invertIfNegative val="0"/>
          <c:cat>
            <c:strRef>
              <c:f>'Grafica Sup.'!$A$138:$B$138</c:f>
              <c:strCache>
                <c:ptCount val="2"/>
                <c:pt idx="0">
                  <c:v>BODEGA</c:v>
                </c:pt>
                <c:pt idx="1">
                  <c:v>VICTORIA MILLARES</c:v>
                </c:pt>
              </c:strCache>
            </c:strRef>
          </c:cat>
          <c:val>
            <c:numRef>
              <c:f>'Grafica Sup.'!$D$138</c:f>
              <c:numCache>
                <c:formatCode>General</c:formatCode>
                <c:ptCount val="1"/>
                <c:pt idx="0">
                  <c:v>1</c:v>
                </c:pt>
              </c:numCache>
            </c:numRef>
          </c:val>
          <c:extLst>
            <c:ext xmlns:c16="http://schemas.microsoft.com/office/drawing/2014/chart" uri="{C3380CC4-5D6E-409C-BE32-E72D297353CC}">
              <c16:uniqueId val="{00000001-37B5-470F-87C4-6C6F0682D134}"/>
            </c:ext>
          </c:extLst>
        </c:ser>
        <c:dLbls>
          <c:showLegendKey val="0"/>
          <c:showVal val="0"/>
          <c:showCatName val="0"/>
          <c:showSerName val="0"/>
          <c:showPercent val="0"/>
          <c:showBubbleSize val="0"/>
        </c:dLbls>
        <c:gapWidth val="150"/>
        <c:shape val="box"/>
        <c:axId val="216356352"/>
        <c:axId val="216067456"/>
        <c:axId val="0"/>
      </c:bar3DChart>
      <c:catAx>
        <c:axId val="216356352"/>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ES"/>
          </a:p>
        </c:txPr>
        <c:crossAx val="216067456"/>
        <c:crosses val="autoZero"/>
        <c:auto val="1"/>
        <c:lblAlgn val="ctr"/>
        <c:lblOffset val="100"/>
        <c:noMultiLvlLbl val="0"/>
      </c:catAx>
      <c:valAx>
        <c:axId val="216067456"/>
        <c:scaling>
          <c:orientation val="minMax"/>
        </c:scaling>
        <c:delete val="1"/>
        <c:axPos val="l"/>
        <c:numFmt formatCode="General" sourceLinked="1"/>
        <c:majorTickMark val="out"/>
        <c:minorTickMark val="none"/>
        <c:tickLblPos val="nextTo"/>
        <c:crossAx val="216356352"/>
        <c:crosses val="autoZero"/>
        <c:crossBetween val="between"/>
      </c:valAx>
      <c:dTable>
        <c:showHorzBorder val="1"/>
        <c:showVertBorder val="1"/>
        <c:showOutline val="1"/>
        <c:showKeys val="1"/>
        <c:txPr>
          <a:bodyPr/>
          <a:lstStyle/>
          <a:p>
            <a:pPr rtl="0">
              <a:defRPr sz="700" b="0" i="0" u="none" strike="noStrike" baseline="0">
                <a:solidFill>
                  <a:srgbClr val="000000"/>
                </a:solidFill>
                <a:latin typeface="Calibri"/>
                <a:ea typeface="Calibri"/>
                <a:cs typeface="Calibri"/>
              </a:defRPr>
            </a:pPr>
            <a:endParaRPr lang="es-ES"/>
          </a:p>
        </c:txPr>
      </c:dTable>
      <c:spPr>
        <a:noFill/>
        <a:ln w="25400">
          <a:no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2022.xlsx]EST. TPO!TablaDinámica4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de</a:t>
            </a:r>
            <a:r>
              <a:rPr lang="en-US" baseline="0"/>
              <a:t> ingresos a SPA.</a:t>
            </a:r>
            <a:endParaRPr lang="en-US"/>
          </a:p>
        </c:rich>
      </c:tx>
      <c:layout>
        <c:manualLayout>
          <c:xMode val="edge"/>
          <c:yMode val="edge"/>
          <c:x val="0.26540823970037453"/>
          <c:y val="0.3026828525152744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'EST. TPO'!$B$3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B2B-42D5-ADF1-64D0E53FD50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B2B-42D5-ADF1-64D0E53FD50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'EST. TPO'!$A$4:$A$6</c:f>
              <c:strCache>
                <c:ptCount val="2"/>
                <c:pt idx="0">
                  <c:v>DESHUESADO</c:v>
                </c:pt>
                <c:pt idx="1">
                  <c:v>T. AUTOMATICO</c:v>
                </c:pt>
              </c:strCache>
            </c:strRef>
          </c:cat>
          <c:val>
            <c:numRef>
              <c:f>'EST. TPO'!$B$4:$B$6</c:f>
              <c:numCache>
                <c:formatCode>General</c:formatCode>
                <c:ptCount val="2"/>
                <c:pt idx="0">
                  <c:v>32</c:v>
                </c:pt>
                <c:pt idx="1">
                  <c:v>31</c:v>
                </c:pt>
              </c:numCache>
            </c:numRef>
          </c:val>
          <c:extLst>
            <c:ext xmlns:c16="http://schemas.microsoft.com/office/drawing/2014/chart" uri="{C3380CC4-5D6E-409C-BE32-E72D297353CC}">
              <c16:uniqueId val="{00000000-C8ED-40E6-B668-5A543A42BD35}"/>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2022.xlsx]EST. TPO!TablaDinámica7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Ingresos</a:t>
            </a:r>
            <a:r>
              <a:rPr lang="en-US" baseline="0"/>
              <a:t> a SPA por Supervisor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'EST. TPO'!$B$16:$B$17</c:f>
              <c:strCache>
                <c:ptCount val="1"/>
                <c:pt idx="0">
                  <c:v>TROZADO DE POLLO</c:v>
                </c:pt>
              </c:strCache>
            </c:strRef>
          </c:tx>
          <c:spPr>
            <a:solidFill>
              <a:schemeClr val="accent1"/>
            </a:solidFill>
            <a:ln>
              <a:noFill/>
            </a:ln>
            <a:effectLst/>
            <a:sp3d/>
          </c:spPr>
          <c:invertIfNegative val="0"/>
          <c:cat>
            <c:strRef>
              <c:f>'EST. TPO'!$A$18:$A$23</c:f>
              <c:strCache>
                <c:ptCount val="5"/>
                <c:pt idx="0">
                  <c:v>ARNALDO VERA</c:v>
                </c:pt>
                <c:pt idx="1">
                  <c:v>JOSE CARVALLO</c:v>
                </c:pt>
                <c:pt idx="2">
                  <c:v>RAMIRO RAMIREZ</c:v>
                </c:pt>
                <c:pt idx="3">
                  <c:v>JORGE MEZA</c:v>
                </c:pt>
                <c:pt idx="4">
                  <c:v>RAFAEL ASTORGA</c:v>
                </c:pt>
              </c:strCache>
            </c:strRef>
          </c:cat>
          <c:val>
            <c:numRef>
              <c:f>'EST. TPO'!$B$18:$B$23</c:f>
              <c:numCache>
                <c:formatCode>General</c:formatCode>
                <c:ptCount val="5"/>
                <c:pt idx="0">
                  <c:v>17</c:v>
                </c:pt>
                <c:pt idx="1">
                  <c:v>17</c:v>
                </c:pt>
                <c:pt idx="2">
                  <c:v>12</c:v>
                </c:pt>
                <c:pt idx="3">
                  <c:v>11</c:v>
                </c:pt>
                <c:pt idx="4">
                  <c:v>6</c:v>
                </c:pt>
              </c:numCache>
            </c:numRef>
          </c:val>
          <c:extLst>
            <c:ext xmlns:c16="http://schemas.microsoft.com/office/drawing/2014/chart" uri="{C3380CC4-5D6E-409C-BE32-E72D297353CC}">
              <c16:uniqueId val="{00000000-1BF2-40B6-866D-DD1D91A0596A}"/>
            </c:ext>
          </c:extLst>
        </c:ser>
        <c:dLbls>
          <c:showLegendKey val="0"/>
          <c:showVal val="0"/>
          <c:showCatName val="0"/>
          <c:showSerName val="0"/>
          <c:showPercent val="0"/>
          <c:showBubbleSize val="0"/>
        </c:dLbls>
        <c:gapWidth val="150"/>
        <c:shape val="box"/>
        <c:axId val="1742647551"/>
        <c:axId val="1742645887"/>
        <c:axId val="0"/>
      </c:bar3DChart>
      <c:catAx>
        <c:axId val="17426475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42645887"/>
        <c:crosses val="autoZero"/>
        <c:auto val="1"/>
        <c:lblAlgn val="ctr"/>
        <c:lblOffset val="100"/>
        <c:noMultiLvlLbl val="0"/>
      </c:catAx>
      <c:valAx>
        <c:axId val="1742645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426475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2022.xlsx]EST. TPO!TablaDinámica5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a:t>
            </a:r>
            <a:r>
              <a:rPr lang="en-US" baseline="0"/>
              <a:t> LGF por sección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'EST. TPO'!$B$8:$B$9</c:f>
              <c:strCache>
                <c:ptCount val="1"/>
                <c:pt idx="0">
                  <c:v>TROZADO DE POLLO</c:v>
                </c:pt>
              </c:strCache>
            </c:strRef>
          </c:tx>
          <c:spPr>
            <a:solidFill>
              <a:schemeClr val="accent1"/>
            </a:solidFill>
            <a:ln>
              <a:noFill/>
            </a:ln>
            <a:effectLst/>
            <a:sp3d/>
          </c:spPr>
          <c:invertIfNegative val="0"/>
          <c:cat>
            <c:strRef>
              <c:f>'EST. TPO'!$A$10:$A$12</c:f>
              <c:strCache>
                <c:ptCount val="2"/>
                <c:pt idx="0">
                  <c:v>DESHUESADO</c:v>
                </c:pt>
                <c:pt idx="1">
                  <c:v>T. AUTOMATICO </c:v>
                </c:pt>
              </c:strCache>
            </c:strRef>
          </c:cat>
          <c:val>
            <c:numRef>
              <c:f>'EST. TPO'!$B$10:$B$12</c:f>
              <c:numCache>
                <c:formatCode>General</c:formatCode>
                <c:ptCount val="2"/>
                <c:pt idx="0">
                  <c:v>2</c:v>
                </c:pt>
                <c:pt idx="1">
                  <c:v>6</c:v>
                </c:pt>
              </c:numCache>
            </c:numRef>
          </c:val>
          <c:extLst>
            <c:ext xmlns:c16="http://schemas.microsoft.com/office/drawing/2014/chart" uri="{C3380CC4-5D6E-409C-BE32-E72D297353CC}">
              <c16:uniqueId val="{00000000-D16F-4CAE-9237-8773790B5CC7}"/>
            </c:ext>
          </c:extLst>
        </c:ser>
        <c:dLbls>
          <c:showLegendKey val="0"/>
          <c:showVal val="0"/>
          <c:showCatName val="0"/>
          <c:showSerName val="0"/>
          <c:showPercent val="0"/>
          <c:showBubbleSize val="0"/>
        </c:dLbls>
        <c:gapWidth val="150"/>
        <c:shape val="box"/>
        <c:axId val="820201087"/>
        <c:axId val="820191519"/>
        <c:axId val="0"/>
      </c:bar3DChart>
      <c:catAx>
        <c:axId val="8202010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20191519"/>
        <c:crosses val="autoZero"/>
        <c:auto val="1"/>
        <c:lblAlgn val="ctr"/>
        <c:lblOffset val="100"/>
        <c:noMultiLvlLbl val="0"/>
      </c:catAx>
      <c:valAx>
        <c:axId val="820191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202010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2022.xlsx]EST. TPO!TablaDinámica8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Agente</a:t>
            </a:r>
            <a:r>
              <a:rPr lang="en-US" baseline="0"/>
              <a:t> de ACC.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'EST. TPO'!$B$25:$B$26</c:f>
              <c:strCache>
                <c:ptCount val="1"/>
                <c:pt idx="0">
                  <c:v>TROZADO DE POLLO</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'EST. TPO'!$A$27:$A$41</c:f>
              <c:strCache>
                <c:ptCount val="14"/>
                <c:pt idx="0">
                  <c:v>Otros</c:v>
                </c:pt>
                <c:pt idx="1">
                  <c:v>Superficies de trabajo</c:v>
                </c:pt>
                <c:pt idx="2">
                  <c:v>Equipos Transporte de carga</c:v>
                </c:pt>
                <c:pt idx="3">
                  <c:v>Infraestructura</c:v>
                </c:pt>
                <c:pt idx="4">
                  <c:v>Bins</c:v>
                </c:pt>
                <c:pt idx="5">
                  <c:v>Materia Prima</c:v>
                </c:pt>
                <c:pt idx="6">
                  <c:v>Cajas</c:v>
                </c:pt>
                <c:pt idx="7">
                  <c:v>Bandejas</c:v>
                </c:pt>
                <c:pt idx="8">
                  <c:v>Cuchillo</c:v>
                </c:pt>
                <c:pt idx="9">
                  <c:v>Herramientas de mano</c:v>
                </c:pt>
                <c:pt idx="10">
                  <c:v>Materiales</c:v>
                </c:pt>
                <c:pt idx="11">
                  <c:v>Maquinarias</c:v>
                </c:pt>
                <c:pt idx="12">
                  <c:v>Pallet</c:v>
                </c:pt>
                <c:pt idx="13">
                  <c:v>Producto quimico</c:v>
                </c:pt>
              </c:strCache>
            </c:strRef>
          </c:cat>
          <c:val>
            <c:numRef>
              <c:f>'EST. TPO'!$B$27:$B$41</c:f>
              <c:numCache>
                <c:formatCode>General</c:formatCode>
                <c:ptCount val="14"/>
                <c:pt idx="0">
                  <c:v>14</c:v>
                </c:pt>
                <c:pt idx="1">
                  <c:v>9</c:v>
                </c:pt>
                <c:pt idx="2">
                  <c:v>7</c:v>
                </c:pt>
                <c:pt idx="3">
                  <c:v>6</c:v>
                </c:pt>
                <c:pt idx="4">
                  <c:v>4</c:v>
                </c:pt>
                <c:pt idx="5">
                  <c:v>4</c:v>
                </c:pt>
                <c:pt idx="6">
                  <c:v>3</c:v>
                </c:pt>
                <c:pt idx="7">
                  <c:v>3</c:v>
                </c:pt>
                <c:pt idx="8">
                  <c:v>3</c:v>
                </c:pt>
                <c:pt idx="9">
                  <c:v>3</c:v>
                </c:pt>
                <c:pt idx="10">
                  <c:v>3</c:v>
                </c:pt>
                <c:pt idx="11">
                  <c:v>2</c:v>
                </c:pt>
                <c:pt idx="12">
                  <c:v>1</c:v>
                </c:pt>
                <c:pt idx="13">
                  <c:v>1</c:v>
                </c:pt>
              </c:numCache>
            </c:numRef>
          </c:val>
          <c:extLst>
            <c:ext xmlns:c16="http://schemas.microsoft.com/office/drawing/2014/chart" uri="{C3380CC4-5D6E-409C-BE32-E72D297353CC}">
              <c16:uniqueId val="{00000000-6E2A-4637-B559-4E75177A0F20}"/>
            </c:ext>
          </c:extLst>
        </c:ser>
        <c:dLbls>
          <c:showLegendKey val="0"/>
          <c:showVal val="1"/>
          <c:showCatName val="0"/>
          <c:showSerName val="0"/>
          <c:showPercent val="0"/>
          <c:showBubbleSize val="0"/>
        </c:dLbls>
        <c:gapWidth val="150"/>
        <c:shape val="box"/>
        <c:axId val="820193599"/>
        <c:axId val="820203583"/>
        <c:axId val="0"/>
      </c:bar3DChart>
      <c:catAx>
        <c:axId val="8201935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20203583"/>
        <c:crosses val="autoZero"/>
        <c:auto val="1"/>
        <c:lblAlgn val="ctr"/>
        <c:lblOffset val="100"/>
        <c:noMultiLvlLbl val="0"/>
      </c:catAx>
      <c:valAx>
        <c:axId val="820203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2019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2022.xlsx]EST. TPO!TablaDinámica10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Parte</a:t>
            </a:r>
            <a:r>
              <a:rPr lang="es-CL" baseline="0"/>
              <a:t> Afectada</a:t>
            </a:r>
            <a:endParaRPr lang="es-C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'EST. TPO'!$B$43:$B$44</c:f>
              <c:strCache>
                <c:ptCount val="1"/>
                <c:pt idx="0">
                  <c:v>TROZADO DE POLLO</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'EST. TPO'!$A$45:$A$57</c:f>
              <c:strCache>
                <c:ptCount val="12"/>
                <c:pt idx="0">
                  <c:v>Manos / dedos</c:v>
                </c:pt>
                <c:pt idx="1">
                  <c:v>Brazo</c:v>
                </c:pt>
                <c:pt idx="2">
                  <c:v>Pierna</c:v>
                </c:pt>
                <c:pt idx="3">
                  <c:v>Ojos</c:v>
                </c:pt>
                <c:pt idx="4">
                  <c:v>Rostro</c:v>
                </c:pt>
                <c:pt idx="5">
                  <c:v>Cabeza</c:v>
                </c:pt>
                <c:pt idx="6">
                  <c:v>Pie</c:v>
                </c:pt>
                <c:pt idx="7">
                  <c:v>Espalda</c:v>
                </c:pt>
                <c:pt idx="8">
                  <c:v>Tronco</c:v>
                </c:pt>
                <c:pt idx="9">
                  <c:v>Otro</c:v>
                </c:pt>
                <c:pt idx="10">
                  <c:v>Multiples</c:v>
                </c:pt>
                <c:pt idx="11">
                  <c:v>Pelvis</c:v>
                </c:pt>
              </c:strCache>
            </c:strRef>
          </c:cat>
          <c:val>
            <c:numRef>
              <c:f>'EST. TPO'!$B$45:$B$57</c:f>
              <c:numCache>
                <c:formatCode>General</c:formatCode>
                <c:ptCount val="12"/>
                <c:pt idx="0">
                  <c:v>20</c:v>
                </c:pt>
                <c:pt idx="1">
                  <c:v>9</c:v>
                </c:pt>
                <c:pt idx="2">
                  <c:v>8</c:v>
                </c:pt>
                <c:pt idx="3">
                  <c:v>7</c:v>
                </c:pt>
                <c:pt idx="4">
                  <c:v>5</c:v>
                </c:pt>
                <c:pt idx="5">
                  <c:v>4</c:v>
                </c:pt>
                <c:pt idx="6">
                  <c:v>3</c:v>
                </c:pt>
                <c:pt idx="7">
                  <c:v>2</c:v>
                </c:pt>
                <c:pt idx="8">
                  <c:v>2</c:v>
                </c:pt>
                <c:pt idx="9">
                  <c:v>1</c:v>
                </c:pt>
                <c:pt idx="10">
                  <c:v>1</c:v>
                </c:pt>
                <c:pt idx="11">
                  <c:v>1</c:v>
                </c:pt>
              </c:numCache>
            </c:numRef>
          </c:val>
          <c:extLst>
            <c:ext xmlns:c16="http://schemas.microsoft.com/office/drawing/2014/chart" uri="{C3380CC4-5D6E-409C-BE32-E72D297353CC}">
              <c16:uniqueId val="{00000000-3AC9-48EF-BBE5-98D5254F0CA8}"/>
            </c:ext>
          </c:extLst>
        </c:ser>
        <c:dLbls>
          <c:showLegendKey val="0"/>
          <c:showVal val="1"/>
          <c:showCatName val="0"/>
          <c:showSerName val="0"/>
          <c:showPercent val="0"/>
          <c:showBubbleSize val="0"/>
        </c:dLbls>
        <c:gapWidth val="150"/>
        <c:shape val="box"/>
        <c:axId val="819149727"/>
        <c:axId val="819151807"/>
        <c:axId val="0"/>
      </c:bar3DChart>
      <c:catAx>
        <c:axId val="819149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19151807"/>
        <c:crosses val="autoZero"/>
        <c:auto val="1"/>
        <c:lblAlgn val="ctr"/>
        <c:lblOffset val="100"/>
        <c:noMultiLvlLbl val="0"/>
      </c:catAx>
      <c:valAx>
        <c:axId val="81915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1914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2022.xlsx]EST. TPO!TablaDinámica11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Naturaleza</a:t>
            </a:r>
            <a:r>
              <a:rPr lang="es-CL" baseline="0"/>
              <a:t> de la Lesión</a:t>
            </a:r>
            <a:endParaRPr lang="es-C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'EST. TPO'!$B$59:$B$60</c:f>
              <c:strCache>
                <c:ptCount val="1"/>
                <c:pt idx="0">
                  <c:v>TROZADO DE POLLO</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'EST. TPO'!$A$61:$A$66</c:f>
              <c:strCache>
                <c:ptCount val="5"/>
                <c:pt idx="0">
                  <c:v>Contusión</c:v>
                </c:pt>
                <c:pt idx="1">
                  <c:v>Otros</c:v>
                </c:pt>
                <c:pt idx="2">
                  <c:v>Herida cortante</c:v>
                </c:pt>
                <c:pt idx="3">
                  <c:v>Torsión</c:v>
                </c:pt>
                <c:pt idx="4">
                  <c:v>Conjuntivitis</c:v>
                </c:pt>
              </c:strCache>
            </c:strRef>
          </c:cat>
          <c:val>
            <c:numRef>
              <c:f>'EST. TPO'!$B$61:$B$66</c:f>
              <c:numCache>
                <c:formatCode>General</c:formatCode>
                <c:ptCount val="5"/>
                <c:pt idx="0">
                  <c:v>38</c:v>
                </c:pt>
                <c:pt idx="1">
                  <c:v>12</c:v>
                </c:pt>
                <c:pt idx="2">
                  <c:v>9</c:v>
                </c:pt>
                <c:pt idx="3">
                  <c:v>3</c:v>
                </c:pt>
                <c:pt idx="4">
                  <c:v>1</c:v>
                </c:pt>
              </c:numCache>
            </c:numRef>
          </c:val>
          <c:extLst>
            <c:ext xmlns:c16="http://schemas.microsoft.com/office/drawing/2014/chart" uri="{C3380CC4-5D6E-409C-BE32-E72D297353CC}">
              <c16:uniqueId val="{00000000-5BE9-47B9-8107-F2426FD9AEB9}"/>
            </c:ext>
          </c:extLst>
        </c:ser>
        <c:dLbls>
          <c:showLegendKey val="0"/>
          <c:showVal val="1"/>
          <c:showCatName val="0"/>
          <c:showSerName val="0"/>
          <c:showPercent val="0"/>
          <c:showBubbleSize val="0"/>
        </c:dLbls>
        <c:gapWidth val="150"/>
        <c:shape val="box"/>
        <c:axId val="819128511"/>
        <c:axId val="819129759"/>
        <c:axId val="0"/>
      </c:bar3DChart>
      <c:catAx>
        <c:axId val="8191285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19129759"/>
        <c:crosses val="autoZero"/>
        <c:auto val="1"/>
        <c:lblAlgn val="ctr"/>
        <c:lblOffset val="100"/>
        <c:noMultiLvlLbl val="0"/>
      </c:catAx>
      <c:valAx>
        <c:axId val="819129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19128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[Consolidado accidentes 2022.xlsx]EST. TPO!TablaDinámica12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Tipo</a:t>
            </a:r>
            <a:r>
              <a:rPr lang="en-US" baseline="0"/>
              <a:t> de ACC.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'EST. TPO'!$B$68:$B$69</c:f>
              <c:strCache>
                <c:ptCount val="1"/>
                <c:pt idx="0">
                  <c:v>TROZADO DE POLLO</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'EST. TPO'!$A$70:$A$80</c:f>
              <c:strCache>
                <c:ptCount val="10"/>
                <c:pt idx="0">
                  <c:v>Golpeado por</c:v>
                </c:pt>
                <c:pt idx="1">
                  <c:v>Caida de mismo nivel</c:v>
                </c:pt>
                <c:pt idx="2">
                  <c:v>Golpeado contra</c:v>
                </c:pt>
                <c:pt idx="3">
                  <c:v>Sobreesfuerzo</c:v>
                </c:pt>
                <c:pt idx="4">
                  <c:v>Contacto con cuerpo cortante</c:v>
                </c:pt>
                <c:pt idx="5">
                  <c:v>Otros</c:v>
                </c:pt>
                <c:pt idx="6">
                  <c:v>Proyeccion de particulas</c:v>
                </c:pt>
                <c:pt idx="7">
                  <c:v>Caida de distinto nivel</c:v>
                </c:pt>
                <c:pt idx="8">
                  <c:v>Atrapamiento</c:v>
                </c:pt>
                <c:pt idx="9">
                  <c:v>Contacto con sustancias toxicas</c:v>
                </c:pt>
              </c:strCache>
            </c:strRef>
          </c:cat>
          <c:val>
            <c:numRef>
              <c:f>'EST. TPO'!$B$70:$B$80</c:f>
              <c:numCache>
                <c:formatCode>General</c:formatCode>
                <c:ptCount val="10"/>
                <c:pt idx="0">
                  <c:v>18</c:v>
                </c:pt>
                <c:pt idx="1">
                  <c:v>12</c:v>
                </c:pt>
                <c:pt idx="2">
                  <c:v>8</c:v>
                </c:pt>
                <c:pt idx="3">
                  <c:v>7</c:v>
                </c:pt>
                <c:pt idx="4">
                  <c:v>7</c:v>
                </c:pt>
                <c:pt idx="5">
                  <c:v>5</c:v>
                </c:pt>
                <c:pt idx="6">
                  <c:v>3</c:v>
                </c:pt>
                <c:pt idx="7">
                  <c:v>1</c:v>
                </c:pt>
                <c:pt idx="8">
                  <c:v>1</c:v>
                </c:pt>
                <c:pt idx="9">
                  <c:v>1</c:v>
                </c:pt>
              </c:numCache>
            </c:numRef>
          </c:val>
          <c:extLst>
            <c:ext xmlns:c16="http://schemas.microsoft.com/office/drawing/2014/chart" uri="{C3380CC4-5D6E-409C-BE32-E72D297353CC}">
              <c16:uniqueId val="{00000000-CC8F-4A76-86F6-E4C7F29CFEE9}"/>
            </c:ext>
          </c:extLst>
        </c:ser>
        <c:dLbls>
          <c:showLegendKey val="0"/>
          <c:showVal val="1"/>
          <c:showCatName val="0"/>
          <c:showSerName val="0"/>
          <c:showPercent val="0"/>
          <c:showBubbleSize val="0"/>
        </c:dLbls>
        <c:gapWidth val="150"/>
        <c:shape val="box"/>
        <c:axId val="970286543"/>
        <c:axId val="970284879"/>
        <c:axId val="0"/>
      </c:bar3DChart>
      <c:catAx>
        <c:axId val="9702865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70284879"/>
        <c:crosses val="autoZero"/>
        <c:auto val="1"/>
        <c:lblAlgn val="ctr"/>
        <c:lblOffset val="100"/>
        <c:noMultiLvlLbl val="0"/>
      </c:catAx>
      <c:valAx>
        <c:axId val="970284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70286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10" Type="http://schemas.openxmlformats.org/officeDocument/2006/relationships/chart" Target="../charts/chart23.xml"/><Relationship Id="rId4" Type="http://schemas.openxmlformats.org/officeDocument/2006/relationships/chart" Target="../charts/chart17.xml"/><Relationship Id="rId9" Type="http://schemas.openxmlformats.org/officeDocument/2006/relationships/chart" Target="../charts/chart2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6.xml"/><Relationship Id="rId7" Type="http://schemas.openxmlformats.org/officeDocument/2006/relationships/chart" Target="../charts/chart30.xml"/><Relationship Id="rId2" Type="http://schemas.openxmlformats.org/officeDocument/2006/relationships/chart" Target="../charts/chart25.xml"/><Relationship Id="rId1" Type="http://schemas.openxmlformats.org/officeDocument/2006/relationships/chart" Target="../charts/chart24.xml"/><Relationship Id="rId6" Type="http://schemas.openxmlformats.org/officeDocument/2006/relationships/chart" Target="../charts/chart29.xml"/><Relationship Id="rId5" Type="http://schemas.openxmlformats.org/officeDocument/2006/relationships/chart" Target="../charts/chart28.xml"/><Relationship Id="rId4"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66675</xdr:rowOff>
    </xdr:from>
    <xdr:to>
      <xdr:col>2</xdr:col>
      <xdr:colOff>104775</xdr:colOff>
      <xdr:row>3</xdr:row>
      <xdr:rowOff>38100</xdr:rowOff>
    </xdr:to>
    <xdr:pic>
      <xdr:nvPicPr>
        <xdr:cNvPr id="1426" name="Imagen 1" descr="logo Ariztia jpg">
          <a:extLst>
            <a:ext uri="{FF2B5EF4-FFF2-40B4-BE49-F238E27FC236}">
              <a16:creationId xmlns:a16="http://schemas.microsoft.com/office/drawing/2014/main" id="{00000000-0008-0000-0000-000092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675"/>
          <a:ext cx="143827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17</xdr:row>
      <xdr:rowOff>57150</xdr:rowOff>
    </xdr:from>
    <xdr:to>
      <xdr:col>6</xdr:col>
      <xdr:colOff>9525</xdr:colOff>
      <xdr:row>34</xdr:row>
      <xdr:rowOff>47625</xdr:rowOff>
    </xdr:to>
    <xdr:graphicFrame macro="">
      <xdr:nvGraphicFramePr>
        <xdr:cNvPr id="5794910" name="Gráfico 12">
          <a:extLst>
            <a:ext uri="{FF2B5EF4-FFF2-40B4-BE49-F238E27FC236}">
              <a16:creationId xmlns:a16="http://schemas.microsoft.com/office/drawing/2014/main" id="{00000000-0008-0000-0300-00005E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34</xdr:row>
      <xdr:rowOff>85725</xdr:rowOff>
    </xdr:from>
    <xdr:to>
      <xdr:col>6</xdr:col>
      <xdr:colOff>9525</xdr:colOff>
      <xdr:row>50</xdr:row>
      <xdr:rowOff>19050</xdr:rowOff>
    </xdr:to>
    <xdr:graphicFrame macro="">
      <xdr:nvGraphicFramePr>
        <xdr:cNvPr id="5794912" name="Gráfico 24">
          <a:extLst>
            <a:ext uri="{FF2B5EF4-FFF2-40B4-BE49-F238E27FC236}">
              <a16:creationId xmlns:a16="http://schemas.microsoft.com/office/drawing/2014/main" id="{00000000-0008-0000-0300-000060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38100</xdr:colOff>
      <xdr:row>50</xdr:row>
      <xdr:rowOff>95250</xdr:rowOff>
    </xdr:from>
    <xdr:to>
      <xdr:col>12</xdr:col>
      <xdr:colOff>38100</xdr:colOff>
      <xdr:row>67</xdr:row>
      <xdr:rowOff>66675</xdr:rowOff>
    </xdr:to>
    <xdr:graphicFrame macro="">
      <xdr:nvGraphicFramePr>
        <xdr:cNvPr id="5794913" name="Gráfico 26">
          <a:extLst>
            <a:ext uri="{FF2B5EF4-FFF2-40B4-BE49-F238E27FC236}">
              <a16:creationId xmlns:a16="http://schemas.microsoft.com/office/drawing/2014/main" id="{00000000-0008-0000-0300-000061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50</xdr:row>
      <xdr:rowOff>85725</xdr:rowOff>
    </xdr:from>
    <xdr:to>
      <xdr:col>6</xdr:col>
      <xdr:colOff>0</xdr:colOff>
      <xdr:row>67</xdr:row>
      <xdr:rowOff>85725</xdr:rowOff>
    </xdr:to>
    <xdr:graphicFrame macro="">
      <xdr:nvGraphicFramePr>
        <xdr:cNvPr id="5794914" name="Gráfico 28">
          <a:extLst>
            <a:ext uri="{FF2B5EF4-FFF2-40B4-BE49-F238E27FC236}">
              <a16:creationId xmlns:a16="http://schemas.microsoft.com/office/drawing/2014/main" id="{00000000-0008-0000-0300-000062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154</xdr:row>
      <xdr:rowOff>76200</xdr:rowOff>
    </xdr:from>
    <xdr:to>
      <xdr:col>6</xdr:col>
      <xdr:colOff>9525</xdr:colOff>
      <xdr:row>173</xdr:row>
      <xdr:rowOff>95250</xdr:rowOff>
    </xdr:to>
    <xdr:graphicFrame macro="">
      <xdr:nvGraphicFramePr>
        <xdr:cNvPr id="5794915" name="Gráfico 30">
          <a:extLst>
            <a:ext uri="{FF2B5EF4-FFF2-40B4-BE49-F238E27FC236}">
              <a16:creationId xmlns:a16="http://schemas.microsoft.com/office/drawing/2014/main" id="{00000000-0008-0000-0300-000063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6</xdr:col>
      <xdr:colOff>0</xdr:colOff>
      <xdr:row>16</xdr:row>
      <xdr:rowOff>142875</xdr:rowOff>
    </xdr:to>
    <xdr:graphicFrame macro="">
      <xdr:nvGraphicFramePr>
        <xdr:cNvPr id="5794916" name="Gráfico 18">
          <a:extLst>
            <a:ext uri="{FF2B5EF4-FFF2-40B4-BE49-F238E27FC236}">
              <a16:creationId xmlns:a16="http://schemas.microsoft.com/office/drawing/2014/main" id="{00000000-0008-0000-0300-0000646C5800}"/>
            </a:ext>
            <a:ext uri="{147F2762-F138-4A5C-976F-8EAC2B608ADB}">
              <a16:predDERef xmlns:a16="http://schemas.microsoft.com/office/drawing/2014/main" pred="{00000000-0008-0000-0300-000063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8659</xdr:colOff>
      <xdr:row>0</xdr:row>
      <xdr:rowOff>25978</xdr:rowOff>
    </xdr:from>
    <xdr:to>
      <xdr:col>13</xdr:col>
      <xdr:colOff>18185</xdr:colOff>
      <xdr:row>17</xdr:row>
      <xdr:rowOff>64078</xdr:rowOff>
    </xdr:to>
    <xdr:graphicFrame macro="">
      <xdr:nvGraphicFramePr>
        <xdr:cNvPr id="5794917" name="Gráfico 20">
          <a:extLst>
            <a:ext uri="{FF2B5EF4-FFF2-40B4-BE49-F238E27FC236}">
              <a16:creationId xmlns:a16="http://schemas.microsoft.com/office/drawing/2014/main" id="{00000000-0008-0000-0300-0000656C5800}"/>
            </a:ext>
            <a:ext uri="{147F2762-F138-4A5C-976F-8EAC2B608ADB}">
              <a16:predDERef xmlns:a16="http://schemas.microsoft.com/office/drawing/2014/main" pred="{00000000-0008-0000-0300-000064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320387</xdr:colOff>
      <xdr:row>17</xdr:row>
      <xdr:rowOff>76200</xdr:rowOff>
    </xdr:from>
    <xdr:to>
      <xdr:col>13</xdr:col>
      <xdr:colOff>25978</xdr:colOff>
      <xdr:row>34</xdr:row>
      <xdr:rowOff>57150</xdr:rowOff>
    </xdr:to>
    <xdr:graphicFrame macro="">
      <xdr:nvGraphicFramePr>
        <xdr:cNvPr id="5794918" name="Gráfico 16">
          <a:extLst>
            <a:ext uri="{FF2B5EF4-FFF2-40B4-BE49-F238E27FC236}">
              <a16:creationId xmlns:a16="http://schemas.microsoft.com/office/drawing/2014/main" id="{00000000-0008-0000-0300-0000666C5800}"/>
            </a:ext>
            <a:ext uri="{147F2762-F138-4A5C-976F-8EAC2B608ADB}">
              <a16:predDERef xmlns:a16="http://schemas.microsoft.com/office/drawing/2014/main" pred="{00000000-0008-0000-0300-000065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68</xdr:row>
      <xdr:rowOff>0</xdr:rowOff>
    </xdr:from>
    <xdr:to>
      <xdr:col>6</xdr:col>
      <xdr:colOff>0</xdr:colOff>
      <xdr:row>83</xdr:row>
      <xdr:rowOff>114300</xdr:rowOff>
    </xdr:to>
    <xdr:graphicFrame macro="">
      <xdr:nvGraphicFramePr>
        <xdr:cNvPr id="5794919" name="Gráfico 22">
          <a:extLst>
            <a:ext uri="{FF2B5EF4-FFF2-40B4-BE49-F238E27FC236}">
              <a16:creationId xmlns:a16="http://schemas.microsoft.com/office/drawing/2014/main" id="{00000000-0008-0000-0300-000067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0</xdr:colOff>
      <xdr:row>68</xdr:row>
      <xdr:rowOff>0</xdr:rowOff>
    </xdr:from>
    <xdr:to>
      <xdr:col>12</xdr:col>
      <xdr:colOff>0</xdr:colOff>
      <xdr:row>83</xdr:row>
      <xdr:rowOff>114300</xdr:rowOff>
    </xdr:to>
    <xdr:graphicFrame macro="">
      <xdr:nvGraphicFramePr>
        <xdr:cNvPr id="5794920" name="Gráfico 22">
          <a:extLst>
            <a:ext uri="{FF2B5EF4-FFF2-40B4-BE49-F238E27FC236}">
              <a16:creationId xmlns:a16="http://schemas.microsoft.com/office/drawing/2014/main" id="{00000000-0008-0000-0300-000068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0</xdr:colOff>
      <xdr:row>84</xdr:row>
      <xdr:rowOff>0</xdr:rowOff>
    </xdr:from>
    <xdr:to>
      <xdr:col>6</xdr:col>
      <xdr:colOff>0</xdr:colOff>
      <xdr:row>101</xdr:row>
      <xdr:rowOff>0</xdr:rowOff>
    </xdr:to>
    <xdr:graphicFrame macro="">
      <xdr:nvGraphicFramePr>
        <xdr:cNvPr id="5794921" name="Gráfico 28">
          <a:extLst>
            <a:ext uri="{FF2B5EF4-FFF2-40B4-BE49-F238E27FC236}">
              <a16:creationId xmlns:a16="http://schemas.microsoft.com/office/drawing/2014/main" id="{00000000-0008-0000-0300-000069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361950</xdr:colOff>
      <xdr:row>84</xdr:row>
      <xdr:rowOff>66675</xdr:rowOff>
    </xdr:from>
    <xdr:to>
      <xdr:col>12</xdr:col>
      <xdr:colOff>361950</xdr:colOff>
      <xdr:row>101</xdr:row>
      <xdr:rowOff>76200</xdr:rowOff>
    </xdr:to>
    <xdr:graphicFrame macro="">
      <xdr:nvGraphicFramePr>
        <xdr:cNvPr id="5794922" name="Gráfico 22">
          <a:extLst>
            <a:ext uri="{FF2B5EF4-FFF2-40B4-BE49-F238E27FC236}">
              <a16:creationId xmlns:a16="http://schemas.microsoft.com/office/drawing/2014/main" id="{00000000-0008-0000-0300-00006A6C5800}"/>
            </a:ext>
            <a:ext uri="{147F2762-F138-4A5C-976F-8EAC2B608ADB}">
              <a16:predDERef xmlns:a16="http://schemas.microsoft.com/office/drawing/2014/main" pred="{00000000-0008-0000-0300-000069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43294</xdr:colOff>
      <xdr:row>34</xdr:row>
      <xdr:rowOff>103908</xdr:rowOff>
    </xdr:from>
    <xdr:to>
      <xdr:col>13</xdr:col>
      <xdr:colOff>25978</xdr:colOff>
      <xdr:row>51</xdr:row>
      <xdr:rowOff>142008</xdr:rowOff>
    </xdr:to>
    <xdr:graphicFrame macro="">
      <xdr:nvGraphicFramePr>
        <xdr:cNvPr id="15" name="Gráfico 20">
          <a:extLst>
            <a:ext uri="{FF2B5EF4-FFF2-40B4-BE49-F238E27FC236}">
              <a16:creationId xmlns:a16="http://schemas.microsoft.com/office/drawing/2014/main" id="{5CB47016-B358-4937-BAB6-1EFDE2FD1D7B}"/>
            </a:ext>
            <a:ext uri="{147F2762-F138-4A5C-976F-8EAC2B608ADB}">
              <a16:predDERef xmlns:a16="http://schemas.microsoft.com/office/drawing/2014/main" pred="{00000000-0008-0000-0300-0000646C5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209550</xdr:colOff>
      <xdr:row>0</xdr:row>
      <xdr:rowOff>104775</xdr:rowOff>
    </xdr:from>
    <xdr:to>
      <xdr:col>11</xdr:col>
      <xdr:colOff>209550</xdr:colOff>
      <xdr:row>14</xdr:row>
      <xdr:rowOff>180975</xdr:rowOff>
    </xdr:to>
    <xdr:graphicFrame macro="">
      <xdr:nvGraphicFramePr>
        <xdr:cNvPr id="3960668" name="1 Gráfico">
          <a:extLst>
            <a:ext uri="{FF2B5EF4-FFF2-40B4-BE49-F238E27FC236}">
              <a16:creationId xmlns:a16="http://schemas.microsoft.com/office/drawing/2014/main" id="{00000000-0008-0000-0400-00005C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209550</xdr:colOff>
      <xdr:row>15</xdr:row>
      <xdr:rowOff>9525</xdr:rowOff>
    </xdr:from>
    <xdr:to>
      <xdr:col>11</xdr:col>
      <xdr:colOff>209550</xdr:colOff>
      <xdr:row>30</xdr:row>
      <xdr:rowOff>85725</xdr:rowOff>
    </xdr:to>
    <xdr:graphicFrame macro="">
      <xdr:nvGraphicFramePr>
        <xdr:cNvPr id="3960669" name="5 Gráfico">
          <a:extLst>
            <a:ext uri="{FF2B5EF4-FFF2-40B4-BE49-F238E27FC236}">
              <a16:creationId xmlns:a16="http://schemas.microsoft.com/office/drawing/2014/main" id="{00000000-0008-0000-0400-00005D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209550</xdr:colOff>
      <xdr:row>30</xdr:row>
      <xdr:rowOff>142875</xdr:rowOff>
    </xdr:from>
    <xdr:to>
      <xdr:col>11</xdr:col>
      <xdr:colOff>219075</xdr:colOff>
      <xdr:row>43</xdr:row>
      <xdr:rowOff>0</xdr:rowOff>
    </xdr:to>
    <xdr:graphicFrame macro="">
      <xdr:nvGraphicFramePr>
        <xdr:cNvPr id="3960670" name="6 Gráfico">
          <a:extLst>
            <a:ext uri="{FF2B5EF4-FFF2-40B4-BE49-F238E27FC236}">
              <a16:creationId xmlns:a16="http://schemas.microsoft.com/office/drawing/2014/main" id="{00000000-0008-0000-0400-00005E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209550</xdr:colOff>
      <xdr:row>43</xdr:row>
      <xdr:rowOff>66675</xdr:rowOff>
    </xdr:from>
    <xdr:to>
      <xdr:col>11</xdr:col>
      <xdr:colOff>180975</xdr:colOff>
      <xdr:row>57</xdr:row>
      <xdr:rowOff>123825</xdr:rowOff>
    </xdr:to>
    <xdr:graphicFrame macro="">
      <xdr:nvGraphicFramePr>
        <xdr:cNvPr id="3960671" name="6 Gráfico">
          <a:extLst>
            <a:ext uri="{FF2B5EF4-FFF2-40B4-BE49-F238E27FC236}">
              <a16:creationId xmlns:a16="http://schemas.microsoft.com/office/drawing/2014/main" id="{00000000-0008-0000-0400-00005F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190500</xdr:colOff>
      <xdr:row>57</xdr:row>
      <xdr:rowOff>161925</xdr:rowOff>
    </xdr:from>
    <xdr:to>
      <xdr:col>11</xdr:col>
      <xdr:colOff>190500</xdr:colOff>
      <xdr:row>71</xdr:row>
      <xdr:rowOff>76200</xdr:rowOff>
    </xdr:to>
    <xdr:graphicFrame macro="">
      <xdr:nvGraphicFramePr>
        <xdr:cNvPr id="3960672" name="6 Gráfico">
          <a:extLst>
            <a:ext uri="{FF2B5EF4-FFF2-40B4-BE49-F238E27FC236}">
              <a16:creationId xmlns:a16="http://schemas.microsoft.com/office/drawing/2014/main" id="{00000000-0008-0000-0400-000060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171450</xdr:colOff>
      <xdr:row>71</xdr:row>
      <xdr:rowOff>142875</xdr:rowOff>
    </xdr:from>
    <xdr:to>
      <xdr:col>11</xdr:col>
      <xdr:colOff>190500</xdr:colOff>
      <xdr:row>84</xdr:row>
      <xdr:rowOff>47625</xdr:rowOff>
    </xdr:to>
    <xdr:graphicFrame macro="">
      <xdr:nvGraphicFramePr>
        <xdr:cNvPr id="3960673" name="6 Gráfico">
          <a:extLst>
            <a:ext uri="{FF2B5EF4-FFF2-40B4-BE49-F238E27FC236}">
              <a16:creationId xmlns:a16="http://schemas.microsoft.com/office/drawing/2014/main" id="{00000000-0008-0000-0400-000061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171450</xdr:colOff>
      <xdr:row>84</xdr:row>
      <xdr:rowOff>85725</xdr:rowOff>
    </xdr:from>
    <xdr:to>
      <xdr:col>12</xdr:col>
      <xdr:colOff>447675</xdr:colOff>
      <xdr:row>101</xdr:row>
      <xdr:rowOff>85725</xdr:rowOff>
    </xdr:to>
    <xdr:graphicFrame macro="">
      <xdr:nvGraphicFramePr>
        <xdr:cNvPr id="3960674" name="7 Gráfico">
          <a:extLst>
            <a:ext uri="{FF2B5EF4-FFF2-40B4-BE49-F238E27FC236}">
              <a16:creationId xmlns:a16="http://schemas.microsoft.com/office/drawing/2014/main" id="{00000000-0008-0000-0400-000062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695325</xdr:colOff>
      <xdr:row>118</xdr:row>
      <xdr:rowOff>66675</xdr:rowOff>
    </xdr:from>
    <xdr:to>
      <xdr:col>11</xdr:col>
      <xdr:colOff>695325</xdr:colOff>
      <xdr:row>133</xdr:row>
      <xdr:rowOff>171450</xdr:rowOff>
    </xdr:to>
    <xdr:graphicFrame macro="">
      <xdr:nvGraphicFramePr>
        <xdr:cNvPr id="3960675" name="6 Gráfico">
          <a:extLst>
            <a:ext uri="{FF2B5EF4-FFF2-40B4-BE49-F238E27FC236}">
              <a16:creationId xmlns:a16="http://schemas.microsoft.com/office/drawing/2014/main" id="{00000000-0008-0000-0400-000063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628650</xdr:colOff>
      <xdr:row>101</xdr:row>
      <xdr:rowOff>171450</xdr:rowOff>
    </xdr:from>
    <xdr:to>
      <xdr:col>12</xdr:col>
      <xdr:colOff>133350</xdr:colOff>
      <xdr:row>117</xdr:row>
      <xdr:rowOff>171450</xdr:rowOff>
    </xdr:to>
    <xdr:graphicFrame macro="">
      <xdr:nvGraphicFramePr>
        <xdr:cNvPr id="3960676" name="6 Gráfico">
          <a:extLst>
            <a:ext uri="{FF2B5EF4-FFF2-40B4-BE49-F238E27FC236}">
              <a16:creationId xmlns:a16="http://schemas.microsoft.com/office/drawing/2014/main" id="{00000000-0008-0000-0400-000064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676275</xdr:colOff>
      <xdr:row>135</xdr:row>
      <xdr:rowOff>38100</xdr:rowOff>
    </xdr:from>
    <xdr:to>
      <xdr:col>11</xdr:col>
      <xdr:colOff>676275</xdr:colOff>
      <xdr:row>150</xdr:row>
      <xdr:rowOff>152400</xdr:rowOff>
    </xdr:to>
    <xdr:graphicFrame macro="">
      <xdr:nvGraphicFramePr>
        <xdr:cNvPr id="3960677" name="6 Gráfico">
          <a:extLst>
            <a:ext uri="{FF2B5EF4-FFF2-40B4-BE49-F238E27FC236}">
              <a16:creationId xmlns:a16="http://schemas.microsoft.com/office/drawing/2014/main" id="{00000000-0008-0000-0400-0000656F3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9525</xdr:colOff>
      <xdr:row>0</xdr:row>
      <xdr:rowOff>0</xdr:rowOff>
    </xdr:from>
    <xdr:to>
      <xdr:col>7</xdr:col>
      <xdr:colOff>1257300</xdr:colOff>
      <xdr:row>10</xdr:row>
      <xdr:rowOff>90488</xdr:rowOff>
    </xdr:to>
    <xdr:graphicFrame macro="">
      <xdr:nvGraphicFramePr>
        <xdr:cNvPr id="2" name="Gráfico 1">
          <a:extLst>
            <a:ext uri="{FF2B5EF4-FFF2-40B4-BE49-F238E27FC236}">
              <a16:creationId xmlns:a16="http://schemas.microsoft.com/office/drawing/2014/main" id="{C6CEF161-5137-31D2-69C5-D5C2C16836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1181100</xdr:colOff>
      <xdr:row>18</xdr:row>
      <xdr:rowOff>14287</xdr:rowOff>
    </xdr:from>
    <xdr:to>
      <xdr:col>8</xdr:col>
      <xdr:colOff>457200</xdr:colOff>
      <xdr:row>32</xdr:row>
      <xdr:rowOff>90487</xdr:rowOff>
    </xdr:to>
    <xdr:graphicFrame macro="">
      <xdr:nvGraphicFramePr>
        <xdr:cNvPr id="4" name="Gráfico 3">
          <a:extLst>
            <a:ext uri="{FF2B5EF4-FFF2-40B4-BE49-F238E27FC236}">
              <a16:creationId xmlns:a16="http://schemas.microsoft.com/office/drawing/2014/main" id="{289573F2-ACC6-01F0-A73F-4AD328542E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628649</xdr:colOff>
      <xdr:row>3</xdr:row>
      <xdr:rowOff>109537</xdr:rowOff>
    </xdr:from>
    <xdr:to>
      <xdr:col>8</xdr:col>
      <xdr:colOff>161925</xdr:colOff>
      <xdr:row>17</xdr:row>
      <xdr:rowOff>185737</xdr:rowOff>
    </xdr:to>
    <xdr:graphicFrame macro="">
      <xdr:nvGraphicFramePr>
        <xdr:cNvPr id="5" name="Gráfico 4">
          <a:extLst>
            <a:ext uri="{FF2B5EF4-FFF2-40B4-BE49-F238E27FC236}">
              <a16:creationId xmlns:a16="http://schemas.microsoft.com/office/drawing/2014/main" id="{8BC00219-8367-9CB9-F5C0-E98827618C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1181099</xdr:colOff>
      <xdr:row>32</xdr:row>
      <xdr:rowOff>90487</xdr:rowOff>
    </xdr:from>
    <xdr:to>
      <xdr:col>8</xdr:col>
      <xdr:colOff>295275</xdr:colOff>
      <xdr:row>46</xdr:row>
      <xdr:rowOff>166687</xdr:rowOff>
    </xdr:to>
    <xdr:graphicFrame macro="">
      <xdr:nvGraphicFramePr>
        <xdr:cNvPr id="6" name="Gráfico 5">
          <a:extLst>
            <a:ext uri="{FF2B5EF4-FFF2-40B4-BE49-F238E27FC236}">
              <a16:creationId xmlns:a16="http://schemas.microsoft.com/office/drawing/2014/main" id="{1C3C6EA2-7B58-C309-D6D5-6A97B211C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1181099</xdr:colOff>
      <xdr:row>46</xdr:row>
      <xdr:rowOff>147637</xdr:rowOff>
    </xdr:from>
    <xdr:to>
      <xdr:col>8</xdr:col>
      <xdr:colOff>285750</xdr:colOff>
      <xdr:row>61</xdr:row>
      <xdr:rowOff>33337</xdr:rowOff>
    </xdr:to>
    <xdr:graphicFrame macro="">
      <xdr:nvGraphicFramePr>
        <xdr:cNvPr id="7" name="Gráfico 6">
          <a:extLst>
            <a:ext uri="{FF2B5EF4-FFF2-40B4-BE49-F238E27FC236}">
              <a16:creationId xmlns:a16="http://schemas.microsoft.com/office/drawing/2014/main" id="{C6BB5E57-0723-C24D-ADCB-3D92A59F52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1181099</xdr:colOff>
      <xdr:row>61</xdr:row>
      <xdr:rowOff>42862</xdr:rowOff>
    </xdr:from>
    <xdr:to>
      <xdr:col>8</xdr:col>
      <xdr:colOff>285749</xdr:colOff>
      <xdr:row>75</xdr:row>
      <xdr:rowOff>119062</xdr:rowOff>
    </xdr:to>
    <xdr:graphicFrame macro="">
      <xdr:nvGraphicFramePr>
        <xdr:cNvPr id="8" name="Gráfico 7">
          <a:extLst>
            <a:ext uri="{FF2B5EF4-FFF2-40B4-BE49-F238E27FC236}">
              <a16:creationId xmlns:a16="http://schemas.microsoft.com/office/drawing/2014/main" id="{1106142B-92CA-85F9-A557-E84A8D0D6A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1181099</xdr:colOff>
      <xdr:row>75</xdr:row>
      <xdr:rowOff>100012</xdr:rowOff>
    </xdr:from>
    <xdr:to>
      <xdr:col>8</xdr:col>
      <xdr:colOff>285749</xdr:colOff>
      <xdr:row>89</xdr:row>
      <xdr:rowOff>176212</xdr:rowOff>
    </xdr:to>
    <xdr:graphicFrame macro="">
      <xdr:nvGraphicFramePr>
        <xdr:cNvPr id="9" name="Gráfico 8">
          <a:extLst>
            <a:ext uri="{FF2B5EF4-FFF2-40B4-BE49-F238E27FC236}">
              <a16:creationId xmlns:a16="http://schemas.microsoft.com/office/drawing/2014/main" id="{75BCEB3A-134E-CA05-78A6-8CD3BFCB9C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gsicennas\PL_PAICO\Informacion_prevencion\2015\Consolidado%20de%20Accidentes\Consolidado%20Accidentes%20y%20Emergencias_2015%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rodriguezn/Desktop/atenciones%20laborales%20de%20septiembre%20202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gsicennas\PL_PAICO\Users\cjimenez\AppData\Roaming\Microsoft\Excel\Base%20de%20Datos%202018%20Accidentes%20STP%20y%20CTP%20Arizt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olidado Accidentes"/>
      <sheetName val="Consolidado Emergencias."/>
      <sheetName val="Dias Perdidos"/>
      <sheetName val="ACC.CTP"/>
      <sheetName val="Arratres"/>
      <sheetName val="Instructivo"/>
      <sheetName val="Maestro"/>
      <sheetName val="Hoja5"/>
      <sheetName val="Hoja6"/>
      <sheetName val="Hoja1"/>
      <sheetName val="Datos Total"/>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imple"/>
    </sheetNames>
    <sheetDataSet>
      <sheetData sheetId="0">
        <row r="2">
          <cell r="C2" t="str">
            <v>30-09-2022</v>
          </cell>
          <cell r="K2" t="str">
            <v>14092659-0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se total"/>
      <sheetName val="Datos Total"/>
      <sheetName val="Gráficos"/>
    </sheetNames>
    <sheetDataSet>
      <sheetData sheetId="0"/>
      <sheetData sheetId="1">
        <row r="10">
          <cell r="B10" t="str">
            <v>Operador Recibio y Almacenamiento</v>
          </cell>
        </row>
        <row r="35">
          <cell r="G35" t="str">
            <v>Piso</v>
          </cell>
        </row>
        <row r="36">
          <cell r="G36" t="str">
            <v>Agua Caliente</v>
          </cell>
        </row>
        <row r="37">
          <cell r="G37" t="str">
            <v>Maquina o Equipo</v>
          </cell>
        </row>
        <row r="38">
          <cell r="G38" t="str">
            <v>Quimicos Aseo</v>
          </cell>
        </row>
        <row r="39">
          <cell r="G39" t="str">
            <v>Insumos</v>
          </cell>
        </row>
        <row r="40">
          <cell r="G40" t="str">
            <v>Superficie de Trabajo</v>
          </cell>
        </row>
        <row r="41">
          <cell r="G41" t="str">
            <v>Estructura</v>
          </cell>
        </row>
        <row r="42">
          <cell r="G42" t="str">
            <v>Otro</v>
          </cell>
        </row>
        <row r="56">
          <cell r="L56" t="str">
            <v>Atencion</v>
          </cell>
        </row>
        <row r="57">
          <cell r="L57" t="str">
            <v>Trabajo</v>
          </cell>
          <cell r="N57" t="e">
            <v>#DIV/0!</v>
          </cell>
        </row>
        <row r="58">
          <cell r="L58" t="str">
            <v>Enfermedad Profesional</v>
          </cell>
          <cell r="N58" t="e">
            <v>#DIV/0!</v>
          </cell>
        </row>
        <row r="59">
          <cell r="B59" t="str">
            <v>Lunes</v>
          </cell>
        </row>
        <row r="60">
          <cell r="B60" t="str">
            <v>Jueves</v>
          </cell>
        </row>
        <row r="61">
          <cell r="B61" t="str">
            <v>Viernes</v>
          </cell>
        </row>
        <row r="62">
          <cell r="B62" t="str">
            <v>Sabado</v>
          </cell>
        </row>
        <row r="63">
          <cell r="B63" t="str">
            <v>Miercoles</v>
          </cell>
        </row>
        <row r="64">
          <cell r="B64" t="str">
            <v>Martes</v>
          </cell>
        </row>
        <row r="65">
          <cell r="B65" t="str">
            <v>Domingo</v>
          </cell>
        </row>
      </sheetData>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Alan Carrasco" id="{E4BE3981-7A34-44E1-8498-ADAA26786FB2}" userId="S::acarrascof@ariztia.com::f2323d80-5f11-4d26-a98d-5fd87d5252bf"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mila Contreras" refreshedDate="44643.613693171297" createdVersion="7" refreshedVersion="7" minRefreshableVersion="3" recordCount="331" xr:uid="{AA59F614-9921-4B26-A6E5-E36BCB64ECD0}">
  <cacheSource type="worksheet">
    <worksheetSource ref="A6:AP357" sheet="Consolidado Accidentes"/>
  </cacheSource>
  <cacheFields count="42">
    <cacheField name="AÑO" numFmtId="0">
      <sharedItems containsBlank="1" containsMixedTypes="1" containsNumber="1" containsInteger="1" minValue="2022" maxValue="2022"/>
    </cacheField>
    <cacheField name="MES" numFmtId="0">
      <sharedItems count="4">
        <s v="ENERO"/>
        <s v="FEBRERO"/>
        <s v="MARZO"/>
        <s v=" "/>
      </sharedItems>
    </cacheField>
    <cacheField name="PLANTA" numFmtId="0">
      <sharedItems containsBlank="1"/>
    </cacheField>
    <cacheField name="APELLIDOS" numFmtId="0">
      <sharedItems/>
    </cacheField>
    <cacheField name="NOMBRE" numFmtId="0">
      <sharedItems/>
    </cacheField>
    <cacheField name="GENERO" numFmtId="0">
      <sharedItems count="3">
        <s v="MASCULINO"/>
        <s v="FEMENINO"/>
        <s v=" "/>
      </sharedItems>
    </cacheField>
    <cacheField name="RUT" numFmtId="0">
      <sharedItems/>
    </cacheField>
    <cacheField name="FECHA CONTRATO" numFmtId="14">
      <sharedItems containsDate="1" containsMixedTypes="1" minDate="1981-08-16T00:00:00" maxDate="2022-02-03T00:00:00"/>
    </cacheField>
    <cacheField name="MESES INTERNO" numFmtId="0">
      <sharedItems containsMixedTypes="1" containsNumber="1" containsInteger="1" minValue="0" maxValue="494"/>
    </cacheField>
    <cacheField name="FECHA INCCIDENTE" numFmtId="14">
      <sharedItems containsDate="1" containsMixedTypes="1" minDate="2022-01-03T00:00:00" maxDate="2022-11-11T00:00:00"/>
    </cacheField>
    <cacheField name="ANTIGÜEDAD" numFmtId="0">
      <sharedItems count="4">
        <s v="ANTIGUO"/>
        <s v="NUEVO"/>
        <s v="INTERMEDIO"/>
        <e v="#VALUE!"/>
      </sharedItems>
    </cacheField>
    <cacheField name="FECHA INGRESO MUTUALIDAD" numFmtId="0">
      <sharedItems containsNonDate="0" containsDate="1" containsString="0" containsBlank="1" minDate="2022-01-05T00:00:00" maxDate="2022-03-15T00:00:00"/>
    </cacheField>
    <cacheField name="FECHA ALTA" numFmtId="0">
      <sharedItems containsNonDate="0" containsDate="1" containsString="0" containsBlank="1" minDate="2022-01-05T00:00:00" maxDate="2022-03-19T00:00:00"/>
    </cacheField>
    <cacheField name="REINGRESO" numFmtId="0">
      <sharedItems containsNonDate="0" containsString="0" containsBlank="1"/>
    </cacheField>
    <cacheField name="DP" numFmtId="0">
      <sharedItems containsMixedTypes="1" containsNumber="1" containsInteger="1" minValue="0" maxValue="8"/>
    </cacheField>
    <cacheField name="CLASIF ACC" numFmtId="0">
      <sharedItems count="4">
        <s v="STP"/>
        <s v="CTP"/>
        <s v="Acc. Grave"/>
        <s v=" "/>
      </sharedItems>
    </cacheField>
    <cacheField name="POTENCIAL_x000a_GRAVE - FATAL" numFmtId="0">
      <sharedItems containsBlank="1"/>
    </cacheField>
    <cacheField name="CLASIFICACION LGF" numFmtId="0">
      <sharedItems containsBlank="1" count="2">
        <m/>
        <s v="LGF7"/>
      </sharedItems>
    </cacheField>
    <cacheField name="AREA" numFmtId="0">
      <sharedItems containsBlank="1" count="9">
        <s v="SSGG"/>
        <s v="FAENACION"/>
        <s v="TROZADO DE POLLO"/>
        <s v="TROZADO DE PAVO"/>
        <s v="IQF Y CALIBRADO"/>
        <s v="MANTENCION"/>
        <s v="FRIGORIFICO"/>
        <s v="P. POSTERIORES"/>
        <m/>
      </sharedItems>
    </cacheField>
    <cacheField name="SECCION" numFmtId="0">
      <sharedItems containsBlank="1" count="17">
        <s v="ASEO OPERACIONAL"/>
        <s v="EVICERADO"/>
        <s v="DESHUEZADO"/>
        <s v="TROZADO"/>
        <s v="CALIBRADO"/>
        <s v="IQF4"/>
        <s v="MATADERO"/>
        <s v="SHILLER"/>
        <s v="SALA EMPAQUE"/>
        <s v="AUTOMATICO"/>
        <s v="RECEPCION AVE VIVA"/>
        <s v="REPORTE DE CAJAS"/>
        <s v="CHILER DE AGUA"/>
        <s v="ICHIDA"/>
        <s v="CAMARA 208"/>
        <s v="DROP POINT"/>
        <m/>
      </sharedItems>
    </cacheField>
    <cacheField name="CARGO" numFmtId="0">
      <sharedItems containsBlank="1"/>
    </cacheField>
    <cacheField name="LUGAR ACC" numFmtId="0">
      <sharedItems containsBlank="1"/>
    </cacheField>
    <cacheField name="MAQUINA Y/O EQUIPO" numFmtId="0">
      <sharedItems containsBlank="1"/>
    </cacheField>
    <cacheField name="TURNO" numFmtId="0">
      <sharedItems containsBlank="1" count="4">
        <s v="MAÑANA"/>
        <s v="NOCHE"/>
        <s v="TARDE"/>
        <m/>
      </sharedItems>
    </cacheField>
    <cacheField name="HORA" numFmtId="20">
      <sharedItems containsNonDate="0" containsDate="1" containsString="0" containsBlank="1" minDate="1899-12-30T01:30:00" maxDate="1899-12-30T23:54:00"/>
    </cacheField>
    <cacheField name="DIA" numFmtId="0">
      <sharedItems containsBlank="1" count="7">
        <s v="LUNES"/>
        <s v="MARTES"/>
        <s v="MIÉRCOLES"/>
        <s v="SABADO"/>
        <s v="JUEVES"/>
        <s v="VIERNES"/>
        <m/>
      </sharedItems>
    </cacheField>
    <cacheField name="SEMANA" numFmtId="0">
      <sharedItems containsBlank="1"/>
    </cacheField>
    <cacheField name="ADEXUS" numFmtId="0">
      <sharedItems containsString="0" containsBlank="1" containsNumber="1" containsInteger="1" minValue="14943" maxValue="14950"/>
    </cacheField>
    <cacheField name="NC" numFmtId="0">
      <sharedItems containsBlank="1"/>
    </cacheField>
    <cacheField name="JEFE AREA" numFmtId="0">
      <sharedItems/>
    </cacheField>
    <cacheField name="SUPERVISOR" numFmtId="0">
      <sharedItems count="23">
        <s v="SERGIO AQUEVEQUE"/>
        <s v="ROLANDO EMIHUEQUE"/>
        <s v="ERWIN GATICA"/>
        <s v="RAFAEL ASTORGA"/>
        <s v="MARCELA MARDONES"/>
        <s v="MAXIMO CAMPOS"/>
        <s v="CESAR CARTAGENA"/>
        <s v="RAMIRO RAMIREZ"/>
        <s v="NICOLAS ROJAS"/>
        <s v="FERNANDO FUENTEALBA"/>
        <s v="CRISTIAN DURAN"/>
        <s v="JUAN VILLAVICENCIO"/>
        <s v="JOSE CARVALLO"/>
        <s v="ARNALDO VERA"/>
        <s v="LUIS URBINA"/>
        <s v="MIGUEL HENRRIQUEZ"/>
        <s v="ANTONIO RIVAS"/>
        <s v="RONALD ONELL"/>
        <s v="ALEJANDRO SALAS"/>
        <s v="JONATHAN SANCHEZ"/>
        <s v="PATRICIO PALACIOS "/>
        <s v="MARCOS QUINTANILLA"/>
        <s v=" "/>
      </sharedItems>
    </cacheField>
    <cacheField name="EDAD" numFmtId="0">
      <sharedItems containsMixedTypes="1" containsNumber="1" containsInteger="1" minValue="18" maxValue="69"/>
    </cacheField>
    <cacheField name="AGENTE ACC" numFmtId="0">
      <sharedItems containsBlank="1" count="15">
        <s v="Superficies de trabajo"/>
        <s v="Producto quimico"/>
        <s v="Cuchillo"/>
        <s v="Infraestructura"/>
        <s v="Cajas"/>
        <s v="Materia Prima"/>
        <s v="Bins"/>
        <s v="Maquinarias"/>
        <s v="Materiales"/>
        <s v="Pallet"/>
        <s v="Animales - Insectos"/>
        <s v="Bandejas"/>
        <s v="Herramientas de mano"/>
        <s v="Equipos Transporte de carga"/>
        <m/>
      </sharedItems>
    </cacheField>
    <cacheField name="PARTE AFECTADA" numFmtId="0">
      <sharedItems count="8">
        <s v="Pierna"/>
        <s v="Ojos"/>
        <s v="Manos / dedos"/>
        <s v="Rostro"/>
        <s v="Pie"/>
        <s v="Tronco"/>
        <s v="Brazo"/>
        <s v=" "/>
      </sharedItems>
    </cacheField>
    <cacheField name="NATURALEZA DE LA LESION " numFmtId="0">
      <sharedItems/>
    </cacheField>
    <cacheField name="TIPO ACCIDENTE" numFmtId="0">
      <sharedItems count="12">
        <s v="Caida de mismo nivel"/>
        <s v="Proyeccion de particulas"/>
        <s v="Contacto con cuerpo punzante"/>
        <s v="Contacto con cuerpo cortante"/>
        <s v="Golpeado por"/>
        <s v="Caida de distinto nivel"/>
        <s v="Atrapamiento"/>
        <s v="Sobreesfuerzo"/>
        <s v="Picadura"/>
        <s v="Contacto con temperaturas extremas"/>
        <s v="Golpeado contra"/>
        <s v=" "/>
      </sharedItems>
    </cacheField>
    <cacheField name="DESCRIPCION LESION" numFmtId="0">
      <sharedItems/>
    </cacheField>
    <cacheField name="ACCION - CONDICION" numFmtId="0">
      <sharedItems count="3">
        <s v="CONDICION"/>
        <s v="ACCION"/>
        <s v=" "/>
      </sharedItems>
    </cacheField>
    <cacheField name="TRABAJO HABITUAL" numFmtId="0">
      <sharedItems count="3">
        <s v="SI"/>
        <s v="NO"/>
        <s v=" "/>
      </sharedItems>
    </cacheField>
    <cacheField name="DERIVACION ACHS" numFmtId="0">
      <sharedItems count="3">
        <s v="NO"/>
        <s v="SI"/>
        <s v=" "/>
      </sharedItems>
    </cacheField>
    <cacheField name="Experto de Turno" numFmtId="0">
      <sharedItems containsBlank="1"/>
    </cacheField>
    <cacheField name="Atencion SPA"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754.742545949077" createdVersion="8" refreshedVersion="8" minRefreshableVersion="3" recordCount="335" xr:uid="{CC819B7E-910B-4E7B-A1C7-CE2B752A2B9E}">
  <cacheSource type="worksheet">
    <worksheetSource ref="A6:AP358" sheet="Consolidado Accidentes"/>
  </cacheSource>
  <cacheFields count="42">
    <cacheField name="AÑO" numFmtId="0">
      <sharedItems containsBlank="1" containsMixedTypes="1" containsNumber="1" containsInteger="1" minValue="2022" maxValue="2022" count="3">
        <n v="2022"/>
        <m/>
        <s v=" "/>
      </sharedItems>
    </cacheField>
    <cacheField name="MES" numFmtId="0">
      <sharedItems containsBlank="1"/>
    </cacheField>
    <cacheField name="PLANTA" numFmtId="0">
      <sharedItems containsBlank="1"/>
    </cacheField>
    <cacheField name="APELLIDOS" numFmtId="0">
      <sharedItems containsBlank="1"/>
    </cacheField>
    <cacheField name="NOMBRE" numFmtId="0">
      <sharedItems containsBlank="1"/>
    </cacheField>
    <cacheField name="GENERO" numFmtId="0">
      <sharedItems containsBlank="1"/>
    </cacheField>
    <cacheField name="RUT" numFmtId="0">
      <sharedItems containsBlank="1"/>
    </cacheField>
    <cacheField name="FECHA CONTRATO" numFmtId="0">
      <sharedItems containsDate="1" containsBlank="1" containsMixedTypes="1" minDate="1981-08-16T00:00:00" maxDate="2022-06-23T00:00:00"/>
    </cacheField>
    <cacheField name="MESES INTERNO" numFmtId="0">
      <sharedItems containsBlank="1" containsMixedTypes="1" containsNumber="1" containsInteger="1" minValue="0" maxValue="494"/>
    </cacheField>
    <cacheField name="FECHA INCCIDENTE" numFmtId="0">
      <sharedItems containsDate="1" containsBlank="1" containsMixedTypes="1" minDate="2021-06-22T00:00:00" maxDate="2022-11-11T00:00:00"/>
    </cacheField>
    <cacheField name="ANTIGÜEDAD" numFmtId="0">
      <sharedItems containsBlank="1"/>
    </cacheField>
    <cacheField name="FECHA INGRESO MUTUALIDAD" numFmtId="0">
      <sharedItems containsNonDate="0" containsDate="1" containsString="0" containsBlank="1" minDate="2022-01-05T00:00:00" maxDate="2022-06-18T00:00:00"/>
    </cacheField>
    <cacheField name="FECHA ALTA" numFmtId="0">
      <sharedItems containsNonDate="0" containsDate="1" containsString="0" containsBlank="1" minDate="2022-01-05T00:00:00" maxDate="2022-06-11T00:00:00"/>
    </cacheField>
    <cacheField name="REINGRESO" numFmtId="0">
      <sharedItems containsNonDate="0" containsString="0" containsBlank="1"/>
    </cacheField>
    <cacheField name="DP" numFmtId="0">
      <sharedItems containsBlank="1" containsMixedTypes="1" containsNumber="1" containsInteger="1" minValue="0" maxValue="11"/>
    </cacheField>
    <cacheField name="CLASIF ACC" numFmtId="0">
      <sharedItems containsBlank="1"/>
    </cacheField>
    <cacheField name="POTENCIAL_x000a_GRAVE - FATAL" numFmtId="0">
      <sharedItems containsBlank="1"/>
    </cacheField>
    <cacheField name="CLASIFICACION LGF" numFmtId="0">
      <sharedItems containsBlank="1"/>
    </cacheField>
    <cacheField name="AREA" numFmtId="0">
      <sharedItems containsBlank="1" count="11">
        <s v="SSGG"/>
        <s v="FAENACION"/>
        <s v="TROZADO DE POLLO"/>
        <s v="TROZADO DE PAVO"/>
        <s v="IQF Y CALIBRADO"/>
        <s v="MANTENCION"/>
        <s v="FRIGORIFICO"/>
        <s v="P. POSTERIORES"/>
        <s v="CALIDAD"/>
        <s v="BODEGA"/>
        <m/>
      </sharedItems>
    </cacheField>
    <cacheField name="SECCION" numFmtId="0">
      <sharedItems containsBlank="1"/>
    </cacheField>
    <cacheField name="CARGO" numFmtId="0">
      <sharedItems containsBlank="1"/>
    </cacheField>
    <cacheField name="LUGAR ACC" numFmtId="0">
      <sharedItems containsBlank="1" count="55">
        <s v="CAMARA 207"/>
        <s v="SALA DETERGENTE"/>
        <s v="EVICERADO"/>
        <s v="DESHUEZADO"/>
        <s v="CALIBRADO"/>
        <s v="LINEA PANA"/>
        <m/>
        <s v="IQF4"/>
        <s v="MATADERO"/>
        <s v="SHILER"/>
        <s v="SALA EMPAQUE"/>
        <s v="AUTOMATICO"/>
        <s v="CAMARINES MUJERES"/>
        <s v="ISHIDA"/>
        <s v="RECEPCION AVE VIVA"/>
        <s v="PULPA"/>
        <s v="ESCALA PRINCIPAL"/>
        <s v="PRODUCCION"/>
        <s v="ICHIDA"/>
        <s v="CAMARA 208"/>
        <s v="TUNEL 1"/>
        <s v="EVICERADO DE POLLO "/>
        <s v="DROP POINT"/>
        <s v="PATIO DECOMISO"/>
        <s v="PLATAFORMA DE APILADO MANUAL "/>
        <s v="TUNEL 4"/>
        <s v="SALA DE MAQUINA"/>
        <s v="ESTACIONAMIENTO"/>
        <s v="PASILLO 3"/>
        <s v="CAMARINES HOMBRES"/>
        <s v="SALA DE SKAQUINN"/>
        <s v="EVICERADO DE PAVO "/>
        <s v="LINEA PROLIJADO"/>
        <s v="PASILLO TROZADO AUTOMATICO"/>
        <s v="CAMARA 305"/>
        <s v="SALA IQF"/>
        <s v="PASILLO PRINCIPAL "/>
        <s v="PASILLO COSTADO IQF 4"/>
        <s v="CASINO"/>
        <s v="CHILLER DE AGUA N°2"/>
        <s v="BODEGA 3"/>
        <s v="PASILLO IQF 4"/>
        <s v="ESCALDADORA DE PATA DE POLLO"/>
        <s v="IQF"/>
        <s v="SALA EVICERADO"/>
        <s v="TROZADO DE PAVO"/>
        <s v="EVISCERADO"/>
        <s v="SALA DESPACHO FIGRORIFICO"/>
        <s v="IQF 4"/>
        <s v="BAÑO"/>
        <s v="TROZADO AUTOMATICO"/>
        <s v="CONGELADOR IQF 1"/>
        <s v="FILTRO SANITARIO "/>
        <s v="PASILLO IQF "/>
        <s v="LINEA IQF 4"/>
      </sharedItems>
    </cacheField>
    <cacheField name="MAQUINA Y/O EQUIPO" numFmtId="0">
      <sharedItems containsBlank="1" count="6">
        <s v="N/A"/>
        <s v="CINTA DESHUEZADO"/>
        <s v="CINTA CAPACHO"/>
        <m/>
        <s v="IQF4"/>
        <s v="SHILLER"/>
      </sharedItems>
    </cacheField>
    <cacheField name="TURNO" numFmtId="0">
      <sharedItems containsBlank="1"/>
    </cacheField>
    <cacheField name="HORA" numFmtId="0">
      <sharedItems containsNonDate="0" containsDate="1" containsString="0" containsBlank="1" minDate="1899-12-30T00:35:00" maxDate="1899-12-30T23:54:00"/>
    </cacheField>
    <cacheField name="DIA" numFmtId="0">
      <sharedItems containsBlank="1"/>
    </cacheField>
    <cacheField name="SEMANA" numFmtId="0">
      <sharedItems containsBlank="1"/>
    </cacheField>
    <cacheField name="ADEXUS" numFmtId="0">
      <sharedItems containsString="0" containsBlank="1" containsNumber="1" containsInteger="1" minValue="14943" maxValue="14950"/>
    </cacheField>
    <cacheField name="NC" numFmtId="0">
      <sharedItems containsBlank="1"/>
    </cacheField>
    <cacheField name="JEFE AREA" numFmtId="0">
      <sharedItems containsBlank="1"/>
    </cacheField>
    <cacheField name="SUPERVISOR" numFmtId="0">
      <sharedItems containsBlank="1"/>
    </cacheField>
    <cacheField name="EDAD" numFmtId="0">
      <sharedItems containsBlank="1" containsMixedTypes="1" containsNumber="1" containsInteger="1" minValue="18" maxValue="69"/>
    </cacheField>
    <cacheField name="AGENTE ACC" numFmtId="0">
      <sharedItems containsBlank="1" count="16">
        <s v="Superficies de trabajo"/>
        <s v="Producto quimico"/>
        <s v="Cuchillo"/>
        <s v="Infraestructura"/>
        <s v="Cajas"/>
        <s v="Materia Prima"/>
        <s v="Bins"/>
        <s v="Maquinarias"/>
        <s v="Materiales"/>
        <s v="Pallet"/>
        <s v="Animales - Insectos"/>
        <s v="Bandejas"/>
        <s v="Herramientas de mano"/>
        <s v="Equipos Transporte de carga"/>
        <s v="Otros"/>
        <m/>
      </sharedItems>
    </cacheField>
    <cacheField name="PARTE AFECTADA" numFmtId="0">
      <sharedItems containsBlank="1" count="14">
        <s v="Pierna"/>
        <s v="Ojos"/>
        <s v="Manos / dedos"/>
        <s v="Rostro"/>
        <s v="Pie"/>
        <s v="Tronco"/>
        <s v="Brazo"/>
        <s v="Pelvis"/>
        <s v="Espalda"/>
        <s v="Cabeza"/>
        <s v="Otro"/>
        <s v="Multiples"/>
        <s v=" "/>
        <m/>
      </sharedItems>
    </cacheField>
    <cacheField name="NATURALEZA DE LA LESION " numFmtId="0">
      <sharedItems containsBlank="1"/>
    </cacheField>
    <cacheField name="TIPO ACCIDENTE" numFmtId="0">
      <sharedItems containsBlank="1"/>
    </cacheField>
    <cacheField name="DESCRIPCION LESION" numFmtId="0">
      <sharedItems containsBlank="1"/>
    </cacheField>
    <cacheField name="ACCION - CONDICION" numFmtId="0">
      <sharedItems containsBlank="1"/>
    </cacheField>
    <cacheField name="TRABAJO HABITUAL" numFmtId="0">
      <sharedItems containsBlank="1"/>
    </cacheField>
    <cacheField name="DERIVACION ACHS" numFmtId="0">
      <sharedItems containsBlank="1"/>
    </cacheField>
    <cacheField name="Experto de Turno" numFmtId="0">
      <sharedItems containsBlank="1"/>
    </cacheField>
    <cacheField name="Atencion SPA"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las Gomez" refreshedDate="44932.354928935187" createdVersion="8" refreshedVersion="8" minRefreshableVersion="3" recordCount="347" xr:uid="{FDD16F67-B645-4AAE-A76F-993FE0EE9789}">
  <cacheSource type="worksheet">
    <worksheetSource ref="A6:AP353" sheet="Consolidado Accidentes"/>
  </cacheSource>
  <cacheFields count="42">
    <cacheField name="AÑO" numFmtId="0">
      <sharedItems containsBlank="1" containsMixedTypes="1" containsNumber="1" containsInteger="1" minValue="142" maxValue="2022"/>
    </cacheField>
    <cacheField name="MES" numFmtId="0">
      <sharedItems containsBlank="1"/>
    </cacheField>
    <cacheField name="PLANTA" numFmtId="0">
      <sharedItems containsBlank="1"/>
    </cacheField>
    <cacheField name="APELLIDOS" numFmtId="0">
      <sharedItems/>
    </cacheField>
    <cacheField name="NOMBRE" numFmtId="0">
      <sharedItems/>
    </cacheField>
    <cacheField name="GENERO" numFmtId="0">
      <sharedItems/>
    </cacheField>
    <cacheField name="RUT" numFmtId="0">
      <sharedItems/>
    </cacheField>
    <cacheField name="FECHA CONTRATO" numFmtId="14">
      <sharedItems containsDate="1" containsBlank="1" containsMixedTypes="1" minDate="1981-08-16T00:00:00" maxDate="2022-11-30T00:00:00"/>
    </cacheField>
    <cacheField name="MESES INTERNO" numFmtId="0">
      <sharedItems containsBlank="1" containsMixedTypes="1" containsNumber="1" containsInteger="1" minValue="0" maxValue="494"/>
    </cacheField>
    <cacheField name="FECHA INCCIDENTE" numFmtId="0">
      <sharedItems containsDate="1" containsMixedTypes="1" minDate="2021-06-22T00:00:00" maxDate="2022-12-31T00:00:00"/>
    </cacheField>
    <cacheField name="ANTIGÜEDAD" numFmtId="0">
      <sharedItems containsBlank="1"/>
    </cacheField>
    <cacheField name="FECHA INGRESO MUTUALIDAD" numFmtId="0">
      <sharedItems containsDate="1" containsBlank="1" containsMixedTypes="1" minDate="2022-01-05T00:00:00" maxDate="2022-12-31T00:00:00"/>
    </cacheField>
    <cacheField name="FECHA ALTA" numFmtId="0">
      <sharedItems containsDate="1" containsBlank="1" containsMixedTypes="1" minDate="2022-01-05T00:00:00" maxDate="2022-12-06T00:00:00"/>
    </cacheField>
    <cacheField name="REINGRESO" numFmtId="0">
      <sharedItems containsNonDate="0" containsDate="1" containsString="0" containsBlank="1" minDate="2022-06-22T00:00:00" maxDate="2022-11-12T00:00:00"/>
    </cacheField>
    <cacheField name="DP" numFmtId="0">
      <sharedItems containsBlank="1" containsMixedTypes="1" containsNumber="1" containsInteger="1" minValue="0" maxValue="93"/>
    </cacheField>
    <cacheField name="CLASIF ACC" numFmtId="0">
      <sharedItems containsBlank="1"/>
    </cacheField>
    <cacheField name="POTENCIAL_x000a_GRAVE - FATAL" numFmtId="0">
      <sharedItems containsBlank="1" containsMixedTypes="1" containsNumber="1" containsInteger="1" minValue="0" maxValue="0"/>
    </cacheField>
    <cacheField name="CLASIFICACION LGF" numFmtId="0">
      <sharedItems containsBlank="1"/>
    </cacheField>
    <cacheField name="AREA" numFmtId="0">
      <sharedItems containsBlank="1" count="13">
        <s v="TROZADO DE POLLO"/>
        <s v="SSGG"/>
        <s v="FAENACION"/>
        <s v="TROZADO DE PAVO"/>
        <s v="IQF Y CALIBRADO"/>
        <s v="MANTENCION"/>
        <s v="FRIGORIFICO"/>
        <s v="P. POSTERIORES"/>
        <s v="CALIDAD"/>
        <s v="BODEGA"/>
        <s v="PERSONAL"/>
        <m/>
        <s v="SUMINISTRO"/>
      </sharedItems>
    </cacheField>
    <cacheField name="SECCION" numFmtId="0">
      <sharedItems containsBlank="1" count="61">
        <s v="T. AUTOMATICO "/>
        <s v="ASEO OPERACIONAL"/>
        <s v="EVICERADO"/>
        <s v="TROZADO"/>
        <s v="DESHUESADO"/>
        <s v="CALIBRADO"/>
        <s v="IQF4"/>
        <s v="RECEPCION"/>
        <s v="CHILLER"/>
        <s v="SALA EMPAQUE"/>
        <s v="RECEPCION AVE VIVA"/>
        <s v="REPORTE DE CAJAS"/>
        <s v="CHILER DE AGUA"/>
        <s v="ICHIDA"/>
        <s v="CAMARA 208"/>
        <s v="DROP POINT"/>
        <s v="DESAGUE"/>
        <s v="TUNEL 4"/>
        <s v="SALA DE MAQUINA"/>
        <s v="DESPACHO"/>
        <s v="CALIDAD"/>
        <s v="DESHUEZADO"/>
        <s v="PULPA"/>
        <s v="SUMINISTROS"/>
        <s v="PROCESOS POSTERIORES"/>
        <s v="EVICERADO DE PAVO"/>
        <s v="EMPAQUE DE TUNEL"/>
        <s v="SALA IQF"/>
        <s v="CAMARA 305"/>
        <s v="FRIGORIFICO "/>
        <s v="SSGG"/>
        <s v="BODEGA DE INSUMOS "/>
        <s v="EVISCERADO POLLOS"/>
        <s v="CAMARA"/>
        <s v="PALETIZADO"/>
        <s v="MANTENCION"/>
        <s v="ISHIDA"/>
        <s v="LINEA IQF"/>
        <s v="IQF"/>
        <s v="COLGADO DE POLLO"/>
        <s v="EMPACADOR C"/>
        <s v="T. AUTOMATICO"/>
        <s v="ASEO PRE OPERACIONAL"/>
        <s v="DESHUESE PECHUGA POLLOS A"/>
        <s v="T.AUTOMATICO"/>
        <s v="LAVADO DE BANDEJAS"/>
        <s v="FAENA"/>
        <s v="CAMRA 208"/>
        <s v="P. POSTERIORES"/>
        <s v="TRAYECTO"/>
        <s v="T. PAVO"/>
        <m/>
        <s v="EVISCERADO DE POLLO"/>
        <s v="ASEO PREOPERACIONAL"/>
        <s v="RECEPCION DE AVES"/>
        <s v="DESPLUMADO DE POLLOS"/>
        <s v="EMBALAJE Y ETIQUETADO"/>
        <s v="LINIA ISHIDA"/>
        <s v="RECPCION DE POLLO"/>
        <s v="LAMINADO"/>
        <s v="CHILLER Y EMPAQUE POLLOS"/>
      </sharedItems>
    </cacheField>
    <cacheField name="CARGO" numFmtId="0">
      <sharedItems containsBlank="1"/>
    </cacheField>
    <cacheField name="LUGAR ACC" numFmtId="0">
      <sharedItems containsBlank="1"/>
    </cacheField>
    <cacheField name="MAQUINA, EQUIPO Y HERRAMIENTAS" numFmtId="0">
      <sharedItems containsBlank="1"/>
    </cacheField>
    <cacheField name="TURNO" numFmtId="0">
      <sharedItems containsBlank="1"/>
    </cacheField>
    <cacheField name="HORA" numFmtId="20">
      <sharedItems containsDate="1" containsBlank="1" containsMixedTypes="1" minDate="1899-12-30T00:05:00" maxDate="1899-12-30T23:54:00"/>
    </cacheField>
    <cacheField name="DIA" numFmtId="0">
      <sharedItems containsBlank="1"/>
    </cacheField>
    <cacheField name="SEMANA" numFmtId="0">
      <sharedItems containsBlank="1"/>
    </cacheField>
    <cacheField name="ADEXUS" numFmtId="0">
      <sharedItems containsString="0" containsBlank="1" containsNumber="1" containsInteger="1" minValue="14943" maxValue="14950"/>
    </cacheField>
    <cacheField name="NC" numFmtId="0">
      <sharedItems containsBlank="1"/>
    </cacheField>
    <cacheField name="JEFE AREA" numFmtId="0">
      <sharedItems containsBlank="1"/>
    </cacheField>
    <cacheField name="SUPERVISOR" numFmtId="0">
      <sharedItems containsBlank="1" count="51">
        <s v="RAMIRO RAMIREZ"/>
        <s v="SERGIO AQUEVEQUE"/>
        <s v="ERWIN GATICA"/>
        <s v="ROLANDO EMIHUEQUE"/>
        <s v="MARCELA MARDONES"/>
        <s v="RAFAEL ASTORGA"/>
        <s v="MAXIMO CAMPOS"/>
        <s v="CESAR CARTAGENA"/>
        <s v="FERNANDO FUENTEALBA"/>
        <s v="NICOLAS ROJAS"/>
        <s v="CRISTIAN DURAN"/>
        <s v="JOSE CARVALLO"/>
        <s v="JUAN VILLAVICENCIO"/>
        <s v="ARNALDO VERA"/>
        <s v="LUIS URBINA"/>
        <s v="MIGUEL HENRRIQUEZ"/>
        <s v="ANTONIO RIVAS"/>
        <s v="RONALD ONELL"/>
        <s v="ALEJANDRO SALAS"/>
        <s v="JONATHAN SANCHEZ"/>
        <s v="PATRICIO PALACIOS"/>
        <s v="MARCOS QUINTANILLA"/>
        <s v="DAVID ROJAS"/>
        <s v="DANIEL GONZALEZ "/>
        <s v="FRANCO VIDAL"/>
        <s v="SERGIO LETELIER"/>
        <s v="MAURICIO HERNANDEZ"/>
        <s v="SOLEDAD CARRASCO"/>
        <s v="ARIEL LOBOS"/>
        <s v=" "/>
        <s v="FRANCISCO SANCHEZ"/>
        <s v="JORGE MEZA"/>
        <s v="ALVARO URBINA"/>
        <s v="VICTORIA MILLARES"/>
        <s v="JAQUELINE PAVEZ"/>
        <s v="EMANUEL MELLADO "/>
        <s v="EDGAR HERNANDEZ "/>
        <m/>
        <s v="DAVID ROMO"/>
        <s v="JORDAN FARIAS"/>
        <s v="FRACISCO SANCHEZ"/>
        <s v="MARCO QUINTANILLA "/>
        <s v="JAQUELIN PAVEZ"/>
        <s v=" PATRICIO PALACIOS"/>
        <s v="ISMAEL SANTIS "/>
        <s v="ALEJANDRO TORRES"/>
        <s v="ANDRES MELILLAN "/>
        <s v="VICTOR GOMEZ"/>
        <s v="MANUEL GONZALEZ"/>
        <s v="JORGE CARVALLO" u="1"/>
        <s v="IGNACIO MEZA" u="1"/>
      </sharedItems>
    </cacheField>
    <cacheField name="EDAD" numFmtId="0">
      <sharedItems containsBlank="1" containsMixedTypes="1" containsNumber="1" containsInteger="1" minValue="18" maxValue="69"/>
    </cacheField>
    <cacheField name="AGENTE ACC" numFmtId="0">
      <sharedItems containsBlank="1" count="18">
        <s v="Materiales"/>
        <s v="Superficies de trabajo"/>
        <s v="Cuchillo"/>
        <s v="Producto quimico"/>
        <s v="Infraestructura"/>
        <s v="Cajas"/>
        <s v="Bins"/>
        <s v="Maquinarias"/>
        <s v="Pallet"/>
        <s v="Animales - Insectos"/>
        <s v="Materia Prima"/>
        <s v="Bandejas"/>
        <s v="Herramientas de mano"/>
        <s v="Equipos Transporte de carga"/>
        <s v="Otros"/>
        <s v="Vehículos"/>
        <m/>
        <s v="Equipo electricos"/>
      </sharedItems>
    </cacheField>
    <cacheField name="PARTE AFECTADA" numFmtId="0">
      <sharedItems containsBlank="1"/>
    </cacheField>
    <cacheField name="NATURALEZA DE LA LESION " numFmtId="0">
      <sharedItems containsBlank="1"/>
    </cacheField>
    <cacheField name="TIPO ACCIDENTE" numFmtId="0">
      <sharedItems containsBlank="1"/>
    </cacheField>
    <cacheField name="DESCRIPCION LESION" numFmtId="0">
      <sharedItems longText="1"/>
    </cacheField>
    <cacheField name="ACCION - CONDICION" numFmtId="0">
      <sharedItems containsBlank="1"/>
    </cacheField>
    <cacheField name="TRABAJO HABITUAL" numFmtId="0">
      <sharedItems containsBlank="1"/>
    </cacheField>
    <cacheField name="DERIVACION ACHS" numFmtId="0">
      <sharedItems containsBlank="1"/>
    </cacheField>
    <cacheField name="Experto de Turno" numFmtId="0">
      <sharedItems containsBlank="1"/>
    </cacheField>
    <cacheField name="Atencion SPA"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colas Gomez" refreshedDate="44932.354882291664" backgroundQuery="1" createdVersion="8" refreshedVersion="8" minRefreshableVersion="3" recordCount="0" supportSubquery="1" supportAdvancedDrill="1" xr:uid="{0D273EDC-8508-422A-9D4E-454535CA2417}">
  <cacheSource type="external" connectionId="1"/>
  <cacheFields count="3">
    <cacheField name="[Rango].[SECCION].[SECCION]" caption="SECCION" numFmtId="0" hierarchy="19" level="1">
      <sharedItems count="2">
        <s v="DESHUESADO"/>
        <s v="T. AUTOMATICO"/>
      </sharedItems>
    </cacheField>
    <cacheField name="[Measures].[Recuento de SECCION]" caption="Recuento de SECCION" numFmtId="0" hierarchy="44" level="32767"/>
    <cacheField name="[Rango].[AREA].[AREA]" caption="AREA" numFmtId="0" hierarchy="18" level="1">
      <sharedItems containsSemiMixedTypes="0" containsNonDate="0" containsString="0"/>
    </cacheField>
  </cacheFields>
  <cacheHierarchies count="48">
    <cacheHierarchy uniqueName="[Rango].[AÑO]" caption="AÑO" attribute="1" defaultMemberUniqueName="[Rango].[AÑO].[All]" allUniqueName="[Rango].[AÑO].[All]" dimensionUniqueName="[Rango]" displayFolder="" count="0" memberValueDatatype="130" unbalanced="0"/>
    <cacheHierarchy uniqueName="[Rango].[MES]" caption="MES" attribute="1" defaultMemberUniqueName="[Rango].[MES].[All]" allUniqueName="[Rango].[MES].[All]" dimensionUniqueName="[Rango]" displayFolder="" count="0" memberValueDatatype="130" unbalanced="0"/>
    <cacheHierarchy uniqueName="[Rango].[PLANTA]" caption="PLANTA" attribute="1" defaultMemberUniqueName="[Rango].[PLANTA].[All]" allUniqueName="[Rango].[PLANTA].[All]" dimensionUniqueName="[Rango]" displayFolder="" count="0" memberValueDatatype="130" unbalanced="0"/>
    <cacheHierarchy uniqueName="[Rango].[APELLIDOS]" caption="APELLIDOS" attribute="1" defaultMemberUniqueName="[Rango].[APELLIDOS].[All]" allUniqueName="[Rango].[APELLIDOS].[All]" dimensionUniqueName="[Rango]" displayFolder="" count="0" memberValueDatatype="130" unbalanced="0"/>
    <cacheHierarchy uniqueName="[Rango].[NOMBRE]" caption="NOMBRE" attribute="1" defaultMemberUniqueName="[Rango].[NOMBRE].[All]" allUniqueName="[Rango].[NOMBRE].[All]" dimensionUniqueName="[Rango]" displayFolder="" count="0" memberValueDatatype="130" unbalanced="0"/>
    <cacheHierarchy uniqueName="[Rango].[GENERO]" caption="GENERO" attribute="1" defaultMemberUniqueName="[Rango].[GENERO].[All]" allUniqueName="[Rango].[GENERO].[All]" dimensionUniqueName="[Rango]" displayFolder="" count="0" memberValueDatatype="130" unbalanced="0"/>
    <cacheHierarchy uniqueName="[Rango].[RUT]" caption="RUT" attribute="1" defaultMemberUniqueName="[Rango].[RUT].[All]" allUniqueName="[Rango].[RUT].[All]" dimensionUniqueName="[Rango]" displayFolder="" count="0" memberValueDatatype="130" unbalanced="0"/>
    <cacheHierarchy uniqueName="[Rango].[FECHA CONTRATO]" caption="FECHA CONTRATO" attribute="1" defaultMemberUniqueName="[Rango].[FECHA CONTRATO].[All]" allUniqueName="[Rango].[FECHA CONTRATO].[All]" dimensionUniqueName="[Rango]" displayFolder="" count="0" memberValueDatatype="130" unbalanced="0"/>
    <cacheHierarchy uniqueName="[Rango].[MESES INTERNO]" caption="MESES INTERNO" attribute="1" defaultMemberUniqueName="[Rango].[MESES INTERNO].[All]" allUniqueName="[Rango].[MESES INTERNO].[All]" dimensionUniqueName="[Rango]" displayFolder="" count="0" memberValueDatatype="130" unbalanced="0"/>
    <cacheHierarchy uniqueName="[Rango].[FECHA INCCIDENTE]" caption="FECHA INCCIDENTE" attribute="1" defaultMemberUniqueName="[Rango].[FECHA INCCIDENTE].[All]" allUniqueName="[Rango].[FECHA INCCIDENTE].[All]" dimensionUniqueName="[Rango]" displayFolder="" count="0" memberValueDatatype="130" unbalanced="0"/>
    <cacheHierarchy uniqueName="[Rango].[ANTIGÜEDAD]" caption="ANTIGÜEDAD" attribute="1" defaultMemberUniqueName="[Rango].[ANTIGÜEDAD].[All]" allUniqueName="[Rango].[ANTIGÜEDAD].[All]" dimensionUniqueName="[Rango]" displayFolder="" count="0" memberValueDatatype="130" unbalanced="0"/>
    <cacheHierarchy uniqueName="[Rango].[FECHA INGRESO MUTUALIDAD]" caption="FECHA INGRESO MUTUALIDAD" attribute="1" defaultMemberUniqueName="[Rango].[FECHA INGRESO MUTUALIDAD].[All]" allUniqueName="[Rango].[FECHA INGRESO MUTUALIDAD].[All]" dimensionUniqueName="[Rango]" displayFolder="" count="0" memberValueDatatype="130" unbalanced="0"/>
    <cacheHierarchy uniqueName="[Rango].[FECHA ALTA]" caption="FECHA ALTA" attribute="1" defaultMemberUniqueName="[Rango].[FECHA ALTA].[All]" allUniqueName="[Rango].[FECHA ALTA].[All]" dimensionUniqueName="[Rango]" displayFolder="" count="0" memberValueDatatype="130" unbalanced="0"/>
    <cacheHierarchy uniqueName="[Rango].[REINGRESO]" caption="REINGRESO" attribute="1" time="1" defaultMemberUniqueName="[Rango].[REINGRESO].[All]" allUniqueName="[Rango].[REINGRESO].[All]" dimensionUniqueName="[Rango]" displayFolder="" count="0" memberValueDatatype="7" unbalanced="0"/>
    <cacheHierarchy uniqueName="[Rango].[DP]" caption="DP" attribute="1" defaultMemberUniqueName="[Rango].[DP].[All]" allUniqueName="[Rango].[DP].[All]" dimensionUniqueName="[Rango]" displayFolder="" count="0" memberValueDatatype="130" unbalanced="0"/>
    <cacheHierarchy uniqueName="[Rango].[CLASIF ACC]" caption="CLASIF ACC" attribute="1" defaultMemberUniqueName="[Rango].[CLASIF ACC].[All]" allUniqueName="[Rango].[CLASIF ACC].[All]" dimensionUniqueName="[Rango]" displayFolder="" count="0" memberValueDatatype="130" unbalanced="0"/>
    <cacheHierarchy uniqueName="[Rango].[POTENCIAL GRAVE - FATAL]" caption="POTENCIAL GRAVE - FATAL" attribute="1" defaultMemberUniqueName="[Rango].[POTENCIAL GRAVE - FATAL].[All]" allUniqueName="[Rango].[POTENCIAL GRAVE - FATAL].[All]" dimensionUniqueName="[Rango]" displayFolder="" count="0" memberValueDatatype="130" unbalanced="0"/>
    <cacheHierarchy uniqueName="[Rango].[CLASIFICACION LGF]" caption="CLASIFICACION LGF" attribute="1" defaultMemberUniqueName="[Rango].[CLASIFICACION LGF].[All]" allUniqueName="[Rango].[CLASIFICACION LGF].[All]" dimensionUniqueName="[Rango]" displayFolder="" count="0" memberValueDatatype="130" unbalanced="0"/>
    <cacheHierarchy uniqueName="[Rango].[AREA]" caption="AREA" attribute="1" defaultMemberUniqueName="[Rango].[AREA].[All]" allUniqueName="[Rango].[AREA].[All]" dimensionUniqueName="[Rango]" displayFolder="" count="2" memberValueDatatype="130" unbalanced="0">
      <fieldsUsage count="2">
        <fieldUsage x="-1"/>
        <fieldUsage x="2"/>
      </fieldsUsage>
    </cacheHierarchy>
    <cacheHierarchy uniqueName="[Rango].[SECCION]" caption="SECCION" attribute="1" defaultMemberUniqueName="[Rango].[SECCION].[All]" allUniqueName="[Rango].[SECCION].[All]" dimensionUniqueName="[Rango]" displayFolder="" count="2" memberValueDatatype="130" unbalanced="0">
      <fieldsUsage count="2">
        <fieldUsage x="-1"/>
        <fieldUsage x="0"/>
      </fieldsUsage>
    </cacheHierarchy>
    <cacheHierarchy uniqueName="[Rango].[CARGO]" caption="CARGO" attribute="1" defaultMemberUniqueName="[Rango].[CARGO].[All]" allUniqueName="[Rango].[CARGO].[All]" dimensionUniqueName="[Rango]" displayFolder="" count="0" memberValueDatatype="130" unbalanced="0"/>
    <cacheHierarchy uniqueName="[Rango].[LUGAR ACC]" caption="LUGAR ACC" attribute="1" defaultMemberUniqueName="[Rango].[LUGAR ACC].[All]" allUniqueName="[Rango].[LUGAR ACC].[All]" dimensionUniqueName="[Rango]" displayFolder="" count="0" memberValueDatatype="130" unbalanced="0"/>
    <cacheHierarchy uniqueName="[Rango].[MAQUINA, EQUIPO Y HERRAMIENTAS]" caption="MAQUINA, EQUIPO Y HERRAMIENTAS" attribute="1" defaultMemberUniqueName="[Rango].[MAQUINA, EQUIPO Y HERRAMIENTAS].[All]" allUniqueName="[Rango].[MAQUINA, EQUIPO Y HERRAMIENTAS].[All]" dimensionUniqueName="[Rango]" displayFolder="" count="0" memberValueDatatype="130" unbalanced="0"/>
    <cacheHierarchy uniqueName="[Rango].[TURNO]" caption="TURNO" attribute="1" defaultMemberUniqueName="[Rango].[TURNO].[All]" allUniqueName="[Rango].[TURNO].[All]" dimensionUniqueName="[Rango]" displayFolder="" count="0" memberValueDatatype="130" unbalanced="0"/>
    <cacheHierarchy uniqueName="[Rango].[HORA]" caption="HORA" attribute="1" defaultMemberUniqueName="[Rango].[HORA].[All]" allUniqueName="[Rango].[HORA].[All]" dimensionUniqueName="[Rango]" displayFolder="" count="0" memberValueDatatype="130" unbalanced="0"/>
    <cacheHierarchy uniqueName="[Rango].[DIA]" caption="DIA" attribute="1" defaultMemberUniqueName="[Rango].[DIA].[All]" allUniqueName="[Rango].[DIA].[All]" dimensionUniqueName="[Rango]" displayFolder="" count="0" memberValueDatatype="130" unbalanced="0"/>
    <cacheHierarchy uniqueName="[Rango].[SEMANA]" caption="SEMANA" attribute="1" defaultMemberUniqueName="[Rango].[SEMANA].[All]" allUniqueName="[Rango].[SEMANA].[All]" dimensionUniqueName="[Rango]" displayFolder="" count="0" memberValueDatatype="130" unbalanced="0"/>
    <cacheHierarchy uniqueName="[Rango].[ADEXUS]" caption="ADEXUS" attribute="1" defaultMemberUniqueName="[Rango].[ADEXUS].[All]" allUniqueName="[Rango].[ADEXUS].[All]" dimensionUniqueName="[Rango]" displayFolder="" count="0" memberValueDatatype="20" unbalanced="0"/>
    <cacheHierarchy uniqueName="[Rango].[NC]" caption="NC" attribute="1" defaultMemberUniqueName="[Rango].[NC].[All]" allUniqueName="[Rango].[NC].[All]" dimensionUniqueName="[Rango]" displayFolder="" count="0" memberValueDatatype="130" unbalanced="0"/>
    <cacheHierarchy uniqueName="[Rango].[JEFE AREA]" caption="JEFE AREA" attribute="1" defaultMemberUniqueName="[Rango].[JEFE AREA].[All]" allUniqueName="[Rango].[JEFE AREA].[All]" dimensionUniqueName="[Rango]" displayFolder="" count="0" memberValueDatatype="130" unbalanced="0"/>
    <cacheHierarchy uniqueName="[Rango].[SUPERVISOR]" caption="SUPERVISOR" attribute="1" defaultMemberUniqueName="[Rango].[SUPERVISOR].[All]" allUniqueName="[Rango].[SUPERVISOR].[All]" dimensionUniqueName="[Rango]" displayFolder="" count="0" memberValueDatatype="130" unbalanced="0"/>
    <cacheHierarchy uniqueName="[Rango].[EDAD]" caption="EDAD" attribute="1" defaultMemberUniqueName="[Rango].[EDAD].[All]" allUniqueName="[Rango].[EDAD].[All]" dimensionUniqueName="[Rango]" displayFolder="" count="0" memberValueDatatype="130" unbalanced="0"/>
    <cacheHierarchy uniqueName="[Rango].[AGENTE ACC]" caption="AGENTE ACC" attribute="1" defaultMemberUniqueName="[Rango].[AGENTE ACC].[All]" allUniqueName="[Rango].[AGENTE ACC].[All]" dimensionUniqueName="[Rango]" displayFolder="" count="0" memberValueDatatype="130" unbalanced="0"/>
    <cacheHierarchy uniqueName="[Rango].[PARTE AFECTADA]" caption="PARTE AFECTADA" attribute="1" defaultMemberUniqueName="[Rango].[PARTE AFECTADA].[All]" allUniqueName="[Rango].[PARTE AFECTADA].[All]" dimensionUniqueName="[Rango]" displayFolder="" count="0" memberValueDatatype="130" unbalanced="0"/>
    <cacheHierarchy uniqueName="[Rango].[NATURALEZA DE LA LESION]" caption="NATURALEZA DE LA LESION" attribute="1" defaultMemberUniqueName="[Rango].[NATURALEZA DE LA LESION].[All]" allUniqueName="[Rango].[NATURALEZA DE LA LESION].[All]" dimensionUniqueName="[Rango]" displayFolder="" count="0" memberValueDatatype="130" unbalanced="0"/>
    <cacheHierarchy uniqueName="[Rango].[TIPO ACCIDENTE]" caption="TIPO ACCIDENTE" attribute="1" defaultMemberUniqueName="[Rango].[TIPO ACCIDENTE].[All]" allUniqueName="[Rango].[TIPO ACCIDENTE].[All]" dimensionUniqueName="[Rango]" displayFolder="" count="0" memberValueDatatype="130" unbalanced="0"/>
    <cacheHierarchy uniqueName="[Rango].[DESCRIPCION LESION]" caption="DESCRIPCION LESION" attribute="1" defaultMemberUniqueName="[Rango].[DESCRIPCION LESION].[All]" allUniqueName="[Rango].[DESCRIPCION LESION].[All]" dimensionUniqueName="[Rango]" displayFolder="" count="0" memberValueDatatype="130" unbalanced="0"/>
    <cacheHierarchy uniqueName="[Rango].[ACCION - CONDICION]" caption="ACCION - CONDICION" attribute="1" defaultMemberUniqueName="[Rango].[ACCION - CONDICION].[All]" allUniqueName="[Rango].[ACCION - CONDICION].[All]" dimensionUniqueName="[Rango]" displayFolder="" count="0" memberValueDatatype="130" unbalanced="0"/>
    <cacheHierarchy uniqueName="[Rango].[TRABAJO HABITUAL]" caption="TRABAJO HABITUAL" attribute="1" defaultMemberUniqueName="[Rango].[TRABAJO HABITUAL].[All]" allUniqueName="[Rango].[TRABAJO HABITUAL].[All]" dimensionUniqueName="[Rango]" displayFolder="" count="0" memberValueDatatype="130" unbalanced="0"/>
    <cacheHierarchy uniqueName="[Rango].[DERIVACION ACHS]" caption="DERIVACION ACHS" attribute="1" defaultMemberUniqueName="[Rango].[DERIVACION ACHS].[All]" allUniqueName="[Rango].[DERIVACION ACHS].[All]" dimensionUniqueName="[Rango]" displayFolder="" count="0" memberValueDatatype="130" unbalanced="0"/>
    <cacheHierarchy uniqueName="[Rango].[Experto de Turno]" caption="Experto de Turno" attribute="1" defaultMemberUniqueName="[Rango].[Experto de Turno].[All]" allUniqueName="[Rango].[Experto de Turno].[All]" dimensionUniqueName="[Rango]" displayFolder="" count="0" memberValueDatatype="130" unbalanced="0"/>
    <cacheHierarchy uniqueName="[Rango].[Atencion SPA]" caption="Atencion SPA" attribute="1" defaultMemberUniqueName="[Rango].[Atencion SPA].[All]" allUniqueName="[Rango].[Atencion SPA].[All]" dimensionUniqueName="[Rango]" displayFolder="" count="0" memberValueDatatype="130" unbalanced="0"/>
    <cacheHierarchy uniqueName="[Measures].[__XL_Count Rango]" caption="__XL_Count Rango" measure="1" displayFolder="" measureGroup="Rango" count="0" hidden="1"/>
    <cacheHierarchy uniqueName="[Measures].[__No measures defined]" caption="__No measures defined" measure="1" displayFolder="" count="0" hidden="1"/>
    <cacheHierarchy uniqueName="[Measures].[Recuento de SECCION]" caption="Recuento de SECCION" measure="1" displayFolder="" measureGroup="Rango" count="0" oneField="1" hidden="1">
      <fieldsUsage count="1">
        <fieldUsage x="1"/>
      </fieldsUsage>
      <extLst>
        <ext xmlns:x15="http://schemas.microsoft.com/office/spreadsheetml/2010/11/main" uri="{B97F6D7D-B522-45F9-BDA1-12C45D357490}">
          <x15:cacheHierarchy aggregatedColumn="19"/>
        </ext>
      </extLst>
    </cacheHierarchy>
    <cacheHierarchy uniqueName="[Measures].[Recuento de PARTE AFECTADA]" caption="Recuento de PARTE AFECTADA" measure="1" displayFolder="" measureGroup="Rango" count="0" hidden="1">
      <extLst>
        <ext xmlns:x15="http://schemas.microsoft.com/office/spreadsheetml/2010/11/main" uri="{B97F6D7D-B522-45F9-BDA1-12C45D357490}">
          <x15:cacheHierarchy aggregatedColumn="33"/>
        </ext>
      </extLst>
    </cacheHierarchy>
    <cacheHierarchy uniqueName="[Measures].[Recuento de NATURALEZA DE LA LESION]" caption="Recuento de NATURALEZA DE LA LESION" measure="1" displayFolder="" measureGroup="Rango" count="0" hidden="1">
      <extLst>
        <ext xmlns:x15="http://schemas.microsoft.com/office/spreadsheetml/2010/11/main" uri="{B97F6D7D-B522-45F9-BDA1-12C45D357490}">
          <x15:cacheHierarchy aggregatedColumn="34"/>
        </ext>
      </extLst>
    </cacheHierarchy>
    <cacheHierarchy uniqueName="[Measures].[Recuento de TIPO ACCIDENTE]" caption="Recuento de TIPO ACCIDENTE" measure="1" displayFolder="" measureGroup="Rango" count="0" hidden="1">
      <extLst>
        <ext xmlns:x15="http://schemas.microsoft.com/office/spreadsheetml/2010/11/main" uri="{B97F6D7D-B522-45F9-BDA1-12C45D357490}">
          <x15:cacheHierarchy aggregatedColumn="35"/>
        </ext>
      </extLst>
    </cacheHierarchy>
  </cacheHierarchies>
  <kpis count="0"/>
  <dimensions count="2">
    <dimension measure="1" name="Measures" uniqueName="[Measures]" caption="Measures"/>
    <dimension name="Rango" uniqueName="[Rango]" caption="Rango"/>
  </dimensions>
  <measureGroups count="1">
    <measureGroup name="Rango" caption="Rango"/>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colas Gomez" refreshedDate="44932.450477893515" backgroundQuery="1" createdVersion="8" refreshedVersion="8" minRefreshableVersion="3" recordCount="0" supportSubquery="1" supportAdvancedDrill="1" xr:uid="{8F8409DF-575A-4D26-A0F1-1DE5F7B7538D}">
  <cacheSource type="external" connectionId="1"/>
  <cacheFields count="3">
    <cacheField name="[Rango].[AREA].[AREA]" caption="AREA" numFmtId="0" hierarchy="18" level="1">
      <sharedItems count="1">
        <s v="TROZADO DE POLLO"/>
      </sharedItems>
    </cacheField>
    <cacheField name="[Rango].[TIPO ACCIDENTE].[TIPO ACCIDENTE]" caption="TIPO ACCIDENTE" numFmtId="0" hierarchy="35" level="1">
      <sharedItems count="10">
        <s v="Atrapamiento"/>
        <s v="Caida de distinto nivel"/>
        <s v="Caida de mismo nivel"/>
        <s v="Contacto con cuerpo cortante"/>
        <s v="Contacto con sustancias toxicas"/>
        <s v="Golpeado contra"/>
        <s v="Golpeado por"/>
        <s v="Otros"/>
        <s v="Proyeccion de particulas"/>
        <s v="Sobreesfuerzo"/>
      </sharedItems>
    </cacheField>
    <cacheField name="[Measures].[Recuento de TIPO ACCIDENTE]" caption="Recuento de TIPO ACCIDENTE" numFmtId="0" hierarchy="47" level="32767"/>
  </cacheFields>
  <cacheHierarchies count="48">
    <cacheHierarchy uniqueName="[Rango].[AÑO]" caption="AÑO" attribute="1" defaultMemberUniqueName="[Rango].[AÑO].[All]" allUniqueName="[Rango].[AÑO].[All]" dimensionUniqueName="[Rango]" displayFolder="" count="0" memberValueDatatype="130" unbalanced="0"/>
    <cacheHierarchy uniqueName="[Rango].[MES]" caption="MES" attribute="1" defaultMemberUniqueName="[Rango].[MES].[All]" allUniqueName="[Rango].[MES].[All]" dimensionUniqueName="[Rango]" displayFolder="" count="0" memberValueDatatype="130" unbalanced="0"/>
    <cacheHierarchy uniqueName="[Rango].[PLANTA]" caption="PLANTA" attribute="1" defaultMemberUniqueName="[Rango].[PLANTA].[All]" allUniqueName="[Rango].[PLANTA].[All]" dimensionUniqueName="[Rango]" displayFolder="" count="0" memberValueDatatype="130" unbalanced="0"/>
    <cacheHierarchy uniqueName="[Rango].[APELLIDOS]" caption="APELLIDOS" attribute="1" defaultMemberUniqueName="[Rango].[APELLIDOS].[All]" allUniqueName="[Rango].[APELLIDOS].[All]" dimensionUniqueName="[Rango]" displayFolder="" count="0" memberValueDatatype="130" unbalanced="0"/>
    <cacheHierarchy uniqueName="[Rango].[NOMBRE]" caption="NOMBRE" attribute="1" defaultMemberUniqueName="[Rango].[NOMBRE].[All]" allUniqueName="[Rango].[NOMBRE].[All]" dimensionUniqueName="[Rango]" displayFolder="" count="0" memberValueDatatype="130" unbalanced="0"/>
    <cacheHierarchy uniqueName="[Rango].[GENERO]" caption="GENERO" attribute="1" defaultMemberUniqueName="[Rango].[GENERO].[All]" allUniqueName="[Rango].[GENERO].[All]" dimensionUniqueName="[Rango]" displayFolder="" count="0" memberValueDatatype="130" unbalanced="0"/>
    <cacheHierarchy uniqueName="[Rango].[RUT]" caption="RUT" attribute="1" defaultMemberUniqueName="[Rango].[RUT].[All]" allUniqueName="[Rango].[RUT].[All]" dimensionUniqueName="[Rango]" displayFolder="" count="0" memberValueDatatype="130" unbalanced="0"/>
    <cacheHierarchy uniqueName="[Rango].[FECHA CONTRATO]" caption="FECHA CONTRATO" attribute="1" defaultMemberUniqueName="[Rango].[FECHA CONTRATO].[All]" allUniqueName="[Rango].[FECHA CONTRATO].[All]" dimensionUniqueName="[Rango]" displayFolder="" count="0" memberValueDatatype="130" unbalanced="0"/>
    <cacheHierarchy uniqueName="[Rango].[MESES INTERNO]" caption="MESES INTERNO" attribute="1" defaultMemberUniqueName="[Rango].[MESES INTERNO].[All]" allUniqueName="[Rango].[MESES INTERNO].[All]" dimensionUniqueName="[Rango]" displayFolder="" count="0" memberValueDatatype="130" unbalanced="0"/>
    <cacheHierarchy uniqueName="[Rango].[FECHA INCCIDENTE]" caption="FECHA INCCIDENTE" attribute="1" defaultMemberUniqueName="[Rango].[FECHA INCCIDENTE].[All]" allUniqueName="[Rango].[FECHA INCCIDENTE].[All]" dimensionUniqueName="[Rango]" displayFolder="" count="0" memberValueDatatype="130" unbalanced="0"/>
    <cacheHierarchy uniqueName="[Rango].[ANTIGÜEDAD]" caption="ANTIGÜEDAD" attribute="1" defaultMemberUniqueName="[Rango].[ANTIGÜEDAD].[All]" allUniqueName="[Rango].[ANTIGÜEDAD].[All]" dimensionUniqueName="[Rango]" displayFolder="" count="0" memberValueDatatype="130" unbalanced="0"/>
    <cacheHierarchy uniqueName="[Rango].[FECHA INGRESO MUTUALIDAD]" caption="FECHA INGRESO MUTUALIDAD" attribute="1" defaultMemberUniqueName="[Rango].[FECHA INGRESO MUTUALIDAD].[All]" allUniqueName="[Rango].[FECHA INGRESO MUTUALIDAD].[All]" dimensionUniqueName="[Rango]" displayFolder="" count="0" memberValueDatatype="130" unbalanced="0"/>
    <cacheHierarchy uniqueName="[Rango].[FECHA ALTA]" caption="FECHA ALTA" attribute="1" defaultMemberUniqueName="[Rango].[FECHA ALTA].[All]" allUniqueName="[Rango].[FECHA ALTA].[All]" dimensionUniqueName="[Rango]" displayFolder="" count="0" memberValueDatatype="130" unbalanced="0"/>
    <cacheHierarchy uniqueName="[Rango].[REINGRESO]" caption="REINGRESO" attribute="1" time="1" defaultMemberUniqueName="[Rango].[REINGRESO].[All]" allUniqueName="[Rango].[REINGRESO].[All]" dimensionUniqueName="[Rango]" displayFolder="" count="0" memberValueDatatype="7" unbalanced="0"/>
    <cacheHierarchy uniqueName="[Rango].[DP]" caption="DP" attribute="1" defaultMemberUniqueName="[Rango].[DP].[All]" allUniqueName="[Rango].[DP].[All]" dimensionUniqueName="[Rango]" displayFolder="" count="0" memberValueDatatype="130" unbalanced="0"/>
    <cacheHierarchy uniqueName="[Rango].[CLASIF ACC]" caption="CLASIF ACC" attribute="1" defaultMemberUniqueName="[Rango].[CLASIF ACC].[All]" allUniqueName="[Rango].[CLASIF ACC].[All]" dimensionUniqueName="[Rango]" displayFolder="" count="0" memberValueDatatype="130" unbalanced="0"/>
    <cacheHierarchy uniqueName="[Rango].[POTENCIAL GRAVE - FATAL]" caption="POTENCIAL GRAVE - FATAL" attribute="1" defaultMemberUniqueName="[Rango].[POTENCIAL GRAVE - FATAL].[All]" allUniqueName="[Rango].[POTENCIAL GRAVE - FATAL].[All]" dimensionUniqueName="[Rango]" displayFolder="" count="0" memberValueDatatype="130" unbalanced="0"/>
    <cacheHierarchy uniqueName="[Rango].[CLASIFICACION LGF]" caption="CLASIFICACION LGF" attribute="1" defaultMemberUniqueName="[Rango].[CLASIFICACION LGF].[All]" allUniqueName="[Rango].[CLASIFICACION LGF].[All]" dimensionUniqueName="[Rango]" displayFolder="" count="0" memberValueDatatype="130" unbalanced="0"/>
    <cacheHierarchy uniqueName="[Rango].[AREA]" caption="AREA" attribute="1" defaultMemberUniqueName="[Rango].[AREA].[All]" allUniqueName="[Rango].[AREA].[All]" dimensionUniqueName="[Rango]" displayFolder="" count="2" memberValueDatatype="130" unbalanced="0">
      <fieldsUsage count="2">
        <fieldUsage x="-1"/>
        <fieldUsage x="0"/>
      </fieldsUsage>
    </cacheHierarchy>
    <cacheHierarchy uniqueName="[Rango].[SECCION]" caption="SECCION" attribute="1" defaultMemberUniqueName="[Rango].[SECCION].[All]" allUniqueName="[Rango].[SECCION].[All]" dimensionUniqueName="[Rango]" displayFolder="" count="0" memberValueDatatype="130" unbalanced="0"/>
    <cacheHierarchy uniqueName="[Rango].[CARGO]" caption="CARGO" attribute="1" defaultMemberUniqueName="[Rango].[CARGO].[All]" allUniqueName="[Rango].[CARGO].[All]" dimensionUniqueName="[Rango]" displayFolder="" count="0" memberValueDatatype="130" unbalanced="0"/>
    <cacheHierarchy uniqueName="[Rango].[LUGAR ACC]" caption="LUGAR ACC" attribute="1" defaultMemberUniqueName="[Rango].[LUGAR ACC].[All]" allUniqueName="[Rango].[LUGAR ACC].[All]" dimensionUniqueName="[Rango]" displayFolder="" count="0" memberValueDatatype="130" unbalanced="0"/>
    <cacheHierarchy uniqueName="[Rango].[MAQUINA, EQUIPO Y HERRAMIENTAS]" caption="MAQUINA, EQUIPO Y HERRAMIENTAS" attribute="1" defaultMemberUniqueName="[Rango].[MAQUINA, EQUIPO Y HERRAMIENTAS].[All]" allUniqueName="[Rango].[MAQUINA, EQUIPO Y HERRAMIENTAS].[All]" dimensionUniqueName="[Rango]" displayFolder="" count="0" memberValueDatatype="130" unbalanced="0"/>
    <cacheHierarchy uniqueName="[Rango].[TURNO]" caption="TURNO" attribute="1" defaultMemberUniqueName="[Rango].[TURNO].[All]" allUniqueName="[Rango].[TURNO].[All]" dimensionUniqueName="[Rango]" displayFolder="" count="0" memberValueDatatype="130" unbalanced="0"/>
    <cacheHierarchy uniqueName="[Rango].[HORA]" caption="HORA" attribute="1" defaultMemberUniqueName="[Rango].[HORA].[All]" allUniqueName="[Rango].[HORA].[All]" dimensionUniqueName="[Rango]" displayFolder="" count="0" memberValueDatatype="130" unbalanced="0"/>
    <cacheHierarchy uniqueName="[Rango].[DIA]" caption="DIA" attribute="1" defaultMemberUniqueName="[Rango].[DIA].[All]" allUniqueName="[Rango].[DIA].[All]" dimensionUniqueName="[Rango]" displayFolder="" count="0" memberValueDatatype="130" unbalanced="0"/>
    <cacheHierarchy uniqueName="[Rango].[SEMANA]" caption="SEMANA" attribute="1" defaultMemberUniqueName="[Rango].[SEMANA].[All]" allUniqueName="[Rango].[SEMANA].[All]" dimensionUniqueName="[Rango]" displayFolder="" count="0" memberValueDatatype="130" unbalanced="0"/>
    <cacheHierarchy uniqueName="[Rango].[ADEXUS]" caption="ADEXUS" attribute="1" defaultMemberUniqueName="[Rango].[ADEXUS].[All]" allUniqueName="[Rango].[ADEXUS].[All]" dimensionUniqueName="[Rango]" displayFolder="" count="0" memberValueDatatype="20" unbalanced="0"/>
    <cacheHierarchy uniqueName="[Rango].[NC]" caption="NC" attribute="1" defaultMemberUniqueName="[Rango].[NC].[All]" allUniqueName="[Rango].[NC].[All]" dimensionUniqueName="[Rango]" displayFolder="" count="0" memberValueDatatype="130" unbalanced="0"/>
    <cacheHierarchy uniqueName="[Rango].[JEFE AREA]" caption="JEFE AREA" attribute="1" defaultMemberUniqueName="[Rango].[JEFE AREA].[All]" allUniqueName="[Rango].[JEFE AREA].[All]" dimensionUniqueName="[Rango]" displayFolder="" count="0" memberValueDatatype="130" unbalanced="0"/>
    <cacheHierarchy uniqueName="[Rango].[SUPERVISOR]" caption="SUPERVISOR" attribute="1" defaultMemberUniqueName="[Rango].[SUPERVISOR].[All]" allUniqueName="[Rango].[SUPERVISOR].[All]" dimensionUniqueName="[Rango]" displayFolder="" count="0" memberValueDatatype="130" unbalanced="0"/>
    <cacheHierarchy uniqueName="[Rango].[EDAD]" caption="EDAD" attribute="1" defaultMemberUniqueName="[Rango].[EDAD].[All]" allUniqueName="[Rango].[EDAD].[All]" dimensionUniqueName="[Rango]" displayFolder="" count="0" memberValueDatatype="130" unbalanced="0"/>
    <cacheHierarchy uniqueName="[Rango].[AGENTE ACC]" caption="AGENTE ACC" attribute="1" defaultMemberUniqueName="[Rango].[AGENTE ACC].[All]" allUniqueName="[Rango].[AGENTE ACC].[All]" dimensionUniqueName="[Rango]" displayFolder="" count="0" memberValueDatatype="130" unbalanced="0"/>
    <cacheHierarchy uniqueName="[Rango].[PARTE AFECTADA]" caption="PARTE AFECTADA" attribute="1" defaultMemberUniqueName="[Rango].[PARTE AFECTADA].[All]" allUniqueName="[Rango].[PARTE AFECTADA].[All]" dimensionUniqueName="[Rango]" displayFolder="" count="0" memberValueDatatype="130" unbalanced="0"/>
    <cacheHierarchy uniqueName="[Rango].[NATURALEZA DE LA LESION]" caption="NATURALEZA DE LA LESION" attribute="1" defaultMemberUniqueName="[Rango].[NATURALEZA DE LA LESION].[All]" allUniqueName="[Rango].[NATURALEZA DE LA LESION].[All]" dimensionUniqueName="[Rango]" displayFolder="" count="0" memberValueDatatype="130" unbalanced="0"/>
    <cacheHierarchy uniqueName="[Rango].[TIPO ACCIDENTE]" caption="TIPO ACCIDENTE" attribute="1" defaultMemberUniqueName="[Rango].[TIPO ACCIDENTE].[All]" allUniqueName="[Rango].[TIPO ACCIDENTE].[All]" dimensionUniqueName="[Rango]" displayFolder="" count="2" memberValueDatatype="130" unbalanced="0">
      <fieldsUsage count="2">
        <fieldUsage x="-1"/>
        <fieldUsage x="1"/>
      </fieldsUsage>
    </cacheHierarchy>
    <cacheHierarchy uniqueName="[Rango].[DESCRIPCION LESION]" caption="DESCRIPCION LESION" attribute="1" defaultMemberUniqueName="[Rango].[DESCRIPCION LESION].[All]" allUniqueName="[Rango].[DESCRIPCION LESION].[All]" dimensionUniqueName="[Rango]" displayFolder="" count="0" memberValueDatatype="130" unbalanced="0"/>
    <cacheHierarchy uniqueName="[Rango].[ACCION - CONDICION]" caption="ACCION - CONDICION" attribute="1" defaultMemberUniqueName="[Rango].[ACCION - CONDICION].[All]" allUniqueName="[Rango].[ACCION - CONDICION].[All]" dimensionUniqueName="[Rango]" displayFolder="" count="0" memberValueDatatype="130" unbalanced="0"/>
    <cacheHierarchy uniqueName="[Rango].[TRABAJO HABITUAL]" caption="TRABAJO HABITUAL" attribute="1" defaultMemberUniqueName="[Rango].[TRABAJO HABITUAL].[All]" allUniqueName="[Rango].[TRABAJO HABITUAL].[All]" dimensionUniqueName="[Rango]" displayFolder="" count="0" memberValueDatatype="130" unbalanced="0"/>
    <cacheHierarchy uniqueName="[Rango].[DERIVACION ACHS]" caption="DERIVACION ACHS" attribute="1" defaultMemberUniqueName="[Rango].[DERIVACION ACHS].[All]" allUniqueName="[Rango].[DERIVACION ACHS].[All]" dimensionUniqueName="[Rango]" displayFolder="" count="0" memberValueDatatype="130" unbalanced="0"/>
    <cacheHierarchy uniqueName="[Rango].[Experto de Turno]" caption="Experto de Turno" attribute="1" defaultMemberUniqueName="[Rango].[Experto de Turno].[All]" allUniqueName="[Rango].[Experto de Turno].[All]" dimensionUniqueName="[Rango]" displayFolder="" count="0" memberValueDatatype="130" unbalanced="0"/>
    <cacheHierarchy uniqueName="[Rango].[Atencion SPA]" caption="Atencion SPA" attribute="1" defaultMemberUniqueName="[Rango].[Atencion SPA].[All]" allUniqueName="[Rango].[Atencion SPA].[All]" dimensionUniqueName="[Rango]" displayFolder="" count="0" memberValueDatatype="130" unbalanced="0"/>
    <cacheHierarchy uniqueName="[Measures].[__XL_Count Rango]" caption="__XL_Count Rango" measure="1" displayFolder="" measureGroup="Rango" count="0" hidden="1"/>
    <cacheHierarchy uniqueName="[Measures].[__No measures defined]" caption="__No measures defined" measure="1" displayFolder="" count="0" hidden="1"/>
    <cacheHierarchy uniqueName="[Measures].[Recuento de SECCION]" caption="Recuento de SECCION" measure="1" displayFolder="" measureGroup="Rango" count="0" hidden="1">
      <extLst>
        <ext xmlns:x15="http://schemas.microsoft.com/office/spreadsheetml/2010/11/main" uri="{B97F6D7D-B522-45F9-BDA1-12C45D357490}">
          <x15:cacheHierarchy aggregatedColumn="19"/>
        </ext>
      </extLst>
    </cacheHierarchy>
    <cacheHierarchy uniqueName="[Measures].[Recuento de PARTE AFECTADA]" caption="Recuento de PARTE AFECTADA" measure="1" displayFolder="" measureGroup="Rango" count="0" hidden="1">
      <extLst>
        <ext xmlns:x15="http://schemas.microsoft.com/office/spreadsheetml/2010/11/main" uri="{B97F6D7D-B522-45F9-BDA1-12C45D357490}">
          <x15:cacheHierarchy aggregatedColumn="33"/>
        </ext>
      </extLst>
    </cacheHierarchy>
    <cacheHierarchy uniqueName="[Measures].[Recuento de NATURALEZA DE LA LESION]" caption="Recuento de NATURALEZA DE LA LESION" measure="1" displayFolder="" measureGroup="Rango" count="0" hidden="1">
      <extLst>
        <ext xmlns:x15="http://schemas.microsoft.com/office/spreadsheetml/2010/11/main" uri="{B97F6D7D-B522-45F9-BDA1-12C45D357490}">
          <x15:cacheHierarchy aggregatedColumn="34"/>
        </ext>
      </extLst>
    </cacheHierarchy>
    <cacheHierarchy uniqueName="[Measures].[Recuento de TIPO ACCIDENTE]" caption="Recuento de TIPO ACCIDENTE" measure="1" displayFolder="" measureGroup="Rango" count="0" oneField="1" hidden="1">
      <fieldsUsage count="1">
        <fieldUsage x="2"/>
      </fieldsUsage>
      <extLst>
        <ext xmlns:x15="http://schemas.microsoft.com/office/spreadsheetml/2010/11/main" uri="{B97F6D7D-B522-45F9-BDA1-12C45D357490}">
          <x15:cacheHierarchy aggregatedColumn="35"/>
        </ext>
      </extLst>
    </cacheHierarchy>
  </cacheHierarchies>
  <kpis count="0"/>
  <dimensions count="2">
    <dimension measure="1" name="Measures" uniqueName="[Measures]" caption="Measures"/>
    <dimension name="Rango" uniqueName="[Rango]" caption="Rango"/>
  </dimensions>
  <measureGroups count="1">
    <measureGroup name="Rango" caption="Rango"/>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colas Gomez" refreshedDate="44932.450556597221" backgroundQuery="1" createdVersion="8" refreshedVersion="8" minRefreshableVersion="3" recordCount="0" supportSubquery="1" supportAdvancedDrill="1" xr:uid="{DDAC74A7-F2CE-431F-9328-EE91521EB957}">
  <cacheSource type="external" connectionId="1"/>
  <cacheFields count="3">
    <cacheField name="[Rango].[AREA].[AREA]" caption="AREA" numFmtId="0" hierarchy="18" level="1">
      <sharedItems count="1">
        <s v="TROZADO DE POLLO"/>
      </sharedItems>
    </cacheField>
    <cacheField name="[Rango].[NATURALEZA DE LA LESION].[NATURALEZA DE LA LESION]" caption="NATURALEZA DE LA LESION" numFmtId="0" hierarchy="34" level="1">
      <sharedItems count="5">
        <s v="Conjuntivitis"/>
        <s v="Contusión"/>
        <s v="Herida cortante"/>
        <s v="Otros"/>
        <s v="Torsión"/>
      </sharedItems>
    </cacheField>
    <cacheField name="[Measures].[Recuento de NATURALEZA DE LA LESION]" caption="Recuento de NATURALEZA DE LA LESION" numFmtId="0" hierarchy="46" level="32767"/>
  </cacheFields>
  <cacheHierarchies count="48">
    <cacheHierarchy uniqueName="[Rango].[AÑO]" caption="AÑO" attribute="1" defaultMemberUniqueName="[Rango].[AÑO].[All]" allUniqueName="[Rango].[AÑO].[All]" dimensionUniqueName="[Rango]" displayFolder="" count="0" memberValueDatatype="130" unbalanced="0"/>
    <cacheHierarchy uniqueName="[Rango].[MES]" caption="MES" attribute="1" defaultMemberUniqueName="[Rango].[MES].[All]" allUniqueName="[Rango].[MES].[All]" dimensionUniqueName="[Rango]" displayFolder="" count="0" memberValueDatatype="130" unbalanced="0"/>
    <cacheHierarchy uniqueName="[Rango].[PLANTA]" caption="PLANTA" attribute="1" defaultMemberUniqueName="[Rango].[PLANTA].[All]" allUniqueName="[Rango].[PLANTA].[All]" dimensionUniqueName="[Rango]" displayFolder="" count="0" memberValueDatatype="130" unbalanced="0"/>
    <cacheHierarchy uniqueName="[Rango].[APELLIDOS]" caption="APELLIDOS" attribute="1" defaultMemberUniqueName="[Rango].[APELLIDOS].[All]" allUniqueName="[Rango].[APELLIDOS].[All]" dimensionUniqueName="[Rango]" displayFolder="" count="0" memberValueDatatype="130" unbalanced="0"/>
    <cacheHierarchy uniqueName="[Rango].[NOMBRE]" caption="NOMBRE" attribute="1" defaultMemberUniqueName="[Rango].[NOMBRE].[All]" allUniqueName="[Rango].[NOMBRE].[All]" dimensionUniqueName="[Rango]" displayFolder="" count="0" memberValueDatatype="130" unbalanced="0"/>
    <cacheHierarchy uniqueName="[Rango].[GENERO]" caption="GENERO" attribute="1" defaultMemberUniqueName="[Rango].[GENERO].[All]" allUniqueName="[Rango].[GENERO].[All]" dimensionUniqueName="[Rango]" displayFolder="" count="0" memberValueDatatype="130" unbalanced="0"/>
    <cacheHierarchy uniqueName="[Rango].[RUT]" caption="RUT" attribute="1" defaultMemberUniqueName="[Rango].[RUT].[All]" allUniqueName="[Rango].[RUT].[All]" dimensionUniqueName="[Rango]" displayFolder="" count="0" memberValueDatatype="130" unbalanced="0"/>
    <cacheHierarchy uniqueName="[Rango].[FECHA CONTRATO]" caption="FECHA CONTRATO" attribute="1" defaultMemberUniqueName="[Rango].[FECHA CONTRATO].[All]" allUniqueName="[Rango].[FECHA CONTRATO].[All]" dimensionUniqueName="[Rango]" displayFolder="" count="0" memberValueDatatype="130" unbalanced="0"/>
    <cacheHierarchy uniqueName="[Rango].[MESES INTERNO]" caption="MESES INTERNO" attribute="1" defaultMemberUniqueName="[Rango].[MESES INTERNO].[All]" allUniqueName="[Rango].[MESES INTERNO].[All]" dimensionUniqueName="[Rango]" displayFolder="" count="0" memberValueDatatype="130" unbalanced="0"/>
    <cacheHierarchy uniqueName="[Rango].[FECHA INCCIDENTE]" caption="FECHA INCCIDENTE" attribute="1" defaultMemberUniqueName="[Rango].[FECHA INCCIDENTE].[All]" allUniqueName="[Rango].[FECHA INCCIDENTE].[All]" dimensionUniqueName="[Rango]" displayFolder="" count="0" memberValueDatatype="130" unbalanced="0"/>
    <cacheHierarchy uniqueName="[Rango].[ANTIGÜEDAD]" caption="ANTIGÜEDAD" attribute="1" defaultMemberUniqueName="[Rango].[ANTIGÜEDAD].[All]" allUniqueName="[Rango].[ANTIGÜEDAD].[All]" dimensionUniqueName="[Rango]" displayFolder="" count="0" memberValueDatatype="130" unbalanced="0"/>
    <cacheHierarchy uniqueName="[Rango].[FECHA INGRESO MUTUALIDAD]" caption="FECHA INGRESO MUTUALIDAD" attribute="1" defaultMemberUniqueName="[Rango].[FECHA INGRESO MUTUALIDAD].[All]" allUniqueName="[Rango].[FECHA INGRESO MUTUALIDAD].[All]" dimensionUniqueName="[Rango]" displayFolder="" count="0" memberValueDatatype="130" unbalanced="0"/>
    <cacheHierarchy uniqueName="[Rango].[FECHA ALTA]" caption="FECHA ALTA" attribute="1" defaultMemberUniqueName="[Rango].[FECHA ALTA].[All]" allUniqueName="[Rango].[FECHA ALTA].[All]" dimensionUniqueName="[Rango]" displayFolder="" count="0" memberValueDatatype="130" unbalanced="0"/>
    <cacheHierarchy uniqueName="[Rango].[REINGRESO]" caption="REINGRESO" attribute="1" time="1" defaultMemberUniqueName="[Rango].[REINGRESO].[All]" allUniqueName="[Rango].[REINGRESO].[All]" dimensionUniqueName="[Rango]" displayFolder="" count="0" memberValueDatatype="7" unbalanced="0"/>
    <cacheHierarchy uniqueName="[Rango].[DP]" caption="DP" attribute="1" defaultMemberUniqueName="[Rango].[DP].[All]" allUniqueName="[Rango].[DP].[All]" dimensionUniqueName="[Rango]" displayFolder="" count="0" memberValueDatatype="130" unbalanced="0"/>
    <cacheHierarchy uniqueName="[Rango].[CLASIF ACC]" caption="CLASIF ACC" attribute="1" defaultMemberUniqueName="[Rango].[CLASIF ACC].[All]" allUniqueName="[Rango].[CLASIF ACC].[All]" dimensionUniqueName="[Rango]" displayFolder="" count="0" memberValueDatatype="130" unbalanced="0"/>
    <cacheHierarchy uniqueName="[Rango].[POTENCIAL GRAVE - FATAL]" caption="POTENCIAL GRAVE - FATAL" attribute="1" defaultMemberUniqueName="[Rango].[POTENCIAL GRAVE - FATAL].[All]" allUniqueName="[Rango].[POTENCIAL GRAVE - FATAL].[All]" dimensionUniqueName="[Rango]" displayFolder="" count="0" memberValueDatatype="130" unbalanced="0"/>
    <cacheHierarchy uniqueName="[Rango].[CLASIFICACION LGF]" caption="CLASIFICACION LGF" attribute="1" defaultMemberUniqueName="[Rango].[CLASIFICACION LGF].[All]" allUniqueName="[Rango].[CLASIFICACION LGF].[All]" dimensionUniqueName="[Rango]" displayFolder="" count="0" memberValueDatatype="130" unbalanced="0"/>
    <cacheHierarchy uniqueName="[Rango].[AREA]" caption="AREA" attribute="1" defaultMemberUniqueName="[Rango].[AREA].[All]" allUniqueName="[Rango].[AREA].[All]" dimensionUniqueName="[Rango]" displayFolder="" count="2" memberValueDatatype="130" unbalanced="0">
      <fieldsUsage count="2">
        <fieldUsage x="-1"/>
        <fieldUsage x="0"/>
      </fieldsUsage>
    </cacheHierarchy>
    <cacheHierarchy uniqueName="[Rango].[SECCION]" caption="SECCION" attribute="1" defaultMemberUniqueName="[Rango].[SECCION].[All]" allUniqueName="[Rango].[SECCION].[All]" dimensionUniqueName="[Rango]" displayFolder="" count="0" memberValueDatatype="130" unbalanced="0"/>
    <cacheHierarchy uniqueName="[Rango].[CARGO]" caption="CARGO" attribute="1" defaultMemberUniqueName="[Rango].[CARGO].[All]" allUniqueName="[Rango].[CARGO].[All]" dimensionUniqueName="[Rango]" displayFolder="" count="0" memberValueDatatype="130" unbalanced="0"/>
    <cacheHierarchy uniqueName="[Rango].[LUGAR ACC]" caption="LUGAR ACC" attribute="1" defaultMemberUniqueName="[Rango].[LUGAR ACC].[All]" allUniqueName="[Rango].[LUGAR ACC].[All]" dimensionUniqueName="[Rango]" displayFolder="" count="0" memberValueDatatype="130" unbalanced="0"/>
    <cacheHierarchy uniqueName="[Rango].[MAQUINA, EQUIPO Y HERRAMIENTAS]" caption="MAQUINA, EQUIPO Y HERRAMIENTAS" attribute="1" defaultMemberUniqueName="[Rango].[MAQUINA, EQUIPO Y HERRAMIENTAS].[All]" allUniqueName="[Rango].[MAQUINA, EQUIPO Y HERRAMIENTAS].[All]" dimensionUniqueName="[Rango]" displayFolder="" count="0" memberValueDatatype="130" unbalanced="0"/>
    <cacheHierarchy uniqueName="[Rango].[TURNO]" caption="TURNO" attribute="1" defaultMemberUniqueName="[Rango].[TURNO].[All]" allUniqueName="[Rango].[TURNO].[All]" dimensionUniqueName="[Rango]" displayFolder="" count="0" memberValueDatatype="130" unbalanced="0"/>
    <cacheHierarchy uniqueName="[Rango].[HORA]" caption="HORA" attribute="1" defaultMemberUniqueName="[Rango].[HORA].[All]" allUniqueName="[Rango].[HORA].[All]" dimensionUniqueName="[Rango]" displayFolder="" count="0" memberValueDatatype="130" unbalanced="0"/>
    <cacheHierarchy uniqueName="[Rango].[DIA]" caption="DIA" attribute="1" defaultMemberUniqueName="[Rango].[DIA].[All]" allUniqueName="[Rango].[DIA].[All]" dimensionUniqueName="[Rango]" displayFolder="" count="0" memberValueDatatype="130" unbalanced="0"/>
    <cacheHierarchy uniqueName="[Rango].[SEMANA]" caption="SEMANA" attribute="1" defaultMemberUniqueName="[Rango].[SEMANA].[All]" allUniqueName="[Rango].[SEMANA].[All]" dimensionUniqueName="[Rango]" displayFolder="" count="0" memberValueDatatype="130" unbalanced="0"/>
    <cacheHierarchy uniqueName="[Rango].[ADEXUS]" caption="ADEXUS" attribute="1" defaultMemberUniqueName="[Rango].[ADEXUS].[All]" allUniqueName="[Rango].[ADEXUS].[All]" dimensionUniqueName="[Rango]" displayFolder="" count="0" memberValueDatatype="20" unbalanced="0"/>
    <cacheHierarchy uniqueName="[Rango].[NC]" caption="NC" attribute="1" defaultMemberUniqueName="[Rango].[NC].[All]" allUniqueName="[Rango].[NC].[All]" dimensionUniqueName="[Rango]" displayFolder="" count="0" memberValueDatatype="130" unbalanced="0"/>
    <cacheHierarchy uniqueName="[Rango].[JEFE AREA]" caption="JEFE AREA" attribute="1" defaultMemberUniqueName="[Rango].[JEFE AREA].[All]" allUniqueName="[Rango].[JEFE AREA].[All]" dimensionUniqueName="[Rango]" displayFolder="" count="0" memberValueDatatype="130" unbalanced="0"/>
    <cacheHierarchy uniqueName="[Rango].[SUPERVISOR]" caption="SUPERVISOR" attribute="1" defaultMemberUniqueName="[Rango].[SUPERVISOR].[All]" allUniqueName="[Rango].[SUPERVISOR].[All]" dimensionUniqueName="[Rango]" displayFolder="" count="0" memberValueDatatype="130" unbalanced="0"/>
    <cacheHierarchy uniqueName="[Rango].[EDAD]" caption="EDAD" attribute="1" defaultMemberUniqueName="[Rango].[EDAD].[All]" allUniqueName="[Rango].[EDAD].[All]" dimensionUniqueName="[Rango]" displayFolder="" count="0" memberValueDatatype="130" unbalanced="0"/>
    <cacheHierarchy uniqueName="[Rango].[AGENTE ACC]" caption="AGENTE ACC" attribute="1" defaultMemberUniqueName="[Rango].[AGENTE ACC].[All]" allUniqueName="[Rango].[AGENTE ACC].[All]" dimensionUniqueName="[Rango]" displayFolder="" count="0" memberValueDatatype="130" unbalanced="0"/>
    <cacheHierarchy uniqueName="[Rango].[PARTE AFECTADA]" caption="PARTE AFECTADA" attribute="1" defaultMemberUniqueName="[Rango].[PARTE AFECTADA].[All]" allUniqueName="[Rango].[PARTE AFECTADA].[All]" dimensionUniqueName="[Rango]" displayFolder="" count="0" memberValueDatatype="130" unbalanced="0"/>
    <cacheHierarchy uniqueName="[Rango].[NATURALEZA DE LA LESION]" caption="NATURALEZA DE LA LESION" attribute="1" defaultMemberUniqueName="[Rango].[NATURALEZA DE LA LESION].[All]" allUniqueName="[Rango].[NATURALEZA DE LA LESION].[All]" dimensionUniqueName="[Rango]" displayFolder="" count="2" memberValueDatatype="130" unbalanced="0">
      <fieldsUsage count="2">
        <fieldUsage x="-1"/>
        <fieldUsage x="1"/>
      </fieldsUsage>
    </cacheHierarchy>
    <cacheHierarchy uniqueName="[Rango].[TIPO ACCIDENTE]" caption="TIPO ACCIDENTE" attribute="1" defaultMemberUniqueName="[Rango].[TIPO ACCIDENTE].[All]" allUniqueName="[Rango].[TIPO ACCIDENTE].[All]" dimensionUniqueName="[Rango]" displayFolder="" count="0" memberValueDatatype="130" unbalanced="0"/>
    <cacheHierarchy uniqueName="[Rango].[DESCRIPCION LESION]" caption="DESCRIPCION LESION" attribute="1" defaultMemberUniqueName="[Rango].[DESCRIPCION LESION].[All]" allUniqueName="[Rango].[DESCRIPCION LESION].[All]" dimensionUniqueName="[Rango]" displayFolder="" count="0" memberValueDatatype="130" unbalanced="0"/>
    <cacheHierarchy uniqueName="[Rango].[ACCION - CONDICION]" caption="ACCION - CONDICION" attribute="1" defaultMemberUniqueName="[Rango].[ACCION - CONDICION].[All]" allUniqueName="[Rango].[ACCION - CONDICION].[All]" dimensionUniqueName="[Rango]" displayFolder="" count="0" memberValueDatatype="130" unbalanced="0"/>
    <cacheHierarchy uniqueName="[Rango].[TRABAJO HABITUAL]" caption="TRABAJO HABITUAL" attribute="1" defaultMemberUniqueName="[Rango].[TRABAJO HABITUAL].[All]" allUniqueName="[Rango].[TRABAJO HABITUAL].[All]" dimensionUniqueName="[Rango]" displayFolder="" count="0" memberValueDatatype="130" unbalanced="0"/>
    <cacheHierarchy uniqueName="[Rango].[DERIVACION ACHS]" caption="DERIVACION ACHS" attribute="1" defaultMemberUniqueName="[Rango].[DERIVACION ACHS].[All]" allUniqueName="[Rango].[DERIVACION ACHS].[All]" dimensionUniqueName="[Rango]" displayFolder="" count="0" memberValueDatatype="130" unbalanced="0"/>
    <cacheHierarchy uniqueName="[Rango].[Experto de Turno]" caption="Experto de Turno" attribute="1" defaultMemberUniqueName="[Rango].[Experto de Turno].[All]" allUniqueName="[Rango].[Experto de Turno].[All]" dimensionUniqueName="[Rango]" displayFolder="" count="0" memberValueDatatype="130" unbalanced="0"/>
    <cacheHierarchy uniqueName="[Rango].[Atencion SPA]" caption="Atencion SPA" attribute="1" defaultMemberUniqueName="[Rango].[Atencion SPA].[All]" allUniqueName="[Rango].[Atencion SPA].[All]" dimensionUniqueName="[Rango]" displayFolder="" count="0" memberValueDatatype="130" unbalanced="0"/>
    <cacheHierarchy uniqueName="[Measures].[__XL_Count Rango]" caption="__XL_Count Rango" measure="1" displayFolder="" measureGroup="Rango" count="0" hidden="1"/>
    <cacheHierarchy uniqueName="[Measures].[__No measures defined]" caption="__No measures defined" measure="1" displayFolder="" count="0" hidden="1"/>
    <cacheHierarchy uniqueName="[Measures].[Recuento de SECCION]" caption="Recuento de SECCION" measure="1" displayFolder="" measureGroup="Rango" count="0" hidden="1">
      <extLst>
        <ext xmlns:x15="http://schemas.microsoft.com/office/spreadsheetml/2010/11/main" uri="{B97F6D7D-B522-45F9-BDA1-12C45D357490}">
          <x15:cacheHierarchy aggregatedColumn="19"/>
        </ext>
      </extLst>
    </cacheHierarchy>
    <cacheHierarchy uniqueName="[Measures].[Recuento de PARTE AFECTADA]" caption="Recuento de PARTE AFECTADA" measure="1" displayFolder="" measureGroup="Rango" count="0" hidden="1">
      <extLst>
        <ext xmlns:x15="http://schemas.microsoft.com/office/spreadsheetml/2010/11/main" uri="{B97F6D7D-B522-45F9-BDA1-12C45D357490}">
          <x15:cacheHierarchy aggregatedColumn="33"/>
        </ext>
      </extLst>
    </cacheHierarchy>
    <cacheHierarchy uniqueName="[Measures].[Recuento de NATURALEZA DE LA LESION]" caption="Recuento de NATURALEZA DE LA LESION" measure="1" displayFolder="" measureGroup="Rango" count="0" oneField="1" hidden="1">
      <fieldsUsage count="1">
        <fieldUsage x="2"/>
      </fieldsUsage>
      <extLst>
        <ext xmlns:x15="http://schemas.microsoft.com/office/spreadsheetml/2010/11/main" uri="{B97F6D7D-B522-45F9-BDA1-12C45D357490}">
          <x15:cacheHierarchy aggregatedColumn="34"/>
        </ext>
      </extLst>
    </cacheHierarchy>
    <cacheHierarchy uniqueName="[Measures].[Recuento de TIPO ACCIDENTE]" caption="Recuento de TIPO ACCIDENTE" measure="1" displayFolder="" measureGroup="Rango" count="0" hidden="1">
      <extLst>
        <ext xmlns:x15="http://schemas.microsoft.com/office/spreadsheetml/2010/11/main" uri="{B97F6D7D-B522-45F9-BDA1-12C45D357490}">
          <x15:cacheHierarchy aggregatedColumn="35"/>
        </ext>
      </extLst>
    </cacheHierarchy>
  </cacheHierarchies>
  <kpis count="0"/>
  <dimensions count="2">
    <dimension measure="1" name="Measures" uniqueName="[Measures]" caption="Measures"/>
    <dimension name="Rango" uniqueName="[Rango]" caption="Rango"/>
  </dimensions>
  <measureGroups count="1">
    <measureGroup name="Rango" caption="Rango"/>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colas Gomez" refreshedDate="44932.450647685182" backgroundQuery="1" createdVersion="8" refreshedVersion="8" minRefreshableVersion="3" recordCount="0" supportSubquery="1" supportAdvancedDrill="1" xr:uid="{F2AC400C-FCF4-4A4A-9A6C-92732B7DA793}">
  <cacheSource type="external" connectionId="1"/>
  <cacheFields count="3">
    <cacheField name="[Rango].[AREA].[AREA]" caption="AREA" numFmtId="0" hierarchy="18" level="1">
      <sharedItems count="1">
        <s v="TROZADO DE POLLO"/>
      </sharedItems>
    </cacheField>
    <cacheField name="[Rango].[PARTE AFECTADA].[PARTE AFECTADA]" caption="PARTE AFECTADA" numFmtId="0" hierarchy="33" level="1">
      <sharedItems count="12">
        <s v="Brazo"/>
        <s v="Cabeza"/>
        <s v="Espalda"/>
        <s v="Manos / dedos"/>
        <s v="Multiples"/>
        <s v="Ojos"/>
        <s v="Otro"/>
        <s v="Pelvis"/>
        <s v="Pie"/>
        <s v="Pierna"/>
        <s v="Rostro"/>
        <s v="Tronco"/>
      </sharedItems>
    </cacheField>
    <cacheField name="[Measures].[Recuento de PARTE AFECTADA]" caption="Recuento de PARTE AFECTADA" numFmtId="0" hierarchy="45" level="32767"/>
  </cacheFields>
  <cacheHierarchies count="48">
    <cacheHierarchy uniqueName="[Rango].[AÑO]" caption="AÑO" attribute="1" defaultMemberUniqueName="[Rango].[AÑO].[All]" allUniqueName="[Rango].[AÑO].[All]" dimensionUniqueName="[Rango]" displayFolder="" count="0" memberValueDatatype="130" unbalanced="0"/>
    <cacheHierarchy uniqueName="[Rango].[MES]" caption="MES" attribute="1" defaultMemberUniqueName="[Rango].[MES].[All]" allUniqueName="[Rango].[MES].[All]" dimensionUniqueName="[Rango]" displayFolder="" count="0" memberValueDatatype="130" unbalanced="0"/>
    <cacheHierarchy uniqueName="[Rango].[PLANTA]" caption="PLANTA" attribute="1" defaultMemberUniqueName="[Rango].[PLANTA].[All]" allUniqueName="[Rango].[PLANTA].[All]" dimensionUniqueName="[Rango]" displayFolder="" count="0" memberValueDatatype="130" unbalanced="0"/>
    <cacheHierarchy uniqueName="[Rango].[APELLIDOS]" caption="APELLIDOS" attribute="1" defaultMemberUniqueName="[Rango].[APELLIDOS].[All]" allUniqueName="[Rango].[APELLIDOS].[All]" dimensionUniqueName="[Rango]" displayFolder="" count="0" memberValueDatatype="130" unbalanced="0"/>
    <cacheHierarchy uniqueName="[Rango].[NOMBRE]" caption="NOMBRE" attribute="1" defaultMemberUniqueName="[Rango].[NOMBRE].[All]" allUniqueName="[Rango].[NOMBRE].[All]" dimensionUniqueName="[Rango]" displayFolder="" count="0" memberValueDatatype="130" unbalanced="0"/>
    <cacheHierarchy uniqueName="[Rango].[GENERO]" caption="GENERO" attribute="1" defaultMemberUniqueName="[Rango].[GENERO].[All]" allUniqueName="[Rango].[GENERO].[All]" dimensionUniqueName="[Rango]" displayFolder="" count="0" memberValueDatatype="130" unbalanced="0"/>
    <cacheHierarchy uniqueName="[Rango].[RUT]" caption="RUT" attribute="1" defaultMemberUniqueName="[Rango].[RUT].[All]" allUniqueName="[Rango].[RUT].[All]" dimensionUniqueName="[Rango]" displayFolder="" count="0" memberValueDatatype="130" unbalanced="0"/>
    <cacheHierarchy uniqueName="[Rango].[FECHA CONTRATO]" caption="FECHA CONTRATO" attribute="1" defaultMemberUniqueName="[Rango].[FECHA CONTRATO].[All]" allUniqueName="[Rango].[FECHA CONTRATO].[All]" dimensionUniqueName="[Rango]" displayFolder="" count="0" memberValueDatatype="130" unbalanced="0"/>
    <cacheHierarchy uniqueName="[Rango].[MESES INTERNO]" caption="MESES INTERNO" attribute="1" defaultMemberUniqueName="[Rango].[MESES INTERNO].[All]" allUniqueName="[Rango].[MESES INTERNO].[All]" dimensionUniqueName="[Rango]" displayFolder="" count="0" memberValueDatatype="130" unbalanced="0"/>
    <cacheHierarchy uniqueName="[Rango].[FECHA INCCIDENTE]" caption="FECHA INCCIDENTE" attribute="1" defaultMemberUniqueName="[Rango].[FECHA INCCIDENTE].[All]" allUniqueName="[Rango].[FECHA INCCIDENTE].[All]" dimensionUniqueName="[Rango]" displayFolder="" count="0" memberValueDatatype="130" unbalanced="0"/>
    <cacheHierarchy uniqueName="[Rango].[ANTIGÜEDAD]" caption="ANTIGÜEDAD" attribute="1" defaultMemberUniqueName="[Rango].[ANTIGÜEDAD].[All]" allUniqueName="[Rango].[ANTIGÜEDAD].[All]" dimensionUniqueName="[Rango]" displayFolder="" count="0" memberValueDatatype="130" unbalanced="0"/>
    <cacheHierarchy uniqueName="[Rango].[FECHA INGRESO MUTUALIDAD]" caption="FECHA INGRESO MUTUALIDAD" attribute="1" defaultMemberUniqueName="[Rango].[FECHA INGRESO MUTUALIDAD].[All]" allUniqueName="[Rango].[FECHA INGRESO MUTUALIDAD].[All]" dimensionUniqueName="[Rango]" displayFolder="" count="0" memberValueDatatype="130" unbalanced="0"/>
    <cacheHierarchy uniqueName="[Rango].[FECHA ALTA]" caption="FECHA ALTA" attribute="1" defaultMemberUniqueName="[Rango].[FECHA ALTA].[All]" allUniqueName="[Rango].[FECHA ALTA].[All]" dimensionUniqueName="[Rango]" displayFolder="" count="0" memberValueDatatype="130" unbalanced="0"/>
    <cacheHierarchy uniqueName="[Rango].[REINGRESO]" caption="REINGRESO" attribute="1" time="1" defaultMemberUniqueName="[Rango].[REINGRESO].[All]" allUniqueName="[Rango].[REINGRESO].[All]" dimensionUniqueName="[Rango]" displayFolder="" count="0" memberValueDatatype="7" unbalanced="0"/>
    <cacheHierarchy uniqueName="[Rango].[DP]" caption="DP" attribute="1" defaultMemberUniqueName="[Rango].[DP].[All]" allUniqueName="[Rango].[DP].[All]" dimensionUniqueName="[Rango]" displayFolder="" count="0" memberValueDatatype="130" unbalanced="0"/>
    <cacheHierarchy uniqueName="[Rango].[CLASIF ACC]" caption="CLASIF ACC" attribute="1" defaultMemberUniqueName="[Rango].[CLASIF ACC].[All]" allUniqueName="[Rango].[CLASIF ACC].[All]" dimensionUniqueName="[Rango]" displayFolder="" count="0" memberValueDatatype="130" unbalanced="0"/>
    <cacheHierarchy uniqueName="[Rango].[POTENCIAL GRAVE - FATAL]" caption="POTENCIAL GRAVE - FATAL" attribute="1" defaultMemberUniqueName="[Rango].[POTENCIAL GRAVE - FATAL].[All]" allUniqueName="[Rango].[POTENCIAL GRAVE - FATAL].[All]" dimensionUniqueName="[Rango]" displayFolder="" count="0" memberValueDatatype="130" unbalanced="0"/>
    <cacheHierarchy uniqueName="[Rango].[CLASIFICACION LGF]" caption="CLASIFICACION LGF" attribute="1" defaultMemberUniqueName="[Rango].[CLASIFICACION LGF].[All]" allUniqueName="[Rango].[CLASIFICACION LGF].[All]" dimensionUniqueName="[Rango]" displayFolder="" count="0" memberValueDatatype="130" unbalanced="0"/>
    <cacheHierarchy uniqueName="[Rango].[AREA]" caption="AREA" attribute="1" defaultMemberUniqueName="[Rango].[AREA].[All]" allUniqueName="[Rango].[AREA].[All]" dimensionUniqueName="[Rango]" displayFolder="" count="2" memberValueDatatype="130" unbalanced="0">
      <fieldsUsage count="2">
        <fieldUsage x="-1"/>
        <fieldUsage x="0"/>
      </fieldsUsage>
    </cacheHierarchy>
    <cacheHierarchy uniqueName="[Rango].[SECCION]" caption="SECCION" attribute="1" defaultMemberUniqueName="[Rango].[SECCION].[All]" allUniqueName="[Rango].[SECCION].[All]" dimensionUniqueName="[Rango]" displayFolder="" count="0" memberValueDatatype="130" unbalanced="0"/>
    <cacheHierarchy uniqueName="[Rango].[CARGO]" caption="CARGO" attribute="1" defaultMemberUniqueName="[Rango].[CARGO].[All]" allUniqueName="[Rango].[CARGO].[All]" dimensionUniqueName="[Rango]" displayFolder="" count="0" memberValueDatatype="130" unbalanced="0"/>
    <cacheHierarchy uniqueName="[Rango].[LUGAR ACC]" caption="LUGAR ACC" attribute="1" defaultMemberUniqueName="[Rango].[LUGAR ACC].[All]" allUniqueName="[Rango].[LUGAR ACC].[All]" dimensionUniqueName="[Rango]" displayFolder="" count="0" memberValueDatatype="130" unbalanced="0"/>
    <cacheHierarchy uniqueName="[Rango].[MAQUINA, EQUIPO Y HERRAMIENTAS]" caption="MAQUINA, EQUIPO Y HERRAMIENTAS" attribute="1" defaultMemberUniqueName="[Rango].[MAQUINA, EQUIPO Y HERRAMIENTAS].[All]" allUniqueName="[Rango].[MAQUINA, EQUIPO Y HERRAMIENTAS].[All]" dimensionUniqueName="[Rango]" displayFolder="" count="0" memberValueDatatype="130" unbalanced="0"/>
    <cacheHierarchy uniqueName="[Rango].[TURNO]" caption="TURNO" attribute="1" defaultMemberUniqueName="[Rango].[TURNO].[All]" allUniqueName="[Rango].[TURNO].[All]" dimensionUniqueName="[Rango]" displayFolder="" count="0" memberValueDatatype="130" unbalanced="0"/>
    <cacheHierarchy uniqueName="[Rango].[HORA]" caption="HORA" attribute="1" defaultMemberUniqueName="[Rango].[HORA].[All]" allUniqueName="[Rango].[HORA].[All]" dimensionUniqueName="[Rango]" displayFolder="" count="0" memberValueDatatype="130" unbalanced="0"/>
    <cacheHierarchy uniqueName="[Rango].[DIA]" caption="DIA" attribute="1" defaultMemberUniqueName="[Rango].[DIA].[All]" allUniqueName="[Rango].[DIA].[All]" dimensionUniqueName="[Rango]" displayFolder="" count="0" memberValueDatatype="130" unbalanced="0"/>
    <cacheHierarchy uniqueName="[Rango].[SEMANA]" caption="SEMANA" attribute="1" defaultMemberUniqueName="[Rango].[SEMANA].[All]" allUniqueName="[Rango].[SEMANA].[All]" dimensionUniqueName="[Rango]" displayFolder="" count="0" memberValueDatatype="130" unbalanced="0"/>
    <cacheHierarchy uniqueName="[Rango].[ADEXUS]" caption="ADEXUS" attribute="1" defaultMemberUniqueName="[Rango].[ADEXUS].[All]" allUniqueName="[Rango].[ADEXUS].[All]" dimensionUniqueName="[Rango]" displayFolder="" count="0" memberValueDatatype="20" unbalanced="0"/>
    <cacheHierarchy uniqueName="[Rango].[NC]" caption="NC" attribute="1" defaultMemberUniqueName="[Rango].[NC].[All]" allUniqueName="[Rango].[NC].[All]" dimensionUniqueName="[Rango]" displayFolder="" count="0" memberValueDatatype="130" unbalanced="0"/>
    <cacheHierarchy uniqueName="[Rango].[JEFE AREA]" caption="JEFE AREA" attribute="1" defaultMemberUniqueName="[Rango].[JEFE AREA].[All]" allUniqueName="[Rango].[JEFE AREA].[All]" dimensionUniqueName="[Rango]" displayFolder="" count="0" memberValueDatatype="130" unbalanced="0"/>
    <cacheHierarchy uniqueName="[Rango].[SUPERVISOR]" caption="SUPERVISOR" attribute="1" defaultMemberUniqueName="[Rango].[SUPERVISOR].[All]" allUniqueName="[Rango].[SUPERVISOR].[All]" dimensionUniqueName="[Rango]" displayFolder="" count="0" memberValueDatatype="130" unbalanced="0"/>
    <cacheHierarchy uniqueName="[Rango].[EDAD]" caption="EDAD" attribute="1" defaultMemberUniqueName="[Rango].[EDAD].[All]" allUniqueName="[Rango].[EDAD].[All]" dimensionUniqueName="[Rango]" displayFolder="" count="0" memberValueDatatype="130" unbalanced="0"/>
    <cacheHierarchy uniqueName="[Rango].[AGENTE ACC]" caption="AGENTE ACC" attribute="1" defaultMemberUniqueName="[Rango].[AGENTE ACC].[All]" allUniqueName="[Rango].[AGENTE ACC].[All]" dimensionUniqueName="[Rango]" displayFolder="" count="0" memberValueDatatype="130" unbalanced="0"/>
    <cacheHierarchy uniqueName="[Rango].[PARTE AFECTADA]" caption="PARTE AFECTADA" attribute="1" defaultMemberUniqueName="[Rango].[PARTE AFECTADA].[All]" allUniqueName="[Rango].[PARTE AFECTADA].[All]" dimensionUniqueName="[Rango]" displayFolder="" count="2" memberValueDatatype="130" unbalanced="0">
      <fieldsUsage count="2">
        <fieldUsage x="-1"/>
        <fieldUsage x="1"/>
      </fieldsUsage>
    </cacheHierarchy>
    <cacheHierarchy uniqueName="[Rango].[NATURALEZA DE LA LESION]" caption="NATURALEZA DE LA LESION" attribute="1" defaultMemberUniqueName="[Rango].[NATURALEZA DE LA LESION].[All]" allUniqueName="[Rango].[NATURALEZA DE LA LESION].[All]" dimensionUniqueName="[Rango]" displayFolder="" count="0" memberValueDatatype="130" unbalanced="0"/>
    <cacheHierarchy uniqueName="[Rango].[TIPO ACCIDENTE]" caption="TIPO ACCIDENTE" attribute="1" defaultMemberUniqueName="[Rango].[TIPO ACCIDENTE].[All]" allUniqueName="[Rango].[TIPO ACCIDENTE].[All]" dimensionUniqueName="[Rango]" displayFolder="" count="0" memberValueDatatype="130" unbalanced="0"/>
    <cacheHierarchy uniqueName="[Rango].[DESCRIPCION LESION]" caption="DESCRIPCION LESION" attribute="1" defaultMemberUniqueName="[Rango].[DESCRIPCION LESION].[All]" allUniqueName="[Rango].[DESCRIPCION LESION].[All]" dimensionUniqueName="[Rango]" displayFolder="" count="0" memberValueDatatype="130" unbalanced="0"/>
    <cacheHierarchy uniqueName="[Rango].[ACCION - CONDICION]" caption="ACCION - CONDICION" attribute="1" defaultMemberUniqueName="[Rango].[ACCION - CONDICION].[All]" allUniqueName="[Rango].[ACCION - CONDICION].[All]" dimensionUniqueName="[Rango]" displayFolder="" count="0" memberValueDatatype="130" unbalanced="0"/>
    <cacheHierarchy uniqueName="[Rango].[TRABAJO HABITUAL]" caption="TRABAJO HABITUAL" attribute="1" defaultMemberUniqueName="[Rango].[TRABAJO HABITUAL].[All]" allUniqueName="[Rango].[TRABAJO HABITUAL].[All]" dimensionUniqueName="[Rango]" displayFolder="" count="0" memberValueDatatype="130" unbalanced="0"/>
    <cacheHierarchy uniqueName="[Rango].[DERIVACION ACHS]" caption="DERIVACION ACHS" attribute="1" defaultMemberUniqueName="[Rango].[DERIVACION ACHS].[All]" allUniqueName="[Rango].[DERIVACION ACHS].[All]" dimensionUniqueName="[Rango]" displayFolder="" count="0" memberValueDatatype="130" unbalanced="0"/>
    <cacheHierarchy uniqueName="[Rango].[Experto de Turno]" caption="Experto de Turno" attribute="1" defaultMemberUniqueName="[Rango].[Experto de Turno].[All]" allUniqueName="[Rango].[Experto de Turno].[All]" dimensionUniqueName="[Rango]" displayFolder="" count="0" memberValueDatatype="130" unbalanced="0"/>
    <cacheHierarchy uniqueName="[Rango].[Atencion SPA]" caption="Atencion SPA" attribute="1" defaultMemberUniqueName="[Rango].[Atencion SPA].[All]" allUniqueName="[Rango].[Atencion SPA].[All]" dimensionUniqueName="[Rango]" displayFolder="" count="0" memberValueDatatype="130" unbalanced="0"/>
    <cacheHierarchy uniqueName="[Measures].[__XL_Count Rango]" caption="__XL_Count Rango" measure="1" displayFolder="" measureGroup="Rango" count="0" hidden="1"/>
    <cacheHierarchy uniqueName="[Measures].[__No measures defined]" caption="__No measures defined" measure="1" displayFolder="" count="0" hidden="1"/>
    <cacheHierarchy uniqueName="[Measures].[Recuento de SECCION]" caption="Recuento de SECCION" measure="1" displayFolder="" measureGroup="Rango" count="0" hidden="1">
      <extLst>
        <ext xmlns:x15="http://schemas.microsoft.com/office/spreadsheetml/2010/11/main" uri="{B97F6D7D-B522-45F9-BDA1-12C45D357490}">
          <x15:cacheHierarchy aggregatedColumn="19"/>
        </ext>
      </extLst>
    </cacheHierarchy>
    <cacheHierarchy uniqueName="[Measures].[Recuento de PARTE AFECTADA]" caption="Recuento de PARTE AFECTADA" measure="1" displayFolder="" measureGroup="Rango" count="0" oneField="1" hidden="1">
      <fieldsUsage count="1">
        <fieldUsage x="2"/>
      </fieldsUsage>
      <extLst>
        <ext xmlns:x15="http://schemas.microsoft.com/office/spreadsheetml/2010/11/main" uri="{B97F6D7D-B522-45F9-BDA1-12C45D357490}">
          <x15:cacheHierarchy aggregatedColumn="33"/>
        </ext>
      </extLst>
    </cacheHierarchy>
    <cacheHierarchy uniqueName="[Measures].[Recuento de NATURALEZA DE LA LESION]" caption="Recuento de NATURALEZA DE LA LESION" measure="1" displayFolder="" measureGroup="Rango" count="0" hidden="1">
      <extLst>
        <ext xmlns:x15="http://schemas.microsoft.com/office/spreadsheetml/2010/11/main" uri="{B97F6D7D-B522-45F9-BDA1-12C45D357490}">
          <x15:cacheHierarchy aggregatedColumn="34"/>
        </ext>
      </extLst>
    </cacheHierarchy>
    <cacheHierarchy uniqueName="[Measures].[Recuento de TIPO ACCIDENTE]" caption="Recuento de TIPO ACCIDENTE" measure="1" displayFolder="" measureGroup="Rango" count="0" hidden="1">
      <extLst>
        <ext xmlns:x15="http://schemas.microsoft.com/office/spreadsheetml/2010/11/main" uri="{B97F6D7D-B522-45F9-BDA1-12C45D357490}">
          <x15:cacheHierarchy aggregatedColumn="35"/>
        </ext>
      </extLst>
    </cacheHierarchy>
  </cacheHierarchies>
  <kpis count="0"/>
  <dimensions count="2">
    <dimension measure="1" name="Measures" uniqueName="[Measures]" caption="Measures"/>
    <dimension name="Rango" uniqueName="[Rango]" caption="Rango"/>
  </dimensions>
  <measureGroups count="1">
    <measureGroup name="Rango" caption="Rango"/>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las Gomez" refreshedDate="45294.586635532411" createdVersion="8" refreshedVersion="8" minRefreshableVersion="3" recordCount="187" xr:uid="{A7BDF322-A2B2-4869-912B-1621AB796240}">
  <cacheSource type="worksheet">
    <worksheetSource ref="A6:AP193" sheet="Consolidado Accidentes"/>
  </cacheSource>
  <cacheFields count="42">
    <cacheField name="AÑO" numFmtId="0">
      <sharedItems containsSemiMixedTypes="0" containsString="0" containsNumber="1" containsInteger="1" minValue="2022" maxValue="2022"/>
    </cacheField>
    <cacheField name="MES" numFmtId="0">
      <sharedItems count="13">
        <s v="JUNIO"/>
        <s v="ENERO"/>
        <s v="FEBRERO"/>
        <s v="MARZO"/>
        <s v="ABRIL "/>
        <s v="MAYO"/>
        <s v="JULIO"/>
        <s v="AGOSTO"/>
        <s v="SEPTIEMBRE"/>
        <s v="OCTUBRE"/>
        <s v="NOVIEMBRE"/>
        <s v="NOVIEMBRE "/>
        <s v="DICIEMBRE"/>
      </sharedItems>
    </cacheField>
    <cacheField name="PLANTA" numFmtId="0">
      <sharedItems containsBlank="1"/>
    </cacheField>
    <cacheField name="APELLIDOS" numFmtId="0">
      <sharedItems/>
    </cacheField>
    <cacheField name="NOMBRE" numFmtId="0">
      <sharedItems/>
    </cacheField>
    <cacheField name="GENERO" numFmtId="0">
      <sharedItems/>
    </cacheField>
    <cacheField name="RUT" numFmtId="0">
      <sharedItems/>
    </cacheField>
    <cacheField name="FECHA CONTRATO" numFmtId="14">
      <sharedItems containsNonDate="0" containsDate="1" containsString="0" containsBlank="1" minDate="1981-08-16T00:00:00" maxDate="2022-11-30T00:00:00"/>
    </cacheField>
    <cacheField name="MESES INTERNO" numFmtId="0">
      <sharedItems containsString="0" containsBlank="1" containsNumber="1" containsInteger="1" minValue="0" maxValue="494"/>
    </cacheField>
    <cacheField name="FECHA INCCIDENTE" numFmtId="14">
      <sharedItems containsSemiMixedTypes="0" containsNonDate="0" containsDate="1" containsString="0" minDate="2021-06-22T00:00:00" maxDate="2022-12-31T00:00:00"/>
    </cacheField>
    <cacheField name="ANTIGÜEDAD" numFmtId="0">
      <sharedItems containsBlank="1"/>
    </cacheField>
    <cacheField name="FECHA INGRESO MUTUALIDAD" numFmtId="0">
      <sharedItems containsDate="1" containsBlank="1" containsMixedTypes="1" minDate="2022-01-05T00:00:00" maxDate="2022-12-31T00:00:00"/>
    </cacheField>
    <cacheField name="FECHA ALTA" numFmtId="0">
      <sharedItems containsDate="1" containsBlank="1" containsMixedTypes="1" minDate="2022-01-05T00:00:00" maxDate="2023-02-20T00:00:00"/>
    </cacheField>
    <cacheField name="REINGRESO" numFmtId="0">
      <sharedItems containsNonDate="0" containsDate="1" containsString="0" containsBlank="1" minDate="2022-06-22T00:00:00" maxDate="2023-01-26T00:00:00"/>
    </cacheField>
    <cacheField name="DP" numFmtId="0">
      <sharedItems containsBlank="1" containsMixedTypes="1" containsNumber="1" containsInteger="1" minValue="0" maxValue="93"/>
    </cacheField>
    <cacheField name="CLASIF ACC" numFmtId="0">
      <sharedItems containsBlank="1"/>
    </cacheField>
    <cacheField name="POTENCIAL_x000a_GRAVE - FATAL" numFmtId="0">
      <sharedItems containsBlank="1" containsMixedTypes="1" containsNumber="1" containsInteger="1" minValue="0" maxValue="0"/>
    </cacheField>
    <cacheField name="CLASIFICACION LGF" numFmtId="0">
      <sharedItems containsBlank="1"/>
    </cacheField>
    <cacheField name="AREA" numFmtId="0">
      <sharedItems containsBlank="1"/>
    </cacheField>
    <cacheField name="SECCION" numFmtId="0">
      <sharedItems containsBlank="1"/>
    </cacheField>
    <cacheField name="CARGO" numFmtId="0">
      <sharedItems containsBlank="1"/>
    </cacheField>
    <cacheField name="LUGAR ACC" numFmtId="0">
      <sharedItems containsBlank="1"/>
    </cacheField>
    <cacheField name="MAQUINA, EQUIPO Y HERRAMIENTAS" numFmtId="0">
      <sharedItems containsBlank="1"/>
    </cacheField>
    <cacheField name="TURNO" numFmtId="0">
      <sharedItems containsBlank="1"/>
    </cacheField>
    <cacheField name="HORA" numFmtId="20">
      <sharedItems containsDate="1" containsBlank="1" containsMixedTypes="1" minDate="1899-12-30T00:05:00" maxDate="1899-12-30T23:54:00"/>
    </cacheField>
    <cacheField name="DIA" numFmtId="0">
      <sharedItems containsBlank="1"/>
    </cacheField>
    <cacheField name="SEMANA" numFmtId="0">
      <sharedItems containsBlank="1"/>
    </cacheField>
    <cacheField name="ADEXUS" numFmtId="0">
      <sharedItems containsString="0" containsBlank="1" containsNumber="1" containsInteger="1" minValue="14943" maxValue="14950"/>
    </cacheField>
    <cacheField name="NC" numFmtId="0">
      <sharedItems containsBlank="1"/>
    </cacheField>
    <cacheField name="JEFE AREA" numFmtId="0">
      <sharedItems containsBlank="1"/>
    </cacheField>
    <cacheField name="SUPERVISOR" numFmtId="0">
      <sharedItems containsBlank="1"/>
    </cacheField>
    <cacheField name="EDAD" numFmtId="0">
      <sharedItems containsBlank="1" containsMixedTypes="1" containsNumber="1" containsInteger="1" minValue="18" maxValue="69"/>
    </cacheField>
    <cacheField name="AGENTE ACC" numFmtId="0">
      <sharedItems containsBlank="1"/>
    </cacheField>
    <cacheField name="PARTE AFECTADA" numFmtId="0">
      <sharedItems containsBlank="1"/>
    </cacheField>
    <cacheField name="NATURALEZA DE LA LESION " numFmtId="0">
      <sharedItems containsBlank="1"/>
    </cacheField>
    <cacheField name="TIPO ACCIDENTE" numFmtId="0">
      <sharedItems containsBlank="1"/>
    </cacheField>
    <cacheField name="DESCRIPCION LESION" numFmtId="0">
      <sharedItems longText="1"/>
    </cacheField>
    <cacheField name="ACCION - CONDICION" numFmtId="0">
      <sharedItems containsBlank="1"/>
    </cacheField>
    <cacheField name="TRABAJO HABITUAL" numFmtId="0">
      <sharedItems containsBlank="1"/>
    </cacheField>
    <cacheField name="DERIVACION ACHS" numFmtId="0">
      <sharedItems containsBlank="1"/>
    </cacheField>
    <cacheField name="Experto de Turno" numFmtId="0">
      <sharedItems containsBlank="1"/>
    </cacheField>
    <cacheField name="Atencion SPA"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1">
  <r>
    <n v="2022"/>
    <x v="0"/>
    <s v="EL PAICO"/>
    <s v=" cuevas vidal"/>
    <s v=" Victor "/>
    <x v="0"/>
    <s v=" 9164248-4"/>
    <d v="2018-02-05T00:00:00"/>
    <n v="46"/>
    <d v="2022-01-03T00:00:00"/>
    <x v="0"/>
    <m/>
    <m/>
    <m/>
    <n v="0"/>
    <x v="0"/>
    <m/>
    <x v="0"/>
    <x v="0"/>
    <x v="0"/>
    <s v="OPERARIO"/>
    <s v="CAMARA 207"/>
    <s v="N/A"/>
    <x v="0"/>
    <d v="1899-12-30T11:08:00"/>
    <x v="0"/>
    <s v="SEMANA 01"/>
    <m/>
    <m/>
    <s v="FRANCISCO ROJAS"/>
    <x v="0"/>
    <n v="60"/>
    <x v="0"/>
    <x v="0"/>
    <s v="Contusión"/>
    <x v="0"/>
    <s v="TRABAJADOR REALIZANDO ASEO OPERACIONAL EN CAMARA  207 SUFRE CAIDA DE MISMO NIVEL EN CAMARA 207"/>
    <x v="0"/>
    <x v="0"/>
    <x v="0"/>
    <s v="PEDRO MOREIRA"/>
    <s v="CRISTIAN JHON"/>
  </r>
  <r>
    <m/>
    <x v="0"/>
    <m/>
    <s v="JOHANNA"/>
    <s v="AVRIL ."/>
    <x v="0"/>
    <s v="26118266-1"/>
    <d v="2021-08-03T00:00:00"/>
    <n v="5"/>
    <d v="2022-01-04T00:00:00"/>
    <x v="1"/>
    <m/>
    <m/>
    <m/>
    <n v="0"/>
    <x v="0"/>
    <m/>
    <x v="0"/>
    <x v="0"/>
    <x v="0"/>
    <s v="OPERARIO"/>
    <s v="SALA DETERGENTE"/>
    <s v="N/A"/>
    <x v="1"/>
    <d v="1899-12-30T01:35:00"/>
    <x v="1"/>
    <s v="SEMANA 01"/>
    <m/>
    <m/>
    <s v="FRANCISCO ROJAS"/>
    <x v="1"/>
    <n v="29"/>
    <x v="1"/>
    <x v="1"/>
    <s v="Quemadura"/>
    <x v="1"/>
    <s v="PREPARANDO PRODUCTO CLORADO EN SALA DETERGENTE, SALPICA PRODUCTO EN OJOS"/>
    <x v="1"/>
    <x v="0"/>
    <x v="0"/>
    <s v="LUIS LARENAS"/>
    <s v="CRISTIAN JHON"/>
  </r>
  <r>
    <n v="2022"/>
    <x v="0"/>
    <s v="EL PAICO"/>
    <s v=" cerón pinto"/>
    <s v=" José "/>
    <x v="0"/>
    <s v=" 16292444-3"/>
    <d v="2021-11-15T00:00:00"/>
    <n v="1"/>
    <d v="2022-01-04T00:00:00"/>
    <x v="1"/>
    <m/>
    <m/>
    <m/>
    <n v="0"/>
    <x v="0"/>
    <m/>
    <x v="0"/>
    <x v="1"/>
    <x v="1"/>
    <s v="OPERARIO"/>
    <s v="EVICERADO"/>
    <s v="N/A"/>
    <x v="0"/>
    <d v="1899-12-30T09:45:00"/>
    <x v="1"/>
    <s v="SEMANA 01"/>
    <m/>
    <m/>
    <s v="NICOLAS MOYANO"/>
    <x v="2"/>
    <n v="35"/>
    <x v="2"/>
    <x v="2"/>
    <s v="Herida cortante"/>
    <x v="2"/>
    <s v="TRABAJADOR AL CAER CUCHILLO TRATA DE TOMARLO Y SE GENERA CORTE EN SU MANO"/>
    <x v="1"/>
    <x v="0"/>
    <x v="0"/>
    <s v="PEDRO MOREIRA"/>
    <s v="APOYO"/>
  </r>
  <r>
    <n v="2022"/>
    <x v="0"/>
    <s v="EL PAICO"/>
    <s v=" Gallagher Riveros"/>
    <s v=" Maria Isabel "/>
    <x v="1"/>
    <s v="10144095-8"/>
    <d v="2021-11-15T00:00:00"/>
    <n v="1"/>
    <d v="2022-01-05T00:00:00"/>
    <x v="1"/>
    <m/>
    <m/>
    <m/>
    <n v="0"/>
    <x v="0"/>
    <m/>
    <x v="0"/>
    <x v="2"/>
    <x v="2"/>
    <s v="OPERARIO"/>
    <s v="DESHUEZADO"/>
    <s v="N/A"/>
    <x v="0"/>
    <d v="1899-12-30T07:15:00"/>
    <x v="2"/>
    <s v="SEMANA 01"/>
    <m/>
    <m/>
    <s v="DANIEL GARRIDO"/>
    <x v="3"/>
    <n v="57"/>
    <x v="0"/>
    <x v="0"/>
    <s v="Contusión"/>
    <x v="0"/>
    <s v=" Sufre caída a nivel con rejilla de evacuación de agua que sobresalía del piso"/>
    <x v="0"/>
    <x v="0"/>
    <x v="0"/>
    <s v="PEDRO MOREIRA"/>
    <s v="CRISTIAN JHON"/>
  </r>
  <r>
    <n v="2022"/>
    <x v="0"/>
    <s v="EL PAICO"/>
    <s v=" Trujillo Bustos"/>
    <s v=" Hilda "/>
    <x v="1"/>
    <s v=" 11366546-0"/>
    <d v="2015-02-11T00:00:00"/>
    <n v="82"/>
    <d v="2022-01-05T00:00:00"/>
    <x v="0"/>
    <d v="2022-01-05T00:00:00"/>
    <d v="2022-01-05T00:00:00"/>
    <m/>
    <n v="0"/>
    <x v="0"/>
    <m/>
    <x v="0"/>
    <x v="3"/>
    <x v="3"/>
    <s v="OPERARIO"/>
    <s v="DESHUEZADO"/>
    <s v="CINTA DESHUEZADO"/>
    <x v="2"/>
    <d v="1899-12-30T13:40:00"/>
    <x v="2"/>
    <s v="SEMANA 01"/>
    <n v="14948"/>
    <s v="NC-07-22"/>
    <s v="GUILLERMO NARVAEZ"/>
    <x v="4"/>
    <n v="56"/>
    <x v="3"/>
    <x v="3"/>
    <s v="Herida cortante"/>
    <x v="3"/>
    <s v=" TRABAJADORA AL AGACHARCE SE GOLPEA CON ORILLA DE CINTA GENERANDO CORTE SUPERFICIAL EN CASTADO DE LA CEJA"/>
    <x v="1"/>
    <x v="0"/>
    <x v="1"/>
    <s v="LUIS LARENAS"/>
    <s v="MICHEL SANCHEZ"/>
  </r>
  <r>
    <n v="2022"/>
    <x v="0"/>
    <s v="EL PAICO"/>
    <s v="ORTIZ NAVARRO "/>
    <s v="BRIAN ANTONIO"/>
    <x v="0"/>
    <s v=" 20604977-4"/>
    <d v="2021-10-19T00:00:00"/>
    <n v="2"/>
    <d v="2022-01-05T00:00:00"/>
    <x v="1"/>
    <d v="2022-01-05T00:00:00"/>
    <d v="2022-01-08T00:00:00"/>
    <m/>
    <n v="4"/>
    <x v="1"/>
    <m/>
    <x v="0"/>
    <x v="4"/>
    <x v="4"/>
    <s v="OPERARIO"/>
    <s v="CALIBRADO"/>
    <s v="CINTA CAPACHO"/>
    <x v="1"/>
    <d v="1899-12-30T23:45:00"/>
    <x v="2"/>
    <s v="SEMANA 01"/>
    <n v="14950"/>
    <s v="NC-06-22"/>
    <s v="GUILLERMO NARVAEZ"/>
    <x v="5"/>
    <n v="18"/>
    <x v="4"/>
    <x v="2"/>
    <s v="Contusión"/>
    <x v="4"/>
    <s v=" TRABAJADORA AL RECIBIR CAJA EN PROCESO SE GOLPEA SU DEDO MEÑIQUE GENERANDO CONTUSION"/>
    <x v="1"/>
    <x v="0"/>
    <x v="1"/>
    <s v="LUIS LARENAS"/>
    <s v="MICHEL SANCHEZ"/>
  </r>
  <r>
    <n v="2022"/>
    <x v="0"/>
    <s v="EL PAICO"/>
    <s v="ESCOBAR"/>
    <s v="CAROLINA"/>
    <x v="1"/>
    <s v="18347676-9"/>
    <d v="2020-06-02T00:00:00"/>
    <n v="19"/>
    <d v="2022-01-08T00:00:00"/>
    <x v="2"/>
    <m/>
    <m/>
    <m/>
    <n v="0"/>
    <x v="0"/>
    <m/>
    <x v="0"/>
    <x v="1"/>
    <x v="1"/>
    <s v="OPERARIO"/>
    <s v="LINEA PANA"/>
    <s v="N/A"/>
    <x v="0"/>
    <d v="1899-12-30T10:15:00"/>
    <x v="3"/>
    <s v="SEMANA 01"/>
    <m/>
    <m/>
    <s v="NICOLAS MOYANO"/>
    <x v="6"/>
    <n v="28"/>
    <x v="3"/>
    <x v="2"/>
    <s v="Contusión"/>
    <x v="5"/>
    <s v="TRABAJADORA SUBIENDO ESCALONES DE PIE APOYO EN LINEA PANA PISA SU CAPA ESTA SE RESBALA SE GENERA GOLPE EN SU MANO"/>
    <x v="1"/>
    <x v="0"/>
    <x v="0"/>
    <s v="PEDRO MOREIRA"/>
    <s v="CRISTIAN JHON"/>
  </r>
  <r>
    <n v="2022"/>
    <x v="0"/>
    <s v="EL PAICO"/>
    <s v="ASTORGA"/>
    <s v="RAFAEL "/>
    <x v="0"/>
    <s v=" 14007893-K"/>
    <d v="1981-08-16T00:00:00"/>
    <n v="494"/>
    <d v="2022-11-10T00:00:00"/>
    <x v="0"/>
    <m/>
    <m/>
    <m/>
    <n v="0"/>
    <x v="0"/>
    <m/>
    <x v="0"/>
    <x v="2"/>
    <x v="2"/>
    <s v="SUPERVISOR"/>
    <s v="DESHUEZADO"/>
    <s v="N/A"/>
    <x v="2"/>
    <d v="1899-12-30T19:30:00"/>
    <x v="0"/>
    <s v="SEMANA 02"/>
    <m/>
    <m/>
    <s v="DANIEL GARRIDO"/>
    <x v="3"/>
    <n v="40"/>
    <x v="5"/>
    <x v="4"/>
    <s v="Contusión"/>
    <x v="0"/>
    <s v=" A pisar un trozo de cuero de pollo que se encontraba en el piso, sufre caída a mismo nivel mas contusión en rodilla izquierda. Se observa leve aumento de volumen, sin disfunción en la movilidad."/>
    <x v="0"/>
    <x v="1"/>
    <x v="0"/>
    <s v="PEDRO MOREIRA"/>
    <s v="MICHEL SANCHEZ"/>
  </r>
  <r>
    <n v="2022"/>
    <x v="0"/>
    <s v="EL PAICO"/>
    <s v=" Moreno Mardones"/>
    <s v=" Isamar "/>
    <x v="1"/>
    <s v="18030936-5"/>
    <d v="2019-08-12T00:00:00"/>
    <n v="29"/>
    <d v="2022-01-13T00:00:00"/>
    <x v="2"/>
    <m/>
    <m/>
    <m/>
    <n v="0"/>
    <x v="0"/>
    <m/>
    <x v="0"/>
    <x v="2"/>
    <x v="2"/>
    <s v="OPERARIO"/>
    <s v="DESHUEZADO"/>
    <s v="N/A"/>
    <x v="0"/>
    <d v="1899-12-30T09:30:00"/>
    <x v="4"/>
    <s v="SEMANA 02"/>
    <m/>
    <m/>
    <s v="DANIEL GARRIDO"/>
    <x v="7"/>
    <n v="29"/>
    <x v="6"/>
    <x v="2"/>
    <s v="Contusión"/>
    <x v="4"/>
    <s v=" Sufre atrición de mano y muñeca derecha entre bins y transpaleta eléctrica al posicionar etiqueta en el centro del bins y no en la orilla"/>
    <x v="1"/>
    <x v="0"/>
    <x v="0"/>
    <s v="LUIS LARENAS"/>
    <s v="MICHEL SANCHEZ"/>
  </r>
  <r>
    <n v="2022"/>
    <x v="0"/>
    <s v="EL PAICO"/>
    <s v="  CHACON MARTINEZ"/>
    <s v=" CATALINA DEL CARMEN"/>
    <x v="1"/>
    <s v=" 18031023-1"/>
    <d v="2021-08-02T00:00:00"/>
    <n v="5"/>
    <d v="2022-01-14T00:00:00"/>
    <x v="1"/>
    <m/>
    <m/>
    <m/>
    <n v="0"/>
    <x v="0"/>
    <m/>
    <x v="0"/>
    <x v="5"/>
    <x v="0"/>
    <s v="OPERARIO"/>
    <m/>
    <m/>
    <x v="1"/>
    <d v="1899-12-30T03:30:00"/>
    <x v="5"/>
    <s v="SEMANA 02"/>
    <m/>
    <m/>
    <s v="VICTOR GOMEZ"/>
    <x v="8"/>
    <n v="29"/>
    <x v="0"/>
    <x v="5"/>
    <s v="Contusión"/>
    <x v="0"/>
    <s v="TRABAJADORA GENERANDO LIMPIEZA DE LA SALA LUBRICANTES , CUANDO APLICO DESENGRASANTES SE GENERA CAIDA DE MISMO NIVEL EN EL PISO RESBALANDOSE"/>
    <x v="0"/>
    <x v="0"/>
    <x v="0"/>
    <s v="LUIS LARENAS"/>
    <s v="APOYO"/>
  </r>
  <r>
    <n v="2022"/>
    <x v="0"/>
    <s v="EL PAICO"/>
    <s v="FUENTEALBA"/>
    <s v="FERNANDO"/>
    <x v="0"/>
    <s v=" 16342700-1"/>
    <d v="2016-11-02T00:00:00"/>
    <n v="62"/>
    <d v="2022-01-13T00:00:00"/>
    <x v="0"/>
    <m/>
    <m/>
    <m/>
    <s v="X"/>
    <x v="2"/>
    <s v="LGF"/>
    <x v="1"/>
    <x v="4"/>
    <x v="5"/>
    <s v="SUPERVISOR"/>
    <s v="IQF4"/>
    <s v="IQF4"/>
    <x v="1"/>
    <d v="1899-12-30T22:10:00"/>
    <x v="4"/>
    <s v="SEMANA 02"/>
    <m/>
    <s v="NC-10-22"/>
    <s v="GUILLERMO NARVAEZ"/>
    <x v="9"/>
    <n v="35"/>
    <x v="7"/>
    <x v="2"/>
    <s v="Fractura"/>
    <x v="6"/>
    <s v="TRABAJADOR AL REALIZAR CONTROL DE TEMPERATURA EN REVISIÓN DE EQUIPO CON EMPRESA EXTERNA, SE GENERA ATRAPAMIENTO ENTRE LA CINTA SUPERIOR 1 Y EL RASPADOR SIN DETENER EQUIPO"/>
    <x v="1"/>
    <x v="1"/>
    <x v="1"/>
    <s v="PEDRO MOREIRA"/>
    <s v="APOYO"/>
  </r>
  <r>
    <n v="2022"/>
    <x v="0"/>
    <s v="EL PAICO"/>
    <s v=" DAURESTANT"/>
    <s v=" DAMIL "/>
    <x v="0"/>
    <s v="26001183-9"/>
    <d v="2018-01-04T00:00:00"/>
    <n v="48"/>
    <d v="2022-01-14T00:00:00"/>
    <x v="0"/>
    <m/>
    <m/>
    <m/>
    <n v="8"/>
    <x v="1"/>
    <m/>
    <x v="0"/>
    <x v="1"/>
    <x v="6"/>
    <s v="OPERARIO"/>
    <s v="MATADERO"/>
    <s v="N/A"/>
    <x v="2"/>
    <d v="1899-12-30T15:00:00"/>
    <x v="5"/>
    <s v="SEMANA 02"/>
    <m/>
    <s v="NC-11-22"/>
    <s v="NICOLAS MOYANO"/>
    <x v="2"/>
    <n v="38"/>
    <x v="2"/>
    <x v="2"/>
    <s v="Herida cortante"/>
    <x v="3"/>
    <s v="TRABAJADOR REALIZANDO PROCESO DE CORTE CON POLLO SIN USO DE GUANTES DE ACERO SE GENERA UN CORTE PROFUNDO EN DEDO INDICE MANO IZQUIERDA"/>
    <x v="1"/>
    <x v="0"/>
    <x v="1"/>
    <s v="PEDRO MOREIRA"/>
    <s v="CRISTIAN JHON"/>
  </r>
  <r>
    <n v="2022"/>
    <x v="0"/>
    <s v="EL PAICO"/>
    <s v="KENSON"/>
    <s v="NICOLAS"/>
    <x v="0"/>
    <s v=" 25991033-1"/>
    <d v="2021-08-04T00:00:00"/>
    <n v="5"/>
    <d v="2022-01-17T00:00:00"/>
    <x v="1"/>
    <m/>
    <m/>
    <m/>
    <n v="0"/>
    <x v="0"/>
    <m/>
    <x v="0"/>
    <x v="2"/>
    <x v="2"/>
    <s v="OPERARIO"/>
    <s v="DESHUEZADO"/>
    <s v="N/A"/>
    <x v="0"/>
    <d v="1899-12-30T09:00:00"/>
    <x v="0"/>
    <s v="SEMANA 03"/>
    <m/>
    <m/>
    <s v="DANIEL GARRIDO"/>
    <x v="3"/>
    <n v="28"/>
    <x v="6"/>
    <x v="2"/>
    <s v="Contusión"/>
    <x v="7"/>
    <s v=" Sufre contusión en zona metacarpiana (nudillos) de la mano derecha al tirar un bins"/>
    <x v="1"/>
    <x v="0"/>
    <x v="0"/>
    <s v="PEDRO MOREIRA"/>
    <s v="MICHEL SANCHEZ"/>
  </r>
  <r>
    <n v="2022"/>
    <x v="0"/>
    <s v="EL PAICO"/>
    <s v=" AHUMADA MARTÍNEZ"/>
    <s v=" FERNANDO "/>
    <x v="0"/>
    <s v=" 6212724-4"/>
    <d v="2014-04-28T00:00:00"/>
    <n v="92"/>
    <d v="2022-01-18T00:00:00"/>
    <x v="0"/>
    <m/>
    <m/>
    <m/>
    <n v="0"/>
    <x v="0"/>
    <m/>
    <x v="0"/>
    <x v="0"/>
    <x v="7"/>
    <s v="OPERARIO"/>
    <s v="SHILER"/>
    <s v="SHILLER"/>
    <x v="0"/>
    <d v="1899-12-30T10:15:00"/>
    <x v="1"/>
    <s v="SEMANA 03"/>
    <m/>
    <m/>
    <s v="FRANCISCO ROJAS"/>
    <x v="10"/>
    <n v="69"/>
    <x v="0"/>
    <x v="4"/>
    <s v="Contusión"/>
    <x v="0"/>
    <s v=" COLABORADOR REALIZABA DESPEJO DE HIELO EN SECTOR CHILLER, Y CON HIELO EN PISO SE GENERA CAIDA DE MISMO NIVEL."/>
    <x v="1"/>
    <x v="0"/>
    <x v="0"/>
    <s v="PEDRO MOREIRA"/>
    <s v="APOYO"/>
  </r>
  <r>
    <n v="2022"/>
    <x v="0"/>
    <s v="EL PAICO"/>
    <s v="VALENZUELA MELLA"/>
    <s v="JUAN"/>
    <x v="0"/>
    <s v="15477532-3"/>
    <d v="2021-11-23T00:00:00"/>
    <n v="1"/>
    <d v="2022-01-20T00:00:00"/>
    <x v="1"/>
    <m/>
    <m/>
    <m/>
    <n v="0"/>
    <x v="0"/>
    <m/>
    <x v="0"/>
    <x v="6"/>
    <x v="8"/>
    <s v="OPERARIO"/>
    <s v="SALA EMPAQUE"/>
    <s v="N/A"/>
    <x v="0"/>
    <d v="1899-12-30T11:50:00"/>
    <x v="4"/>
    <s v="SEMANA 03"/>
    <m/>
    <m/>
    <s v="FRANCISCO QUEZADA"/>
    <x v="11"/>
    <n v="38"/>
    <x v="8"/>
    <x v="2"/>
    <s v="Herida cortante"/>
    <x v="3"/>
    <s v="TRABAJADOR REALIZANDO DESPEJE DE HIELO CON LAMINA DE CARTON SE GENERA CORTE SUPERFICIAL EN DEDO INDICE DEREHCO"/>
    <x v="1"/>
    <x v="0"/>
    <x v="0"/>
    <s v="PEDRO MOREIRA"/>
    <s v="CRISTIAN JHON"/>
  </r>
  <r>
    <n v="2022"/>
    <x v="0"/>
    <s v="EL PAICO"/>
    <s v="RODRIGUEZ"/>
    <s v="CRISTOBAL"/>
    <x v="0"/>
    <s v=" 21067853-0"/>
    <d v="2021-07-01T00:00:00"/>
    <n v="6"/>
    <d v="2022-01-19T00:00:00"/>
    <x v="1"/>
    <m/>
    <m/>
    <m/>
    <n v="0"/>
    <x v="0"/>
    <m/>
    <x v="0"/>
    <x v="2"/>
    <x v="9"/>
    <s v="OPERARIO"/>
    <s v="AUTOMATICO"/>
    <s v="N/A"/>
    <x v="2"/>
    <d v="1899-12-30T16:20:00"/>
    <x v="2"/>
    <s v="SEMANA 03"/>
    <m/>
    <m/>
    <s v="DANIEL GARRIDO"/>
    <x v="12"/>
    <n v="19"/>
    <x v="9"/>
    <x v="2"/>
    <s v="Contusión"/>
    <x v="4"/>
    <s v="TRABAJADOR SE GOLPEA LA MANO AL CAER PRODUCTO APILADO DEL PALLET"/>
    <x v="0"/>
    <x v="0"/>
    <x v="0"/>
    <s v="CARLOS JIMENEZ"/>
    <s v="APOYO"/>
  </r>
  <r>
    <n v="2022"/>
    <x v="0"/>
    <s v="EL PAICO"/>
    <s v="TELFORT . "/>
    <s v="MACDIANNE"/>
    <x v="1"/>
    <s v="26091858-3"/>
    <d v="2021-10-26T00:00:00"/>
    <n v="2"/>
    <d v="2022-01-24T00:00:00"/>
    <x v="1"/>
    <m/>
    <m/>
    <m/>
    <n v="0"/>
    <x v="0"/>
    <m/>
    <x v="0"/>
    <x v="2"/>
    <x v="9"/>
    <s v="OPERARIO"/>
    <s v="AUTOMATICO"/>
    <s v="N/A"/>
    <x v="2"/>
    <d v="1899-12-30T19:47:00"/>
    <x v="0"/>
    <s v="SEMANA 04"/>
    <m/>
    <m/>
    <s v="DANIEL GARRIDO"/>
    <x v="13"/>
    <n v="29"/>
    <x v="6"/>
    <x v="2"/>
    <s v="Contusión"/>
    <x v="4"/>
    <s v="GOLPEA SU MANO DERECHA CON BINS QUE ES TRANPORTADO CON PRODUCTO POR TRANSPALETA MANUAL"/>
    <x v="1"/>
    <x v="0"/>
    <x v="0"/>
    <s v="PEDRO MOREIRA"/>
    <s v="CRISTIAN JHON"/>
  </r>
  <r>
    <n v="2022"/>
    <x v="0"/>
    <s v="EL PAICO"/>
    <s v="CONTRERAS"/>
    <s v="ROMY"/>
    <x v="1"/>
    <s v="10699404-8"/>
    <d v="2020-04-13T00:00:00"/>
    <n v="21"/>
    <d v="2022-01-24T00:00:00"/>
    <x v="2"/>
    <d v="2022-01-24T00:00:00"/>
    <d v="2022-01-28T00:00:00"/>
    <m/>
    <n v="5"/>
    <x v="1"/>
    <m/>
    <x v="0"/>
    <x v="0"/>
    <x v="0"/>
    <s v="OPERARIO"/>
    <s v="CAMARINES MUJERES"/>
    <s v="N/A"/>
    <x v="1"/>
    <d v="1899-12-30T23:54:00"/>
    <x v="0"/>
    <s v="SEMANA 04"/>
    <n v="14949"/>
    <s v="NC -16 -22"/>
    <s v="FRANCISCO ROJAS"/>
    <x v="14"/>
    <n v="42"/>
    <x v="10"/>
    <x v="0"/>
    <s v="Otros"/>
    <x v="8"/>
    <s v="TRABAJADORA CAMBIANDOSE ROPA EN CAMARINES DE MUJERES SUFRE PICADURA EN SU PIERNA POR INSECTO (ARAÑA)"/>
    <x v="0"/>
    <x v="0"/>
    <x v="1"/>
    <s v="CARLOS JIMENEZ"/>
    <s v="CRISTIAN JHON"/>
  </r>
  <r>
    <n v="2022"/>
    <x v="0"/>
    <s v="EL PAICO"/>
    <s v=" LOYOLA DIAZ"/>
    <s v=" CRISTINA "/>
    <x v="1"/>
    <s v="16856182-2"/>
    <d v="2017-02-13T00:00:00"/>
    <n v="59"/>
    <d v="2022-01-31T00:00:00"/>
    <x v="0"/>
    <m/>
    <m/>
    <m/>
    <n v="0"/>
    <x v="0"/>
    <m/>
    <x v="0"/>
    <x v="0"/>
    <x v="0"/>
    <s v="OPERARIO"/>
    <s v="ISHIDA"/>
    <s v="N/A"/>
    <x v="1"/>
    <d v="1899-12-30T05:00:00"/>
    <x v="0"/>
    <s v="SEMANA 05"/>
    <m/>
    <m/>
    <s v="FRANCISCO ROJAS"/>
    <x v="1"/>
    <n v="33"/>
    <x v="8"/>
    <x v="2"/>
    <s v="Quemadura"/>
    <x v="9"/>
    <s v="TRABAJADORA REALIZANDO PROCESO DE ASEO CON MAGUERA Y AGUA CALIENTE, AL CORTASE LA LUZ EN MANGUERA SOLO SALIO VAPOR Y SE GENERO QUEMADURA SUPERFICIAL EN LAS MANOS"/>
    <x v="0"/>
    <x v="0"/>
    <x v="0"/>
    <s v="PEDRO MOREIRA"/>
    <s v="CRISTIAN JHON"/>
  </r>
  <r>
    <n v="2022"/>
    <x v="1"/>
    <s v="EL PAICO"/>
    <s v="FERRADA BUSTOS"/>
    <s v="SANDRA"/>
    <x v="1"/>
    <s v="14268098-K"/>
    <d v="2022-02-02T00:00:00"/>
    <n v="0"/>
    <d v="2022-02-02T00:00:00"/>
    <x v="1"/>
    <m/>
    <m/>
    <m/>
    <n v="0"/>
    <x v="0"/>
    <m/>
    <x v="0"/>
    <x v="4"/>
    <x v="4"/>
    <s v="OPERARIO"/>
    <s v="CALIBRADO"/>
    <s v="N/A"/>
    <x v="0"/>
    <d v="1899-12-30T06:45:00"/>
    <x v="2"/>
    <s v="SEMANA 05"/>
    <m/>
    <m/>
    <s v="GUILLERMO NARVAEZ"/>
    <x v="15"/>
    <n v="49"/>
    <x v="5"/>
    <x v="2"/>
    <s v="Contusión"/>
    <x v="4"/>
    <s v="TRABAJADORA EN LINEA CONGELADO DE CALIBRADO AL RECIBIR PRODUCTO EN CAPACHO CAE PRODUCTO SOBRE SUS MANOS GENERANDO DOLECIA EN SUS MANOS"/>
    <x v="0"/>
    <x v="0"/>
    <x v="0"/>
    <s v="LUIS LARENAS"/>
    <s v="APOYO"/>
  </r>
  <r>
    <n v="2022"/>
    <x v="1"/>
    <s v="EL PAICO"/>
    <s v=" Cabrera Naranjo"/>
    <s v=" Francisco Javier "/>
    <x v="0"/>
    <s v="19069621-9"/>
    <d v="2021-08-09T00:00:00"/>
    <n v="5"/>
    <d v="2022-02-07T00:00:00"/>
    <x v="1"/>
    <m/>
    <m/>
    <m/>
    <n v="0"/>
    <x v="0"/>
    <m/>
    <x v="0"/>
    <x v="0"/>
    <x v="0"/>
    <s v="OPERARIO"/>
    <m/>
    <s v="N/A"/>
    <x v="1"/>
    <d v="1899-12-30T01:45:00"/>
    <x v="0"/>
    <s v="SEMANA 06"/>
    <m/>
    <m/>
    <s v="FRANCISCO ROJAS"/>
    <x v="1"/>
    <n v="26"/>
    <x v="3"/>
    <x v="2"/>
    <s v="Contusión"/>
    <x v="4"/>
    <s v="REALIZANDO PRE LAVADO OPERACIONAL, ESTRUCUTRA METALICA (MESA) DESLIZANDOLA CAE SOBRE SU MANO GENERANDO GOLPE EN SU DEDO ANULAR IZQUIERDO"/>
    <x v="1"/>
    <x v="0"/>
    <x v="0"/>
    <s v="LUIS LARENAS"/>
    <s v="MICHEL SANCHEZ"/>
  </r>
  <r>
    <n v="2022"/>
    <x v="1"/>
    <s v="EL PAICO"/>
    <s v="GUILLEMRO"/>
    <s v="FRANCO"/>
    <x v="0"/>
    <s v="18777798-4"/>
    <d v="2021-01-18T00:00:00"/>
    <n v="12"/>
    <d v="2022-02-09T00:00:00"/>
    <x v="1"/>
    <d v="2022-02-10T00:00:00"/>
    <d v="2022-02-10T00:00:00"/>
    <m/>
    <n v="0"/>
    <x v="0"/>
    <m/>
    <x v="0"/>
    <x v="1"/>
    <x v="10"/>
    <s v="OPERARIO"/>
    <s v="RECEPCION AVE VIVA"/>
    <s v="N/A"/>
    <x v="2"/>
    <d v="1899-12-30T16:00:00"/>
    <x v="2"/>
    <s v="SEMANA 06"/>
    <n v="14943"/>
    <s v="NC -19 - 22"/>
    <s v="NICOLAS MOYANO"/>
    <x v="16"/>
    <n v="27"/>
    <x v="5"/>
    <x v="1"/>
    <s v="Conjuntivitis"/>
    <x v="1"/>
    <s v="TRABAJADOR REALIZANDO MOVIMIENTO D EPALLET CON ANIMAL VIVO, TIENE ALCANCE DE PROYECCION DE PARTICULAS (FECAS) EN EL OJO DERECHO, SIN USO DE GAFAS DE SEGURIDAD ADECUADO"/>
    <x v="1"/>
    <x v="0"/>
    <x v="1"/>
    <s v="PEDRO MOREIRA"/>
    <s v="CRISTIAN JHON"/>
  </r>
  <r>
    <n v="2022"/>
    <x v="1"/>
    <s v="EL PAICO"/>
    <s v=" Zuñiga Cabello"/>
    <s v=" Marco "/>
    <x v="0"/>
    <s v="11945385-2"/>
    <d v="2022-02-01T00:00:00"/>
    <n v="0"/>
    <d v="2022-02-15T00:00:00"/>
    <x v="1"/>
    <m/>
    <m/>
    <m/>
    <n v="0"/>
    <x v="0"/>
    <m/>
    <x v="0"/>
    <x v="7"/>
    <x v="11"/>
    <s v="OPERARIO"/>
    <s v="PULPA"/>
    <s v="N/A"/>
    <x v="1"/>
    <d v="1899-12-30T23:00:00"/>
    <x v="1"/>
    <s v="SEMANA 07"/>
    <m/>
    <m/>
    <s v="OCTAVIO MUÑOZ"/>
    <x v="17"/>
    <s v="X"/>
    <x v="0"/>
    <x v="0"/>
    <s v="Contusión"/>
    <x v="0"/>
    <s v="TRABAJADOR AL REALIZAR RECUBRIMIENTO DE EQUIPO PULPA, PASA POR PISO HUMEDO Y RESBALA"/>
    <x v="0"/>
    <x v="0"/>
    <x v="0"/>
    <s v="LUIS LARENAS"/>
    <s v="MICHEL SANCHEZ"/>
  </r>
  <r>
    <n v="2022"/>
    <x v="1"/>
    <s v="EL PAICO"/>
    <s v="  DESIR"/>
    <s v="CRETUDE"/>
    <x v="1"/>
    <s v=" 25622045-8"/>
    <d v="2021-03-11T00:00:00"/>
    <n v="11"/>
    <d v="2022-02-16T00:00:00"/>
    <x v="1"/>
    <m/>
    <m/>
    <m/>
    <n v="0"/>
    <x v="0"/>
    <m/>
    <x v="0"/>
    <x v="2"/>
    <x v="2"/>
    <s v="OPERARIO"/>
    <s v="ESCALA PRINCIPAL"/>
    <s v="N/A"/>
    <x v="2"/>
    <d v="1899-12-30T13:10:00"/>
    <x v="2"/>
    <s v="SEMANA 07"/>
    <m/>
    <m/>
    <s v="DANIEL GARRIDO"/>
    <x v="7"/>
    <n v="41"/>
    <x v="3"/>
    <x v="0"/>
    <s v="Contusión"/>
    <x v="5"/>
    <s v="TRABAJADOR BAJANDO POR ESCALA PASILLO PRINCIPAL, RESBALA Y SE GENERA CAIDA DISTINTO NIVEL"/>
    <x v="1"/>
    <x v="0"/>
    <x v="0"/>
    <s v="LUIS LARENAS"/>
    <s v="HERALDO P"/>
  </r>
  <r>
    <n v="2022"/>
    <x v="1"/>
    <s v="EL PAICO"/>
    <s v="  Aguilar Weinberger"/>
    <s v=" Nicolas"/>
    <x v="0"/>
    <s v="20561193-2"/>
    <d v="2021-01-21T00:00:00"/>
    <n v="13"/>
    <d v="2022-02-22T00:00:00"/>
    <x v="1"/>
    <m/>
    <m/>
    <m/>
    <n v="0"/>
    <x v="0"/>
    <m/>
    <x v="0"/>
    <x v="2"/>
    <x v="2"/>
    <s v="OPERARIO"/>
    <s v="DESHUEZADO"/>
    <s v="N/A"/>
    <x v="2"/>
    <d v="1899-12-30T12:00:00"/>
    <x v="1"/>
    <s v="SEMANA 08"/>
    <m/>
    <m/>
    <s v="DANIEL GARRIDO"/>
    <x v="12"/>
    <n v="19"/>
    <x v="11"/>
    <x v="2"/>
    <s v="Contusión"/>
    <x v="7"/>
    <s v="Trasladando bandejas con felitillo, Al chocar con pallet sufre torsión de dedos medio y anular"/>
    <x v="1"/>
    <x v="0"/>
    <x v="0"/>
    <s v="PEDRO MOREIRA"/>
    <s v="MICHEL SANCHEZ"/>
  </r>
  <r>
    <n v="2022"/>
    <x v="1"/>
    <s v="EL PAICO"/>
    <s v="  LARA PICHIMATA"/>
    <s v=" EDGAR"/>
    <x v="0"/>
    <s v="24326149-k"/>
    <d v="2020-02-24T00:00:00"/>
    <n v="24"/>
    <d v="2022-02-25T00:00:00"/>
    <x v="2"/>
    <m/>
    <m/>
    <m/>
    <n v="0"/>
    <x v="0"/>
    <m/>
    <x v="0"/>
    <x v="0"/>
    <x v="12"/>
    <s v="OPERARIO"/>
    <s v="PRODUCCION"/>
    <s v="N/A"/>
    <x v="1"/>
    <d v="1899-12-30T01:30:00"/>
    <x v="5"/>
    <s v="SEMANA 08"/>
    <m/>
    <m/>
    <s v="FRANCISCO ROJAS"/>
    <x v="1"/>
    <n v="56"/>
    <x v="1"/>
    <x v="1"/>
    <s v="Quemadura"/>
    <x v="1"/>
    <s v="TRABAJADOR AL COLOCARCE FONOS NO SE PERCATA QUE ESTABAN ESTILANDO PRODUCTO QUIMICO, LO QUE GENERA CAIDA DE PARTICULAS EN SUS OJOS UNA VEZ YA POSICIONADOS EN SU CABEZA"/>
    <x v="1"/>
    <x v="0"/>
    <x v="0"/>
    <s v="PEDRO MOREIRA"/>
    <s v="HERALDO P"/>
  </r>
  <r>
    <n v="2022"/>
    <x v="1"/>
    <s v="EL PAICO"/>
    <s v="ANTOINE"/>
    <s v="ANGELINE"/>
    <x v="1"/>
    <s v="26232929-1"/>
    <d v="2021-10-26T00:00:00"/>
    <n v="4"/>
    <d v="2022-02-28T00:00:00"/>
    <x v="1"/>
    <m/>
    <m/>
    <m/>
    <n v="0"/>
    <x v="0"/>
    <m/>
    <x v="0"/>
    <x v="2"/>
    <x v="9"/>
    <s v="OPERARIO"/>
    <s v="AUTOMATICO"/>
    <s v="N/A"/>
    <x v="0"/>
    <d v="1899-12-30T07:50:00"/>
    <x v="0"/>
    <s v="SEMANA 09"/>
    <m/>
    <m/>
    <s v="DANIEL GARRIDO"/>
    <x v="13"/>
    <n v="35"/>
    <x v="5"/>
    <x v="1"/>
    <s v="Contusión"/>
    <x v="4"/>
    <s v="TRABAJADORA REALIZANDO SELECCIÓN DE PRODUCTO EN SU PUESTO DE TRABAJO, LLEGO UNA TRABAJADORA DE CALIDAD, QUIEN TIRA PRODUCTO AL BINS, HACE QUE LE LLEGE UN TROZO DEL PRODCTO EN EL OJO A LA TRABAJADORA AFECTADA "/>
    <x v="1"/>
    <x v="0"/>
    <x v="0"/>
    <s v="PEDRO MOREIRA"/>
    <s v="HERALDO P"/>
  </r>
  <r>
    <n v="2022"/>
    <x v="2"/>
    <s v="EL PAICO"/>
    <s v="CUBILLOS GARATE"/>
    <s v="EMILIO ANTONIO "/>
    <x v="0"/>
    <s v="19601836-0"/>
    <d v="2021-01-21T00:00:00"/>
    <n v="13"/>
    <d v="2022-03-03T00:00:00"/>
    <x v="1"/>
    <m/>
    <m/>
    <m/>
    <n v="0"/>
    <x v="0"/>
    <m/>
    <x v="0"/>
    <x v="1"/>
    <x v="1"/>
    <s v="OPERARIO"/>
    <s v="EVICERADO"/>
    <s v="N/A"/>
    <x v="2"/>
    <d v="1899-12-30T19:30:00"/>
    <x v="4"/>
    <s v="SEMANA 09"/>
    <m/>
    <m/>
    <s v="NICOLAS MOYANO"/>
    <x v="2"/>
    <n v="25"/>
    <x v="5"/>
    <x v="1"/>
    <s v="Contusión"/>
    <x v="4"/>
    <s v="TRABAJADOR CORTANDO EL BUCHE DE POLLO, ESTE VENIA CON VISERAS Y AL MOMENTO DE SACARLAS LE SALTO ALGO EN EL OJO "/>
    <x v="1"/>
    <x v="0"/>
    <x v="0"/>
    <s v="PEDRO MOREIRA"/>
    <s v="APOYO (SANDRA)"/>
  </r>
  <r>
    <n v="2022"/>
    <x v="2"/>
    <s v="EL PAICO"/>
    <s v="PIERRE"/>
    <s v="WILKENS"/>
    <x v="0"/>
    <s v="26436438-8"/>
    <d v="2019-02-11T00:00:00"/>
    <n v="36"/>
    <d v="2022-03-08T00:00:00"/>
    <x v="2"/>
    <m/>
    <m/>
    <m/>
    <n v="0"/>
    <x v="0"/>
    <m/>
    <x v="0"/>
    <x v="2"/>
    <x v="9"/>
    <s v="OPERARIO"/>
    <s v="AUTOMATICO"/>
    <s v="N/A"/>
    <x v="2"/>
    <d v="1899-12-30T13:45:00"/>
    <x v="1"/>
    <s v="SEMANA 10"/>
    <m/>
    <m/>
    <s v="DANIEL GARRIDO"/>
    <x v="7"/>
    <n v="27"/>
    <x v="12"/>
    <x v="3"/>
    <s v="Contusión"/>
    <x v="10"/>
    <s v="TRABAJADOR AL AGACHARSE A RECOGER PRODUCTO, NO VE QUE EL BINS TENÍA UN TENEDOR METÁLICO Y SE GOLPEÓ A UN COSTADO DEL OJO DERECHO (CEJA)"/>
    <x v="1"/>
    <x v="0"/>
    <x v="0"/>
    <s v="PEDRO MOREIRA"/>
    <s v="HERALDO P"/>
  </r>
  <r>
    <n v="2022"/>
    <x v="2"/>
    <s v="EL PAICO"/>
    <s v="BRAVO NAVARRO"/>
    <s v="EMA"/>
    <x v="1"/>
    <s v="13778113-1"/>
    <d v="2019-06-24T00:00:00"/>
    <n v="32"/>
    <d v="2022-03-08T00:00:00"/>
    <x v="2"/>
    <d v="2022-03-11T00:00:00"/>
    <d v="2022-03-18T00:00:00"/>
    <m/>
    <n v="8"/>
    <x v="1"/>
    <m/>
    <x v="0"/>
    <x v="7"/>
    <x v="13"/>
    <s v="OPERARIO"/>
    <s v="ICHIDA"/>
    <s v="N/A"/>
    <x v="0"/>
    <d v="1899-12-30T10:00:00"/>
    <x v="1"/>
    <s v="SEMANA 10"/>
    <m/>
    <s v="NC-31-22"/>
    <s v="OCTAVIO MUÑOZ"/>
    <x v="18"/>
    <n v="42"/>
    <x v="8"/>
    <x v="2"/>
    <s v="Contusión"/>
    <x v="10"/>
    <s v="TRABAJADORA SUFRE GOLPE Y APRETÓN DE SU DEDO ÍNDICE DERECHO AL ESTAR SACANDO LOS FILMS PARA PODER CAMBIARLOS RÁPIDAMENTE"/>
    <x v="1"/>
    <x v="0"/>
    <x v="1"/>
    <s v="PEDRO MOREIRA"/>
    <s v="HERALDO P"/>
  </r>
  <r>
    <n v="2022"/>
    <x v="2"/>
    <s v="EL PAICO"/>
    <s v="MUÑOZ PLAZA"/>
    <s v="FRANCO"/>
    <x v="0"/>
    <s v="20424770-6"/>
    <d v="2021-08-09T00:00:00"/>
    <n v="7"/>
    <d v="2022-03-10T00:00:00"/>
    <x v="1"/>
    <m/>
    <m/>
    <m/>
    <n v="0"/>
    <x v="0"/>
    <m/>
    <x v="0"/>
    <x v="2"/>
    <x v="9"/>
    <s v="OPERARIO"/>
    <s v="AUTOMATICO"/>
    <s v="N/A"/>
    <x v="2"/>
    <d v="1899-12-30T18:30:00"/>
    <x v="4"/>
    <s v="SEMANA 10"/>
    <m/>
    <m/>
    <s v="DANIEL GARRIDO"/>
    <x v="13"/>
    <n v="21"/>
    <x v="13"/>
    <x v="2"/>
    <s v="Contusión"/>
    <x v="10"/>
    <s v="TRABAJADOR SE GOLPEÓ EL PULGAR IZQUIERDO CUNADO MOVÍA UN BINS CON TRANSPALETA MANUAL"/>
    <x v="1"/>
    <x v="0"/>
    <x v="0"/>
    <s v="CARLOS JIMENEZ"/>
    <s v="APOYO"/>
  </r>
  <r>
    <n v="2022"/>
    <x v="2"/>
    <s v="EL PAICO"/>
    <s v="SANTIS GARCIA "/>
    <s v="CRISTOFER"/>
    <x v="0"/>
    <s v="19849216-7"/>
    <d v="2019-03-11T00:00:00"/>
    <n v="35"/>
    <d v="2022-03-10T00:00:00"/>
    <x v="2"/>
    <m/>
    <m/>
    <m/>
    <n v="0"/>
    <x v="0"/>
    <m/>
    <x v="0"/>
    <x v="6"/>
    <x v="14"/>
    <s v="OPERARIO"/>
    <s v="CAMARA 208"/>
    <s v="N/A"/>
    <x v="0"/>
    <d v="1899-12-30T11:30:00"/>
    <x v="4"/>
    <s v="SEMANA 10"/>
    <m/>
    <m/>
    <s v="GUILLERMO NARVAEZ"/>
    <x v="19"/>
    <n v="23"/>
    <x v="0"/>
    <x v="0"/>
    <s v="Otros"/>
    <x v="0"/>
    <s v="TRABAJADOR SE RESBALA RETIRANDO UN BINS, SUFRIENDO CONTRACTURA EN PIERNA IZQUIERDA"/>
    <x v="1"/>
    <x v="0"/>
    <x v="0"/>
    <s v="PEDRO MOREIRA"/>
    <s v="APOYO"/>
  </r>
  <r>
    <n v="2022"/>
    <x v="2"/>
    <s v="EL PAICO"/>
    <s v="LARA SOTO "/>
    <s v="INES"/>
    <x v="1"/>
    <s v="15957212-9"/>
    <d v="2020-01-13T00:00:00"/>
    <n v="26"/>
    <d v="2022-03-14T00:00:00"/>
    <x v="2"/>
    <d v="2022-03-14T00:00:00"/>
    <m/>
    <m/>
    <s v="X"/>
    <x v="1"/>
    <m/>
    <x v="0"/>
    <x v="0"/>
    <x v="0"/>
    <s v="OPERARIO"/>
    <s v="TUNEL 1"/>
    <s v="N/A"/>
    <x v="1"/>
    <d v="1899-12-30T04:35:00"/>
    <x v="0"/>
    <s v="SEMANA 11"/>
    <m/>
    <s v="NC-32-22"/>
    <s v="FRANCISCO ROJAS"/>
    <x v="20"/>
    <n v="37"/>
    <x v="0"/>
    <x v="6"/>
    <s v="Contusión"/>
    <x v="0"/>
    <s v="TRABAJADORA HACIENDO ASEO SUFRE CAÍDA GOLPEÁNDOSE EL BRAZO DERECHO  EN SECTOR NO HABILITADO"/>
    <x v="1"/>
    <x v="0"/>
    <x v="1"/>
    <s v="PEDRO MOREIRA"/>
    <s v="APOYO (DALIA)"/>
  </r>
  <r>
    <n v="2022"/>
    <x v="2"/>
    <s v="EL PAICO"/>
    <s v="BRAVO CABRERA "/>
    <s v="JUAN"/>
    <x v="0"/>
    <s v="7909217-7"/>
    <d v="2005-03-22T00:00:00"/>
    <n v="203"/>
    <d v="2022-03-17T00:00:00"/>
    <x v="0"/>
    <m/>
    <m/>
    <m/>
    <n v="0"/>
    <x v="0"/>
    <m/>
    <x v="0"/>
    <x v="0"/>
    <x v="0"/>
    <s v="OPERARIO"/>
    <s v="EVICERADO DE POLLO "/>
    <s v="N/A"/>
    <x v="2"/>
    <d v="1899-12-30T12:10:00"/>
    <x v="4"/>
    <s v="SEMANA 11"/>
    <m/>
    <m/>
    <s v="FRANCISCO ROJAS"/>
    <x v="0"/>
    <n v="64"/>
    <x v="3"/>
    <x v="6"/>
    <s v="Contusión"/>
    <x v="10"/>
    <s v="TRABAJADOR REALIZANDO LIMPIEZA EN EL SUELO SIENTE QUE LE CAE ALGO EN EL BRAZO DERECHO GOLPEANO EL CODO "/>
    <x v="0"/>
    <x v="0"/>
    <x v="0"/>
    <s v="PEDRO MOREIRA"/>
    <s v="CRISTIAN JHON"/>
  </r>
  <r>
    <n v="2022"/>
    <x v="2"/>
    <s v="EL PAICO"/>
    <s v="PERALTA BARRAZA "/>
    <s v="RICARDO "/>
    <x v="0"/>
    <s v="10366551-5"/>
    <d v="2005-06-01T00:00:00"/>
    <n v="201"/>
    <d v="2022-03-19T00:00:00"/>
    <x v="0"/>
    <m/>
    <m/>
    <m/>
    <n v="0"/>
    <x v="0"/>
    <m/>
    <x v="0"/>
    <x v="7"/>
    <x v="15"/>
    <s v="OPERARIO"/>
    <s v="DROP POINT"/>
    <s v="N/A"/>
    <x v="0"/>
    <d v="1899-12-30T09:20:00"/>
    <x v="3"/>
    <s v="SEMANA 11"/>
    <m/>
    <m/>
    <s v="OCTAVIO MUÑOZ"/>
    <x v="21"/>
    <n v="55"/>
    <x v="9"/>
    <x v="4"/>
    <s v="Contusión"/>
    <x v="10"/>
    <s v=" TRABAJADOR SE GOLPEA EL PIE DERECHO CON UN PALLET CON PRODUCTO CUANDO REALIZADA ENZUNCHADO"/>
    <x v="1"/>
    <x v="0"/>
    <x v="0"/>
    <s v="PEDRO MOREIRA"/>
    <s v="WLADIMIR CALDERON"/>
  </r>
  <r>
    <n v="2022"/>
    <x v="2"/>
    <s v="EL PAICO"/>
    <s v="HORMAZABAL CARRASCO"/>
    <s v="YEISON MAURICIO"/>
    <x v="0"/>
    <s v="20871928-9"/>
    <d v="2021-10-25T00:00:00"/>
    <n v="4"/>
    <d v="2022-03-22T00:00:00"/>
    <x v="1"/>
    <m/>
    <m/>
    <m/>
    <n v="0"/>
    <x v="0"/>
    <m/>
    <x v="0"/>
    <x v="1"/>
    <x v="10"/>
    <s v="OPERARIO"/>
    <s v="RECEPCION AVE VIVA"/>
    <s v="N/A"/>
    <x v="2"/>
    <d v="1899-12-30T18:00:00"/>
    <x v="1"/>
    <s v="SEMANA 12"/>
    <m/>
    <m/>
    <s v="NICOLAS MOYANO"/>
    <x v="16"/>
    <n v="19"/>
    <x v="5"/>
    <x v="1"/>
    <s v="Contusión"/>
    <x v="4"/>
    <s v="TRABAJADOR EL SACAR AVE DE LA JAULA, ESTA COMIENZA A ALETEAR Y PRODUCE ENTRADAS DE PARTICULAR AL OJO DERECHO, NO SE ENCONTRABA CON SU EPP"/>
    <x v="1"/>
    <x v="0"/>
    <x v="0"/>
    <s v="CARLOS JIMENEZ"/>
    <s v="MICHEL SANCHEZ"/>
  </r>
  <r>
    <n v="2022"/>
    <x v="2"/>
    <s v="EL PAICO"/>
    <s v="AUGUSTIN "/>
    <s v="ISMONDE"/>
    <x v="0"/>
    <s v="26267411-8"/>
    <d v="2022-01-24T00:00:00"/>
    <n v="1"/>
    <d v="2022-03-23T00:00:00"/>
    <x v="1"/>
    <m/>
    <m/>
    <m/>
    <n v="0"/>
    <x v="0"/>
    <m/>
    <x v="0"/>
    <x v="2"/>
    <x v="2"/>
    <s v="OPERARIO"/>
    <s v="DESHUEZADO"/>
    <s v="N/A"/>
    <x v="2"/>
    <d v="1899-12-30T12:30:00"/>
    <x v="2"/>
    <s v="SEMANA 12"/>
    <m/>
    <m/>
    <s v="DANIEL GARRIDO"/>
    <x v="13"/>
    <n v="26"/>
    <x v="11"/>
    <x v="3"/>
    <s v="Contusión"/>
    <x v="4"/>
    <s v=" TRABAJADOR AL SACAR UNA CAJA PLÁSTICA CON UNA SOLA MANO ESTA SE CAE Y GOLPEA LA CEJA IZQUIERDA "/>
    <x v="1"/>
    <x v="0"/>
    <x v="0"/>
    <s v="PEDRO MOREIRA"/>
    <s v="WLADIMIR CALDERON"/>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r>
    <s v=" "/>
    <x v="3"/>
    <s v=" "/>
    <s v=" "/>
    <s v=" "/>
    <x v="2"/>
    <s v=" "/>
    <s v=" "/>
    <e v="#VALUE!"/>
    <s v=" "/>
    <x v="3"/>
    <m/>
    <m/>
    <m/>
    <s v=" "/>
    <x v="3"/>
    <m/>
    <x v="0"/>
    <x v="8"/>
    <x v="16"/>
    <m/>
    <m/>
    <m/>
    <x v="3"/>
    <m/>
    <x v="6"/>
    <m/>
    <m/>
    <m/>
    <s v=" "/>
    <x v="22"/>
    <s v=" "/>
    <x v="14"/>
    <x v="7"/>
    <s v=" "/>
    <x v="11"/>
    <s v=" "/>
    <x v="2"/>
    <x v="2"/>
    <x v="2"/>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5">
  <r>
    <x v="0"/>
    <s v="ENERO"/>
    <s v="EL PAICO"/>
    <s v=" cuevas vidal"/>
    <s v=" Victor "/>
    <s v="MASCULINO"/>
    <s v=" 9164248-4"/>
    <d v="2018-02-05T00:00:00"/>
    <n v="46"/>
    <d v="2022-01-03T00:00:00"/>
    <s v="ANTIGUO"/>
    <m/>
    <m/>
    <m/>
    <n v="0"/>
    <s v="STP"/>
    <m/>
    <m/>
    <x v="0"/>
    <s v="ASEO OPERACIONAL"/>
    <s v="OPERARIO"/>
    <x v="0"/>
    <x v="0"/>
    <s v="MAÑANA"/>
    <d v="1899-12-30T11:08:00"/>
    <s v="LUNES"/>
    <s v="SEMANA 01"/>
    <m/>
    <m/>
    <s v="FRANCISCO ROJAS"/>
    <s v="SERGIO AQUEVEQUE"/>
    <n v="60"/>
    <x v="0"/>
    <x v="0"/>
    <s v="Contusión"/>
    <s v="Caida de mismo nivel"/>
    <s v="TRABAJADOR REALIZANDO ASEO OPERACIONAL EN CAMARA  207 SUFRE CAIDA DE MISMO NIVEL EN CAMARA 207"/>
    <s v="CONDICION"/>
    <s v="SI"/>
    <s v="NO"/>
    <s v="PEDRO MOREIRA"/>
    <s v="CRISTIAN JHON"/>
  </r>
  <r>
    <x v="1"/>
    <s v="ENERO"/>
    <m/>
    <s v="JOHANNA"/>
    <s v="AVRIL ."/>
    <s v="MASCULINO"/>
    <s v="26118266-1"/>
    <d v="2021-08-03T00:00:00"/>
    <n v="5"/>
    <d v="2022-01-04T00:00:00"/>
    <s v="NUEVO"/>
    <m/>
    <m/>
    <m/>
    <n v="0"/>
    <s v="STP"/>
    <m/>
    <m/>
    <x v="0"/>
    <s v="ASEO OPERACIONAL"/>
    <s v="OPERARIO"/>
    <x v="1"/>
    <x v="0"/>
    <s v="NOCHE"/>
    <d v="1899-12-30T01:35:00"/>
    <s v="MARTES"/>
    <s v="SEMANA 01"/>
    <m/>
    <m/>
    <s v="FRANCISCO ROJAS"/>
    <s v="ROLANDO EMIHUEQUE"/>
    <n v="29"/>
    <x v="1"/>
    <x v="1"/>
    <s v="Quemadura"/>
    <s v="Proyeccion de particulas"/>
    <s v="PREPARANDO PRODUCTO CLORADO EN SALA DETERGENTE, SALPICA PRODUCTO EN OJOS"/>
    <s v="ACCION"/>
    <s v="SI"/>
    <s v="NO"/>
    <s v="LUIS LARENAS"/>
    <s v="CRISTIAN JHON"/>
  </r>
  <r>
    <x v="0"/>
    <s v="ENERO"/>
    <s v="EL PAICO"/>
    <s v=" cerón pinto"/>
    <s v=" José "/>
    <s v="MASCULINO"/>
    <s v=" 16292444-3"/>
    <d v="2021-11-15T00:00:00"/>
    <n v="1"/>
    <d v="2022-01-04T00:00:00"/>
    <s v="NUEVO"/>
    <m/>
    <m/>
    <m/>
    <n v="0"/>
    <s v="STP"/>
    <m/>
    <m/>
    <x v="1"/>
    <s v="EVICERADO"/>
    <s v="OPERARIO"/>
    <x v="2"/>
    <x v="0"/>
    <s v="MAÑANA"/>
    <d v="1899-12-30T09:45:00"/>
    <s v="MARTES"/>
    <s v="SEMANA 01"/>
    <m/>
    <m/>
    <s v="NICOLAS MOYANO"/>
    <s v="ERWIN GATICA"/>
    <n v="35"/>
    <x v="2"/>
    <x v="2"/>
    <s v="Herida cortante"/>
    <s v="Contacto con cuerpo punzante"/>
    <s v="TRABAJADOR AL CAER CUCHILLO TRATA DE TOMARLO Y SE GENERA CORTE EN SU MANO"/>
    <s v="ACCION"/>
    <s v="SI"/>
    <s v="NO"/>
    <s v="PEDRO MOREIRA"/>
    <s v="APOYO"/>
  </r>
  <r>
    <x v="0"/>
    <s v="ENERO"/>
    <s v="EL PAICO"/>
    <s v=" Gallagher Riveros"/>
    <s v=" Maria Isabel "/>
    <s v="FEMENINO"/>
    <s v="10144095-8"/>
    <d v="2021-11-15T00:00:00"/>
    <n v="1"/>
    <d v="2022-01-05T00:00:00"/>
    <s v="NUEVO"/>
    <m/>
    <m/>
    <m/>
    <n v="0"/>
    <s v="STP"/>
    <m/>
    <m/>
    <x v="2"/>
    <s v="DESHUEZADO"/>
    <s v="OPERARIO"/>
    <x v="3"/>
    <x v="0"/>
    <s v="MAÑANA"/>
    <d v="1899-12-30T07:15:00"/>
    <s v="MIERCOLES"/>
    <s v="SEMANA 01"/>
    <m/>
    <m/>
    <s v="DANIEL GARRIDO"/>
    <s v="RAFAEL ASTORGA"/>
    <n v="57"/>
    <x v="0"/>
    <x v="0"/>
    <s v="Contusión"/>
    <s v="Caida de mismo nivel"/>
    <s v=" Sufre caída a nivel con rejilla de evacuación de agua que sobresalía del piso"/>
    <s v="CONDICION"/>
    <s v="SI"/>
    <s v="NO"/>
    <s v="PEDRO MOREIRA"/>
    <s v="CRISTIAN JHON"/>
  </r>
  <r>
    <x v="0"/>
    <s v="ENERO"/>
    <s v="EL PAICO"/>
    <s v=" Trujillo Bustos"/>
    <s v=" Hilda "/>
    <s v="FEMENINO"/>
    <s v=" 11366546-0"/>
    <d v="2015-02-11T00:00:00"/>
    <n v="82"/>
    <d v="2022-01-05T00:00:00"/>
    <s v="ANTIGUO"/>
    <d v="2022-01-05T00:00:00"/>
    <d v="2022-01-05T00:00:00"/>
    <m/>
    <n v="0"/>
    <s v="STP"/>
    <m/>
    <m/>
    <x v="3"/>
    <s v="TROZADO"/>
    <s v="OPERARIO"/>
    <x v="3"/>
    <x v="1"/>
    <s v="TARDE"/>
    <d v="1899-12-30T13:40:00"/>
    <s v="MIERCOLES"/>
    <s v="SEMANA 01"/>
    <n v="14948"/>
    <s v="NC-07-22"/>
    <s v="GUILLERMO NARVAEZ"/>
    <s v="MARCELA MARDONES"/>
    <n v="56"/>
    <x v="3"/>
    <x v="3"/>
    <s v="Herida cortante"/>
    <s v="Contacto con cuerpo cortante"/>
    <s v=" TRABAJADORA AL AGACHARCE SE GOLPEA CON ORILLA DE CINTA GENERANDO CORTE SUPERFICIAL EN CASTADO DE LA CEJA"/>
    <s v="ACCION"/>
    <s v="SI"/>
    <s v="SI"/>
    <s v="LUIS LARENAS"/>
    <s v="MICHEL SANCHEZ"/>
  </r>
  <r>
    <x v="0"/>
    <s v="ENERO"/>
    <s v="EL PAICO"/>
    <s v="ORTIZ NAVARRO "/>
    <s v="BRIAN ANTONIO"/>
    <s v="MASCULINO"/>
    <s v=" 20604977-4"/>
    <d v="2021-10-19T00:00:00"/>
    <n v="2"/>
    <d v="2022-01-05T00:00:00"/>
    <s v="NUEVO"/>
    <d v="2022-01-05T00:00:00"/>
    <d v="2022-01-08T00:00:00"/>
    <m/>
    <n v="4"/>
    <s v="CTP"/>
    <m/>
    <m/>
    <x v="4"/>
    <s v="CALIBRADO"/>
    <s v="OPERARIO"/>
    <x v="4"/>
    <x v="2"/>
    <s v="NOCHE"/>
    <d v="1899-12-30T23:45:00"/>
    <s v="MIERCOLES"/>
    <s v="SEMANA 01"/>
    <n v="14950"/>
    <s v="NC-06-22"/>
    <s v="GUILLERMO NARVAEZ"/>
    <s v="MAXIMO CAMPOS"/>
    <n v="18"/>
    <x v="4"/>
    <x v="2"/>
    <s v="Contusión"/>
    <s v="Golpeado por"/>
    <s v=" TRABAJADORA AL RECIBIR CAJA EN PROCESO SE GOLPEA SU DEDO MEÑIQUE GENERANDO CONTUSION"/>
    <s v="ACCION"/>
    <s v="SI"/>
    <s v="SI"/>
    <s v="LUIS LARENAS"/>
    <s v="MICHEL SANCHEZ"/>
  </r>
  <r>
    <x v="0"/>
    <s v="ENERO"/>
    <s v="EL PAICO"/>
    <s v="ESCOBAR"/>
    <s v="CAROLINA"/>
    <s v="FEMENINO"/>
    <s v="18347676-9"/>
    <d v="2020-06-02T00:00:00"/>
    <n v="19"/>
    <d v="2022-01-08T00:00:00"/>
    <s v="INTERMEDIO"/>
    <m/>
    <m/>
    <m/>
    <n v="0"/>
    <s v="STP"/>
    <m/>
    <m/>
    <x v="1"/>
    <s v="EVICERADO"/>
    <s v="OPERARIO"/>
    <x v="5"/>
    <x v="0"/>
    <s v="MAÑANA"/>
    <d v="1899-12-30T10:15:00"/>
    <s v="SABADO"/>
    <s v="SEMANA 01"/>
    <m/>
    <m/>
    <s v="NICOLAS MOYANO"/>
    <s v="CESAR CARTAGENA"/>
    <n v="28"/>
    <x v="3"/>
    <x v="2"/>
    <s v="Contusión"/>
    <s v="Caida de distinto nivel"/>
    <s v="TRABAJADORA SUBIENDO ESCALONES DE PIE APOYO EN LINEA PANA PISA SU CAPA ESTA SE RESBALA SE GENERA GOLPE EN SU MANO"/>
    <s v="ACCION"/>
    <s v="SI"/>
    <s v="NO"/>
    <s v="PEDRO MOREIRA"/>
    <s v="CRISTIAN JHON"/>
  </r>
  <r>
    <x v="0"/>
    <s v="ENERO"/>
    <s v="EL PAICO"/>
    <s v="ASTORGA"/>
    <s v="RAFAEL "/>
    <s v="MASCULINO"/>
    <s v=" 14007893-K"/>
    <d v="1981-08-16T00:00:00"/>
    <n v="494"/>
    <d v="2022-11-10T00:00:00"/>
    <s v="ANTIGUO"/>
    <m/>
    <m/>
    <m/>
    <n v="0"/>
    <s v="STP"/>
    <m/>
    <m/>
    <x v="2"/>
    <s v="DESHUEZADO"/>
    <s v="SUPERVISOR"/>
    <x v="3"/>
    <x v="0"/>
    <s v="TARDE"/>
    <d v="1899-12-30T19:30:00"/>
    <s v="LUNES"/>
    <s v="SEMANA 02"/>
    <m/>
    <m/>
    <s v="DANIEL GARRIDO"/>
    <s v="RAFAEL ASTORGA"/>
    <n v="40"/>
    <x v="5"/>
    <x v="4"/>
    <s v="Contusión"/>
    <s v="Caida de mismo nivel"/>
    <s v=" A pisar un trozo de cuero de pollo que se encontraba en el piso, sufre caída a mismo nivel mas contusión en rodilla izquierda. Se observa leve aumento de volumen, sin disfunción en la movilidad."/>
    <s v="CONDICION"/>
    <s v="NO"/>
    <s v="NO"/>
    <s v="PEDRO MOREIRA"/>
    <s v="MICHEL SANCHEZ"/>
  </r>
  <r>
    <x v="0"/>
    <s v="ENERO"/>
    <s v="EL PAICO"/>
    <s v=" Moreno Mardones"/>
    <s v=" Isamar "/>
    <s v="FEMENINO"/>
    <s v="18030936-5"/>
    <d v="2019-08-12T00:00:00"/>
    <n v="29"/>
    <d v="2022-01-13T00:00:00"/>
    <s v="INTERMEDIO"/>
    <m/>
    <m/>
    <m/>
    <n v="0"/>
    <s v="STP"/>
    <m/>
    <m/>
    <x v="2"/>
    <s v="DESHUEZADO"/>
    <s v="OPERARIO"/>
    <x v="3"/>
    <x v="0"/>
    <s v="MAÑANA"/>
    <d v="1899-12-30T09:30:00"/>
    <s v="JUEVES"/>
    <s v="SEMANA 02"/>
    <m/>
    <m/>
    <s v="DANIEL GARRIDO"/>
    <s v="RAMIRO RAMIREZ"/>
    <n v="29"/>
    <x v="6"/>
    <x v="2"/>
    <s v="Contusión"/>
    <s v="Golpeado por"/>
    <s v=" Sufre atrición de mano y muñeca derecha entre bins y transpaleta eléctrica al posicionar etiqueta en el centro del bins y no en la orilla"/>
    <s v="ACCION"/>
    <s v="SI"/>
    <s v="NO"/>
    <s v="LUIS LARENAS"/>
    <s v="MICHEL SANCHEZ"/>
  </r>
  <r>
    <x v="0"/>
    <s v="ENERO"/>
    <s v="EL PAICO"/>
    <s v="  CHACON MARTINEZ"/>
    <s v=" CATALINA DEL CARMEN"/>
    <s v="FEMENINO"/>
    <s v=" 18031023-1"/>
    <d v="2021-08-02T00:00:00"/>
    <n v="5"/>
    <d v="2022-01-14T00:00:00"/>
    <s v="NUEVO"/>
    <m/>
    <m/>
    <m/>
    <n v="0"/>
    <s v="STP"/>
    <m/>
    <m/>
    <x v="5"/>
    <s v="ASEO OPERACIONAL"/>
    <s v="OPERARIO"/>
    <x v="6"/>
    <x v="3"/>
    <s v="NOCHE"/>
    <d v="1899-12-30T03:30:00"/>
    <s v="VIERNES"/>
    <s v="SEMANA 02"/>
    <m/>
    <m/>
    <s v="VICTOR GOMEZ"/>
    <s v="NICOLAS ROJAS"/>
    <n v="29"/>
    <x v="0"/>
    <x v="5"/>
    <s v="Contusión"/>
    <s v="Caida de mismo nivel"/>
    <s v="TRABAJADORA GENERANDO LIMPIEZA DE LA SALA LUBRICANTES , CUANDO APLICO DESENGRASANTES SE GENERA CAIDA DE MISMO NIVEL EN EL PISO RESBALANDOSE"/>
    <s v="CONDICION"/>
    <s v="SI"/>
    <s v="NO"/>
    <s v="LUIS LARENAS"/>
    <s v="APOYO"/>
  </r>
  <r>
    <x v="0"/>
    <s v="ENERO"/>
    <s v="EL PAICO"/>
    <s v="FUENTEALBA"/>
    <s v="FERNANDO"/>
    <s v="MASCULINO"/>
    <s v=" 16342700-1"/>
    <d v="2016-11-02T00:00:00"/>
    <n v="62"/>
    <d v="2022-01-13T00:00:00"/>
    <s v="ANTIGUO"/>
    <m/>
    <m/>
    <m/>
    <s v="X"/>
    <s v="CTP"/>
    <s v="LGF"/>
    <s v="LGF7"/>
    <x v="4"/>
    <s v="IQF4"/>
    <s v="SUPERVISOR"/>
    <x v="7"/>
    <x v="4"/>
    <s v="NOCHE"/>
    <d v="1899-12-30T22:10:00"/>
    <s v="JUEVES"/>
    <s v="SEMANA 02"/>
    <m/>
    <s v="NC-10-22"/>
    <s v="GUILLERMO NARVAEZ"/>
    <s v="FERNANDO FUENTEALBA"/>
    <n v="35"/>
    <x v="7"/>
    <x v="2"/>
    <s v="Fractura"/>
    <s v="Atrapamiento"/>
    <s v="TRABAJADOR AL REALIZAR CONTROL DE TEMPERATURA EN REVISIÓN DE EQUIPO CON EMPRESA EXTERNA, SE GENERA ATRAPAMIENTO ENTRE LA CINTA SUPERIOR 1 Y EL RASPADOR SIN DETENER EQUIPO"/>
    <s v="ACCION"/>
    <s v="NO"/>
    <s v="SI"/>
    <s v="PEDRO MOREIRA"/>
    <s v="APOYO"/>
  </r>
  <r>
    <x v="0"/>
    <s v="ENERO"/>
    <s v="EL PAICO"/>
    <s v=" DAURESTANT"/>
    <s v=" DAMIL "/>
    <s v="MASCULINO"/>
    <s v="26001619-9"/>
    <d v="2018-01-04T00:00:00"/>
    <n v="48"/>
    <d v="2022-01-14T00:00:00"/>
    <s v="ANTIGUO"/>
    <m/>
    <m/>
    <m/>
    <n v="8"/>
    <s v="CTP"/>
    <m/>
    <m/>
    <x v="1"/>
    <s v="MATADERO"/>
    <s v="OPERARIO"/>
    <x v="8"/>
    <x v="0"/>
    <s v="TARDE"/>
    <d v="1899-12-30T15:00:00"/>
    <s v="VIERNES"/>
    <s v="SEMANA 02"/>
    <m/>
    <s v="NC-11-22"/>
    <s v="NICOLAS MOYANO"/>
    <s v="ERWIN GATICA"/>
    <n v="38"/>
    <x v="2"/>
    <x v="2"/>
    <s v="Herida cortante"/>
    <s v="Contacto con cuerpo cortante"/>
    <s v="TRABAJADOR REALIZANDO PROCESO DE CORTE CON POLLO SIN USO DE GUANTES DE ACERO SE GENERA UN CORTE PROFUNDO EN DEDO INDICE MANO IZQUIERDA"/>
    <s v="ACCION"/>
    <s v="SI"/>
    <s v="SI"/>
    <s v="PEDRO MOREIRA"/>
    <s v="CRISTIAN JHON"/>
  </r>
  <r>
    <x v="0"/>
    <s v="ENERO"/>
    <s v="EL PAICO"/>
    <s v="KENSON"/>
    <s v="NICOLAS"/>
    <s v="MASCULINO"/>
    <s v=" 25991033-1"/>
    <d v="2021-08-04T00:00:00"/>
    <n v="5"/>
    <d v="2022-01-17T00:00:00"/>
    <s v="NUEVO"/>
    <m/>
    <m/>
    <m/>
    <n v="0"/>
    <s v="STP"/>
    <m/>
    <m/>
    <x v="2"/>
    <s v="DESHUEZADO"/>
    <s v="OPERARIO"/>
    <x v="3"/>
    <x v="0"/>
    <s v="MAÑANA"/>
    <d v="1899-12-30T09:00:00"/>
    <s v="LUNES"/>
    <s v="SEMANA 03"/>
    <m/>
    <m/>
    <s v="DANIEL GARRIDO"/>
    <s v="RAFAEL ASTORGA"/>
    <n v="28"/>
    <x v="6"/>
    <x v="2"/>
    <s v="Contusión"/>
    <s v="Sobreesfuerzo"/>
    <s v=" Sufre contusión en zona metacarpiana (nudillos) de la mano derecha al tirar un bins"/>
    <s v="ACCION"/>
    <s v="SI"/>
    <s v="NO"/>
    <s v="PEDRO MOREIRA"/>
    <s v="MICHEL SANCHEZ"/>
  </r>
  <r>
    <x v="0"/>
    <s v="ENERO"/>
    <s v="EL PAICO"/>
    <s v=" AHUMADA MARTÍNEZ"/>
    <s v=" FERNANDO "/>
    <s v="MASCULINO"/>
    <s v=" 6212724-4"/>
    <d v="2014-04-28T00:00:00"/>
    <n v="92"/>
    <d v="2022-01-18T00:00:00"/>
    <s v="ANTIGUO"/>
    <m/>
    <m/>
    <m/>
    <n v="0"/>
    <s v="STP"/>
    <m/>
    <m/>
    <x v="0"/>
    <s v="SHILLER"/>
    <s v="OPERARIO"/>
    <x v="9"/>
    <x v="5"/>
    <s v="MAÑANA"/>
    <d v="1899-12-30T10:15:00"/>
    <s v="MARTES"/>
    <s v="SEMANA 03"/>
    <m/>
    <m/>
    <s v="FRANCISCO ROJAS"/>
    <s v="CRISTIAN DURAN"/>
    <n v="69"/>
    <x v="0"/>
    <x v="4"/>
    <s v="Contusión"/>
    <s v="Caida de mismo nivel"/>
    <s v=" COLABORADOR REALIZABA DESPEJO DE HIELO EN SECTOR CHILLER, Y CON HIELO EN PISO SE GENERA CAIDA DE MISMO NIVEL."/>
    <s v="ACCION"/>
    <s v="SI"/>
    <s v="NO"/>
    <s v="PEDRO MOREIRA"/>
    <s v="APOYO"/>
  </r>
  <r>
    <x v="0"/>
    <s v="ENERO"/>
    <s v="EL PAICO"/>
    <s v="VALENZUELA MELLA"/>
    <s v="JUAN"/>
    <s v="MASCULINO"/>
    <s v="15477532-3"/>
    <d v="2021-11-23T00:00:00"/>
    <n v="1"/>
    <d v="2022-01-20T00:00:00"/>
    <s v="NUEVO"/>
    <m/>
    <m/>
    <m/>
    <n v="0"/>
    <s v="STP"/>
    <m/>
    <m/>
    <x v="6"/>
    <s v="SALA EMPAQUE"/>
    <s v="OPERARIO"/>
    <x v="10"/>
    <x v="0"/>
    <s v="MAÑANA"/>
    <d v="1899-12-30T11:50:00"/>
    <s v="JUEVES"/>
    <s v="SEMANA 03"/>
    <m/>
    <m/>
    <s v="FRANCISCO QUEZADA"/>
    <s v="JUAN VILLAVICENCIO"/>
    <n v="38"/>
    <x v="8"/>
    <x v="2"/>
    <s v="Herida cortante"/>
    <s v="Contacto con cuerpo cortante"/>
    <s v="TRABAJADOR REALIZANDO DESPEJE DE HIELO CON LAMINA DE CARTON SE GENERA CORTE SUPERFICIAL EN DEDO INDICE DEREHCO"/>
    <s v="ACCION"/>
    <s v="SI"/>
    <s v="NO"/>
    <s v="PEDRO MOREIRA"/>
    <s v="CRISTIAN JHON"/>
  </r>
  <r>
    <x v="0"/>
    <s v="ENERO"/>
    <s v="EL PAICO"/>
    <s v="RODRIGUEZ"/>
    <s v="CRISTOBAL"/>
    <s v="MASCULINO"/>
    <s v=" 21067853-0"/>
    <d v="2021-07-01T00:00:00"/>
    <n v="6"/>
    <d v="2022-01-19T00:00:00"/>
    <s v="NUEVO"/>
    <m/>
    <m/>
    <m/>
    <n v="0"/>
    <s v="STP"/>
    <m/>
    <m/>
    <x v="2"/>
    <s v="AUTOMATICO"/>
    <s v="OPERARIO"/>
    <x v="11"/>
    <x v="0"/>
    <s v="TARDE"/>
    <d v="1899-12-30T16:20:00"/>
    <s v="MIERCOLES"/>
    <s v="SEMANA 03"/>
    <m/>
    <m/>
    <s v="DANIEL GARRIDO"/>
    <s v="JOSE CARVALLO"/>
    <n v="19"/>
    <x v="9"/>
    <x v="2"/>
    <s v="Contusión"/>
    <s v="Golpeado por"/>
    <s v="TRABAJADOR SE GOLPEA LA MANO AL CAER PRODUCTO APILADO DEL PALLET"/>
    <s v="CONDICION"/>
    <s v="SI"/>
    <s v="NO"/>
    <s v="CARLOS JIMENEZ"/>
    <s v="APOYO"/>
  </r>
  <r>
    <x v="0"/>
    <s v="ENERO"/>
    <s v="EL PAICO"/>
    <s v="TELFORT . "/>
    <s v="MACDIANNE"/>
    <s v="FEMENINO"/>
    <s v="26091858-3"/>
    <d v="2021-10-26T00:00:00"/>
    <n v="2"/>
    <d v="2022-01-24T00:00:00"/>
    <s v="NUEVO"/>
    <m/>
    <m/>
    <m/>
    <n v="0"/>
    <s v="STP"/>
    <m/>
    <m/>
    <x v="2"/>
    <s v="AUTOMATICO"/>
    <s v="OPERARIO"/>
    <x v="11"/>
    <x v="0"/>
    <s v="TARDE"/>
    <d v="1899-12-30T19:47:00"/>
    <s v="LUNES"/>
    <s v="SEMANA 04"/>
    <m/>
    <m/>
    <s v="DANIEL GARRIDO"/>
    <s v="ARNALDO VERA"/>
    <n v="29"/>
    <x v="6"/>
    <x v="2"/>
    <s v="Contusión"/>
    <s v="Golpeado por"/>
    <s v="GOLPEA SU MANO DERECHA CON BINS QUE ES TRANPORTADO CON PRODUCTO POR TRANSPALETA MANUAL"/>
    <s v="ACCION"/>
    <s v="SI"/>
    <s v="NO"/>
    <s v="PEDRO MOREIRA"/>
    <s v="CRISTIAN JHON"/>
  </r>
  <r>
    <x v="0"/>
    <s v="ENERO"/>
    <s v="EL PAICO"/>
    <s v="CONTRERAS"/>
    <s v="ROMY"/>
    <s v="FEMENINO"/>
    <s v="10699404-8"/>
    <d v="2020-04-13T00:00:00"/>
    <n v="21"/>
    <d v="2022-01-24T00:00:00"/>
    <s v="INTERMEDIO"/>
    <d v="2022-01-24T00:00:00"/>
    <d v="2022-01-28T00:00:00"/>
    <m/>
    <n v="5"/>
    <s v="CTP"/>
    <m/>
    <m/>
    <x v="0"/>
    <s v="ASEO OPERACIONAL"/>
    <s v="OPERARIO"/>
    <x v="12"/>
    <x v="0"/>
    <s v="NOCHE"/>
    <d v="1899-12-30T23:54:00"/>
    <s v="LUNES"/>
    <s v="SEMANA 04"/>
    <n v="14949"/>
    <s v="NC -16 -22"/>
    <s v="FRANCISCO ROJAS"/>
    <s v="LUIS URBINA"/>
    <n v="42"/>
    <x v="10"/>
    <x v="0"/>
    <s v="Otros"/>
    <s v="Picadura"/>
    <s v="TRABAJADORA CAMBIANDOSE ROPA EN CAMARINES DE MUJERES SUFRE PICADURA EN SU PIERNA POR INSECTO (ARAÑA)"/>
    <s v="CONDICION"/>
    <s v="SI"/>
    <s v="SI"/>
    <s v="CARLOS JIMENEZ"/>
    <s v="CRISTIAN JHON"/>
  </r>
  <r>
    <x v="0"/>
    <s v="ENERO"/>
    <s v="EL PAICO"/>
    <s v=" LOYOLA DIAZ"/>
    <s v=" CRISTINA "/>
    <s v="FEMENINO"/>
    <s v="16856182-2"/>
    <d v="2017-02-13T00:00:00"/>
    <n v="59"/>
    <d v="2022-01-31T00:00:00"/>
    <s v="ANTIGUO"/>
    <m/>
    <m/>
    <m/>
    <n v="0"/>
    <s v="STP"/>
    <m/>
    <m/>
    <x v="0"/>
    <s v="ASEO OPERACIONAL"/>
    <s v="OPERARIO"/>
    <x v="13"/>
    <x v="0"/>
    <s v="NOCHE"/>
    <d v="1899-12-30T05:00:00"/>
    <s v="LUNES"/>
    <s v="SEMANA 05"/>
    <m/>
    <m/>
    <s v="FRANCISCO ROJAS"/>
    <s v="ROLANDO EMIHUEQUE"/>
    <n v="33"/>
    <x v="8"/>
    <x v="2"/>
    <s v="Quemadura"/>
    <s v="Contacto con temperaturas extremas"/>
    <s v="TRABAJADORA REALIZANDO PROCESO DE ASEO CON MAGUERA Y AGUA CALIENTE, AL CORTASE LA LUZ EN MANGUERA SOLO SALIO VAPOR Y SE GENERO QUEMADURA SUPERFICIAL EN LAS MANOS"/>
    <s v="CONDICION"/>
    <s v="SI"/>
    <s v="NO"/>
    <s v="PEDRO MOREIRA"/>
    <s v="CRISTIAN JHON"/>
  </r>
  <r>
    <x v="0"/>
    <s v="FEBRERO"/>
    <s v="EL PAICO"/>
    <s v="FERRADA BUSTOS"/>
    <s v="SANDRA"/>
    <s v="FEMENINO"/>
    <s v="14268098-K"/>
    <d v="2022-02-02T00:00:00"/>
    <n v="0"/>
    <d v="2022-02-02T00:00:00"/>
    <s v="NUEVO"/>
    <m/>
    <m/>
    <m/>
    <n v="0"/>
    <s v="STP"/>
    <m/>
    <m/>
    <x v="4"/>
    <s v="CALIBRADO"/>
    <s v="OPERARIO"/>
    <x v="4"/>
    <x v="0"/>
    <s v="MAÑANA"/>
    <d v="1899-12-30T06:45:00"/>
    <s v="MIERCOLES"/>
    <s v="SEMANA 05"/>
    <m/>
    <m/>
    <s v="GUILLERMO NARVAEZ"/>
    <s v="MIGUEL HENRRIQUEZ"/>
    <n v="49"/>
    <x v="5"/>
    <x v="2"/>
    <s v="Contusión"/>
    <s v="Golpeado por"/>
    <s v="TRABAJADORA EN LINEA CONGELADO DE CALIBRADO AL RECIBIR PRODUCTO EN CAPACHO CAE PRODUCTO SOBRE SUS MANOS GENERANDO DOLECIA EN SUS MANOS"/>
    <s v="CONDICION"/>
    <s v="SI"/>
    <s v="NO"/>
    <s v="LUIS LARENAS"/>
    <s v="APOYO"/>
  </r>
  <r>
    <x v="0"/>
    <s v="FEBRERO"/>
    <s v="EL PAICO"/>
    <s v=" Cabrera Naranjo"/>
    <s v=" Francisco Javier "/>
    <s v="MASCULINO"/>
    <s v="19069621-9"/>
    <d v="2021-08-09T00:00:00"/>
    <n v="5"/>
    <d v="2022-02-07T00:00:00"/>
    <s v="NUEVO"/>
    <m/>
    <m/>
    <m/>
    <n v="0"/>
    <s v="STP"/>
    <m/>
    <m/>
    <x v="0"/>
    <s v="ASEO OPERACIONAL"/>
    <s v="OPERARIO"/>
    <x v="6"/>
    <x v="0"/>
    <s v="NOCHE"/>
    <d v="1899-12-30T01:45:00"/>
    <s v="LUNES"/>
    <s v="SEMANA 06"/>
    <m/>
    <m/>
    <s v="FRANCISCO ROJAS"/>
    <s v="ROLANDO EMIHUEQUE"/>
    <n v="26"/>
    <x v="3"/>
    <x v="2"/>
    <s v="Contusión"/>
    <s v="Golpeado por"/>
    <s v="REALIZANDO PRE LAVADO OPERACIONAL, ESTRUCUTRA METALICA (MESA) DESLIZANDOLA CAE SOBRE SU MANO GENERANDO GOLPE EN SU DEDO ANULAR IZQUIERDO"/>
    <s v="ACCION"/>
    <s v="SI"/>
    <s v="NO"/>
    <s v="LUIS LARENAS"/>
    <s v="MICHEL SANCHEZ"/>
  </r>
  <r>
    <x v="0"/>
    <s v="FEBRERO"/>
    <s v="EL PAICO"/>
    <s v="GUILLEMRO"/>
    <s v="FRANCO"/>
    <s v="MASCULINO"/>
    <s v="18777798-4"/>
    <d v="2021-01-18T00:00:00"/>
    <n v="12"/>
    <d v="2022-02-09T00:00:00"/>
    <s v="NUEVO"/>
    <d v="2022-02-10T00:00:00"/>
    <d v="2022-02-10T00:00:00"/>
    <m/>
    <n v="0"/>
    <s v="STP"/>
    <m/>
    <m/>
    <x v="1"/>
    <s v="RECEPCION AVE VIVA"/>
    <s v="OPERARIO"/>
    <x v="14"/>
    <x v="0"/>
    <s v="TARDE"/>
    <d v="1899-12-30T16:00:00"/>
    <s v="MIERCOLES"/>
    <s v="SEMANA 06"/>
    <n v="14943"/>
    <s v="NC -19 - 22"/>
    <s v="NICOLAS MOYANO"/>
    <s v="ANTONIO RIVAS"/>
    <n v="27"/>
    <x v="5"/>
    <x v="1"/>
    <s v="Conjuntivitis"/>
    <s v="Proyeccion de particulas"/>
    <s v="TRABAJADOR REALIZANDO MOVIMIENTO D EPALLET CON ANIMAL VIVO, TIENE ALCANCE DE PROYECCION DE PARTICULAS (FECAS) EN EL OJO DERECHO, SIN USO DE GAFAS DE SEGURIDAD ADECUADO"/>
    <s v="ACCION"/>
    <s v="SI"/>
    <s v="SI"/>
    <s v="PEDRO MOREIRA"/>
    <s v="CRISTIAN JHON"/>
  </r>
  <r>
    <x v="0"/>
    <s v="FEBRERO"/>
    <s v="EL PAICO"/>
    <s v=" Zuñiga Cabello"/>
    <s v=" Marco "/>
    <s v="MASCULINO"/>
    <s v="11945385-2"/>
    <d v="2022-02-01T00:00:00"/>
    <n v="0"/>
    <d v="2022-02-15T00:00:00"/>
    <s v="NUEVO"/>
    <m/>
    <m/>
    <m/>
    <n v="0"/>
    <s v="STP"/>
    <m/>
    <m/>
    <x v="7"/>
    <s v="REPORTE DE CAJAS"/>
    <s v="OPERARIO"/>
    <x v="15"/>
    <x v="0"/>
    <s v="NOCHE"/>
    <d v="1899-12-30T23:00:00"/>
    <s v="MARTES"/>
    <s v="SEMANA 07"/>
    <m/>
    <m/>
    <s v="OCTAVIO MUÑOZ"/>
    <s v="RONALD ONELL"/>
    <s v="X"/>
    <x v="0"/>
    <x v="0"/>
    <s v="Contusión"/>
    <s v="Caida de mismo nivel"/>
    <s v="TRABAJADOR AL REALIZAR RECUBRIMIENTO DE EQUIPO PULPA, PASA POR PISO HUMEDO Y RESBALA"/>
    <s v="CONDICION"/>
    <s v="SI"/>
    <s v="NO"/>
    <s v="LUIS LARENAS"/>
    <s v="MICHEL SANCHEZ"/>
  </r>
  <r>
    <x v="0"/>
    <s v="FEBRERO"/>
    <s v="EL PAICO"/>
    <s v="  DESIR"/>
    <s v="CRETUDE"/>
    <s v="FEMENINO"/>
    <s v=" 25622045-8"/>
    <d v="2021-03-11T00:00:00"/>
    <n v="11"/>
    <d v="2022-02-16T00:00:00"/>
    <s v="NUEVO"/>
    <m/>
    <m/>
    <m/>
    <n v="0"/>
    <s v="STP"/>
    <m/>
    <m/>
    <x v="2"/>
    <s v="DESHUEZADO"/>
    <s v="OPERARIO"/>
    <x v="16"/>
    <x v="0"/>
    <s v="TARDE"/>
    <d v="1899-12-30T13:10:00"/>
    <s v="MIERCOLES"/>
    <s v="SEMANA 07"/>
    <m/>
    <m/>
    <s v="DANIEL GARRIDO"/>
    <s v="RAMIRO RAMIREZ"/>
    <n v="41"/>
    <x v="3"/>
    <x v="0"/>
    <s v="Contusión"/>
    <s v="Caida de distinto nivel"/>
    <s v="TRABAJADOR BAJANDO POR ESCALA PASILLO PRINCIPAL, RESBALA Y SE GENERA CAIDA DISTINTO NIVEL"/>
    <s v="ACCION"/>
    <s v="SI"/>
    <s v="NO"/>
    <s v="LUIS LARENAS"/>
    <s v="HERALDO P"/>
  </r>
  <r>
    <x v="0"/>
    <s v="FEBRERO"/>
    <s v="EL PAICO"/>
    <s v="  Aguilar Weinberger"/>
    <s v=" Nicolas"/>
    <s v="MASCULINO"/>
    <s v="20561193-2"/>
    <d v="2021-01-21T00:00:00"/>
    <n v="13"/>
    <d v="2022-02-22T00:00:00"/>
    <s v="NUEVO"/>
    <m/>
    <m/>
    <m/>
    <n v="0"/>
    <s v="STP"/>
    <m/>
    <m/>
    <x v="2"/>
    <s v="DESHUEZADO"/>
    <s v="OPERARIO"/>
    <x v="3"/>
    <x v="0"/>
    <s v="TARDE"/>
    <d v="1899-12-30T12:00:00"/>
    <s v="MARTES"/>
    <s v="SEMANA 08"/>
    <m/>
    <m/>
    <s v="DANIEL GARRIDO"/>
    <s v="JOSE CARVALLO"/>
    <n v="19"/>
    <x v="11"/>
    <x v="2"/>
    <s v="Contusión"/>
    <s v="Sobreesfuerzo"/>
    <s v="Trasladando bandejas con felitillo, Al chocar con pallet sufre torsión de dedos medio y anular"/>
    <s v="ACCION"/>
    <s v="SI"/>
    <s v="NO"/>
    <s v="PEDRO MOREIRA"/>
    <s v="MICHEL SANCHEZ"/>
  </r>
  <r>
    <x v="0"/>
    <s v="FEBRERO"/>
    <s v="EL PAICO"/>
    <s v="  LARA PICHIMATA"/>
    <s v=" EDGAR"/>
    <s v="MASCULINO"/>
    <s v="24326149-k"/>
    <d v="2020-02-24T00:00:00"/>
    <n v="24"/>
    <d v="2022-02-25T00:00:00"/>
    <s v="INTERMEDIO"/>
    <m/>
    <m/>
    <m/>
    <n v="0"/>
    <s v="STP"/>
    <m/>
    <m/>
    <x v="0"/>
    <s v="CHILER DE AGUA"/>
    <s v="OPERARIO"/>
    <x v="17"/>
    <x v="0"/>
    <s v="NOCHE"/>
    <d v="1899-12-30T01:30:00"/>
    <s v="VIERNES"/>
    <s v="SEMANA 08"/>
    <m/>
    <m/>
    <s v="FRANCISCO ROJAS"/>
    <s v="ROLANDO EMIHUEQUE"/>
    <n v="56"/>
    <x v="1"/>
    <x v="1"/>
    <s v="Quemadura"/>
    <s v="Proyeccion de particulas"/>
    <s v="TRABAJADOR AL COLOCARCE FONOS NO SE PERCATA QUE ESTABAN ESTILANDO PRODUCTO QUIMICO, LO QUE GENERA CAIDA DE PARTICULAS EN SUS OJOS UNA VEZ YA POSICIONADOS EN SU CABEZA"/>
    <s v="ACCION"/>
    <s v="SI"/>
    <s v="NO"/>
    <s v="PEDRO MOREIRA"/>
    <s v="HERALDO P"/>
  </r>
  <r>
    <x v="0"/>
    <s v="FEBRERO"/>
    <s v="EL PAICO"/>
    <s v="ANTOINE"/>
    <s v="ANGELINE"/>
    <s v="FEMENINO"/>
    <s v="26232929-1"/>
    <d v="2021-10-26T00:00:00"/>
    <n v="4"/>
    <d v="2022-02-28T00:00:00"/>
    <s v="NUEVO"/>
    <m/>
    <m/>
    <m/>
    <n v="0"/>
    <s v="STP"/>
    <m/>
    <m/>
    <x v="2"/>
    <s v="AUTOMATICO"/>
    <s v="OPERARIO"/>
    <x v="11"/>
    <x v="0"/>
    <s v="MAÑANA"/>
    <d v="1899-12-30T07:50:00"/>
    <s v="LUNES"/>
    <s v="SEMANA 09"/>
    <m/>
    <m/>
    <s v="DANIEL GARRIDO"/>
    <s v="ARNALDO VERA"/>
    <n v="35"/>
    <x v="5"/>
    <x v="1"/>
    <s v="Contusión"/>
    <s v="Golpeado por"/>
    <s v="TRABAJADORA REALIZANDO SELECCIÓN DE PRODUCTO EN SU PUESTO DE TRABAJO, LLEGO UNA TRABAJADORA DE CALIDAD, QUIEN TIRA PRODUCTO AL BINS, HACE QUE LE LLEGE UN TROZO DEL PRODCTO EN EL OJO A LA TRABAJADORA AFECTADA "/>
    <s v="ACCION"/>
    <s v="SI"/>
    <s v="NO"/>
    <s v="PEDRO MOREIRA"/>
    <s v="HERALDO P"/>
  </r>
  <r>
    <x v="0"/>
    <s v="MARZO"/>
    <s v="EL PAICO"/>
    <s v="CUBILLOS GARATE"/>
    <s v="EMILIO ANTONIO "/>
    <s v="MASCULINO"/>
    <s v="19601836-0"/>
    <d v="2021-01-21T00:00:00"/>
    <n v="13"/>
    <d v="2022-03-03T00:00:00"/>
    <s v="NUEVO"/>
    <m/>
    <m/>
    <m/>
    <n v="0"/>
    <s v="STP"/>
    <m/>
    <m/>
    <x v="1"/>
    <s v="EVICERADO"/>
    <s v="OPERARIO"/>
    <x v="2"/>
    <x v="0"/>
    <s v="TARDE"/>
    <d v="1899-12-30T19:30:00"/>
    <s v="JUEVES"/>
    <s v="SEMANA 09"/>
    <m/>
    <m/>
    <s v="NICOLAS MOYANO"/>
    <s v="ERWIN GATICA"/>
    <n v="25"/>
    <x v="5"/>
    <x v="1"/>
    <s v="Contusión"/>
    <s v="Golpeado por"/>
    <s v="TRABAJADOR CORTANDO EL BUCHE DE POLLO, ESTE VENIA CON VISERAS Y AL MOMENTO DE SACARLAS LE SALTO ALGO EN EL OJO "/>
    <s v="ACCION"/>
    <s v="SI"/>
    <s v="NO"/>
    <s v="PEDRO MOREIRA"/>
    <s v="APOYO (SANDRA)"/>
  </r>
  <r>
    <x v="0"/>
    <s v="MARZO"/>
    <s v="EL PAICO"/>
    <s v="PIERRE"/>
    <s v="WILKENS"/>
    <s v="MASCULINO"/>
    <s v="26436438-8"/>
    <d v="2019-02-11T00:00:00"/>
    <n v="36"/>
    <d v="2022-03-08T00:00:00"/>
    <s v="INTERMEDIO"/>
    <m/>
    <m/>
    <m/>
    <n v="0"/>
    <s v="STP"/>
    <m/>
    <m/>
    <x v="2"/>
    <s v="AUTOMATICO"/>
    <s v="OPERARIO"/>
    <x v="11"/>
    <x v="0"/>
    <s v="TARDE"/>
    <d v="1899-12-30T13:45:00"/>
    <s v="MARTES"/>
    <s v="SEMANA 10"/>
    <m/>
    <m/>
    <s v="DANIEL GARRIDO"/>
    <s v="RAMIRO RAMIREZ"/>
    <n v="27"/>
    <x v="12"/>
    <x v="3"/>
    <s v="Contusión"/>
    <s v="Golpeado contra"/>
    <s v="TRABAJADOR AL AGACHARSE A RECOGER PRODUCTO, NO VE QUE EL BINS TENÍA UN TENEDOR METÁLICO Y SE GOLPEÓ A UN COSTADO DEL OJO DERECHO (CEJA)"/>
    <s v="ACCION"/>
    <s v="SI"/>
    <s v="NO"/>
    <s v="PEDRO MOREIRA"/>
    <s v="HERALDO P"/>
  </r>
  <r>
    <x v="0"/>
    <s v="MARZO"/>
    <s v="EL PAICO"/>
    <s v="BRAVO NAVARRO"/>
    <s v="EMA"/>
    <s v="FEMENINO"/>
    <s v="13778113-1"/>
    <d v="2019-06-24T00:00:00"/>
    <n v="32"/>
    <d v="2022-03-08T00:00:00"/>
    <s v="INTERMEDIO"/>
    <d v="2022-03-11T00:00:00"/>
    <d v="2022-03-18T00:00:00"/>
    <m/>
    <n v="8"/>
    <s v="CTP"/>
    <m/>
    <m/>
    <x v="7"/>
    <s v="ICHIDA"/>
    <s v="OPERARIO"/>
    <x v="18"/>
    <x v="0"/>
    <s v="MAÑANA"/>
    <d v="1899-12-30T10:00:00"/>
    <s v="MARTES"/>
    <s v="SEMANA 10"/>
    <m/>
    <s v="NC-31-22"/>
    <s v="OCTAVIO MUÑOZ"/>
    <s v="ALEJANDRO SALAS"/>
    <n v="42"/>
    <x v="8"/>
    <x v="2"/>
    <s v="Contusión"/>
    <s v="Golpeado contra"/>
    <s v="TRABAJADORA SUFRE GOLPE Y APRETÓN DE SU DEDO ÍNDICE DERECHO AL ESTAR SACANDO LOS FILMS PARA PODER CAMBIARLOS RÁPIDAMENTE"/>
    <s v="ACCION"/>
    <s v="SI"/>
    <s v="SI"/>
    <s v="PEDRO MOREIRA"/>
    <s v="HERALDO P"/>
  </r>
  <r>
    <x v="0"/>
    <s v="MARZO"/>
    <s v="EL PAICO"/>
    <s v="MUÑOZ PLAZA"/>
    <s v="FRANCO"/>
    <s v="MASCULINO"/>
    <s v="20424770-6"/>
    <d v="2021-08-09T00:00:00"/>
    <n v="7"/>
    <d v="2022-03-10T00:00:00"/>
    <s v="NUEVO"/>
    <m/>
    <m/>
    <m/>
    <n v="0"/>
    <s v="STP"/>
    <m/>
    <m/>
    <x v="2"/>
    <s v="AUTOMATICO"/>
    <s v="OPERARIO"/>
    <x v="11"/>
    <x v="0"/>
    <s v="TARDE"/>
    <d v="1899-12-30T18:30:00"/>
    <s v="JUEVES"/>
    <s v="SEMANA 10"/>
    <m/>
    <m/>
    <s v="DANIEL GARRIDO"/>
    <s v="ARNALDO VERA"/>
    <n v="21"/>
    <x v="13"/>
    <x v="2"/>
    <s v="Contusión"/>
    <s v="Golpeado contra"/>
    <s v="TRABAJADOR SE GOLPEÓ EL PULGAR IZQUIERDO CUNADO MOVÍA UN BINS CON TRANSPALETA MANUAL"/>
    <s v="ACCION"/>
    <s v="SI"/>
    <s v="NO"/>
    <s v="CARLOS JIMENEZ"/>
    <s v="APOYO"/>
  </r>
  <r>
    <x v="0"/>
    <s v="MARZO"/>
    <s v="EL PAICO"/>
    <s v="SANTIS GARCIA "/>
    <s v="CRISTOFER"/>
    <s v="MASCULINO"/>
    <s v="19849216-7"/>
    <d v="2019-03-11T00:00:00"/>
    <n v="35"/>
    <d v="2022-03-10T00:00:00"/>
    <s v="INTERMEDIO"/>
    <m/>
    <m/>
    <m/>
    <n v="0"/>
    <s v="STP"/>
    <m/>
    <m/>
    <x v="6"/>
    <s v="CAMARA 208"/>
    <s v="OPERARIO"/>
    <x v="19"/>
    <x v="0"/>
    <s v="MAÑANA"/>
    <d v="1899-12-30T11:30:00"/>
    <s v="JUEVES"/>
    <s v="SEMANA 10"/>
    <m/>
    <m/>
    <s v="GUILLERMO NARVAEZ"/>
    <s v="JONATHAN SANCHEZ"/>
    <n v="23"/>
    <x v="0"/>
    <x v="0"/>
    <s v="Otros"/>
    <s v="Caida de mismo nivel"/>
    <s v="TRABAJADOR SE RESBALA RETIRANDO UN BINS, SUFRIENDO CONTRACTURA EN PIERNA IZQUIERDA"/>
    <s v="ACCION"/>
    <s v="SI"/>
    <s v="NO"/>
    <s v="PEDRO MOREIRA"/>
    <s v="APOYO"/>
  </r>
  <r>
    <x v="0"/>
    <s v="MARZO"/>
    <s v="EL PAICO"/>
    <s v="LARA SOTO "/>
    <s v="INES"/>
    <s v="FEMENINO"/>
    <s v="15957212-9"/>
    <d v="2020-01-13T00:00:00"/>
    <n v="26"/>
    <d v="2022-03-14T00:00:00"/>
    <s v="INTERMEDIO"/>
    <d v="2022-03-14T00:00:00"/>
    <m/>
    <m/>
    <s v="X"/>
    <s v="CTP"/>
    <m/>
    <m/>
    <x v="0"/>
    <s v="ASEO OPERACIONAL"/>
    <s v="OPERARIO"/>
    <x v="20"/>
    <x v="0"/>
    <s v="NOCHE"/>
    <d v="1899-12-30T04:35:00"/>
    <s v="LUNES"/>
    <s v="SEMANA 11"/>
    <m/>
    <s v="NC-32-22"/>
    <s v="FRANCISCO ROJAS"/>
    <s v="PATRICIO PALACIOS"/>
    <n v="37"/>
    <x v="0"/>
    <x v="6"/>
    <s v="Contusión"/>
    <s v="Caida de mismo nivel"/>
    <s v="TRABAJADORA HACIENDO ASEO SUFRE CAÍDA GOLPEÁNDOSE EL BRAZO DERECHO  EN SECTOR NO HABILITADO"/>
    <s v="ACCION"/>
    <s v="SI"/>
    <s v="SI"/>
    <s v="PEDRO MOREIRA"/>
    <s v="APOYO (DALIA)"/>
  </r>
  <r>
    <x v="0"/>
    <s v="MARZO"/>
    <s v="EL PAICO"/>
    <s v="BRAVO CABRERA "/>
    <s v="JUAN"/>
    <s v="MASCULINO"/>
    <s v="7909217-7"/>
    <d v="2005-03-22T00:00:00"/>
    <n v="203"/>
    <d v="2022-03-17T00:00:00"/>
    <s v="ANTIGUO"/>
    <m/>
    <m/>
    <m/>
    <n v="0"/>
    <s v="STP"/>
    <m/>
    <m/>
    <x v="0"/>
    <s v="ASEO OPERACIONAL"/>
    <s v="OPERARIO"/>
    <x v="21"/>
    <x v="0"/>
    <s v="TARDE"/>
    <d v="1899-12-30T12:10:00"/>
    <s v="JUEVES"/>
    <s v="SEMANA 11"/>
    <m/>
    <m/>
    <s v="FRANCISCO ROJAS"/>
    <s v="SERGIO AQUEVEQUE"/>
    <n v="64"/>
    <x v="3"/>
    <x v="6"/>
    <s v="Contusión"/>
    <s v="Golpeado contra"/>
    <s v="TRABAJADOR REALIZANDO LIMPIEZA EN EL SUELO SIENTE QUE LE CAE ALGO EN EL BRAZO DERECHO GOLPEANO EL CODO "/>
    <s v="CONDICION"/>
    <s v="SI"/>
    <s v="NO"/>
    <s v="PEDRO MOREIRA"/>
    <s v="CRISTIAN JHON"/>
  </r>
  <r>
    <x v="0"/>
    <s v="MARZO"/>
    <s v="EL PAICO"/>
    <s v="PERALTA BARRAZA "/>
    <s v="RICARDO "/>
    <s v="MASCULINO"/>
    <s v="10366551-5"/>
    <d v="2005-06-01T00:00:00"/>
    <n v="201"/>
    <d v="2022-03-19T00:00:00"/>
    <s v="ANTIGUO"/>
    <m/>
    <m/>
    <m/>
    <n v="0"/>
    <s v="STP"/>
    <m/>
    <m/>
    <x v="7"/>
    <s v="DROP POINT"/>
    <s v="OPERARIO"/>
    <x v="22"/>
    <x v="0"/>
    <s v="MAÑANA"/>
    <d v="1899-12-30T09:20:00"/>
    <s v="SABADO"/>
    <s v="SEMANA 11"/>
    <m/>
    <m/>
    <s v="OCTAVIO MUÑOZ"/>
    <s v="MARCOS QUINTANILLA"/>
    <n v="55"/>
    <x v="9"/>
    <x v="4"/>
    <s v="Contusión"/>
    <s v="Golpeado contra"/>
    <s v="TRABAJADOR SE GOLPEA EL PIE DERECHO CON UN PALLET CON PRODUCTO CUANDO REALIZADA ENZUNCHADO"/>
    <s v="ACCION"/>
    <s v="SI"/>
    <s v="NO"/>
    <s v="PEDRO MOREIRA"/>
    <s v="WLADIMIR CALDERON"/>
  </r>
  <r>
    <x v="0"/>
    <s v="MARZO"/>
    <s v="EL PAICO"/>
    <s v="HORMAZABAL CARRASCO"/>
    <s v="YEISON MAURICIO"/>
    <s v="MASCULINO"/>
    <s v="20871928-9"/>
    <d v="2021-10-25T00:00:00"/>
    <n v="4"/>
    <d v="2022-03-22T00:00:00"/>
    <s v="NUEVO"/>
    <m/>
    <m/>
    <m/>
    <n v="0"/>
    <s v="STP"/>
    <m/>
    <m/>
    <x v="1"/>
    <s v="RECEPCION AVE VIVA"/>
    <s v="OPERARIO"/>
    <x v="14"/>
    <x v="0"/>
    <s v="TARDE"/>
    <d v="1899-12-30T18:00:00"/>
    <s v="MARTES"/>
    <s v="SEMANA 12"/>
    <m/>
    <m/>
    <s v="NICOLAS MOYANO"/>
    <s v="ANTONIO RIVAS"/>
    <n v="19"/>
    <x v="5"/>
    <x v="1"/>
    <s v="Contusión"/>
    <s v="Proyeccion de particulas"/>
    <s v="TRABAJADOR EL SACAR AVE DE LA JAULA, ESTA COMIENZA A ALETEAR Y PRODUCE ENTRADAS DE PARTICULAR AL OJO DERECHO, NO SE ENCONTRABA CON SU EPP"/>
    <s v="ACCION"/>
    <s v="SI"/>
    <s v="NO"/>
    <s v="CARLOS JIMENEZ"/>
    <s v="MICHEL SANCHEZ"/>
  </r>
  <r>
    <x v="0"/>
    <s v="MARZO"/>
    <s v="EL PAICO"/>
    <s v="AUGUSTIN "/>
    <s v="ISMONDE"/>
    <s v="MASCULINO"/>
    <s v="26267411-8"/>
    <d v="2022-01-24T00:00:00"/>
    <n v="1"/>
    <d v="2022-03-23T00:00:00"/>
    <s v="NUEVO"/>
    <m/>
    <m/>
    <m/>
    <n v="0"/>
    <s v="STP"/>
    <m/>
    <m/>
    <x v="2"/>
    <s v="DESHUEZADO"/>
    <s v="OPERARIO"/>
    <x v="3"/>
    <x v="0"/>
    <s v="TARDE"/>
    <d v="1899-12-30T12:30:00"/>
    <s v="MIERCOLES"/>
    <s v="SEMANA 12"/>
    <m/>
    <m/>
    <s v="DANIEL GARRIDO"/>
    <s v="ARNALDO VERA"/>
    <n v="26"/>
    <x v="11"/>
    <x v="3"/>
    <s v="Contusión"/>
    <s v="Golpeado por"/>
    <s v="TRABAJADOR AL SACAR UNA CAJA PLÁSTICA CON UNA SOLA MANO ESTA SE CAE Y GOLPEA LA CEJA IZQUIERDA "/>
    <s v="ACCION"/>
    <s v="SI"/>
    <s v="NO"/>
    <s v="PEDRO MOREIRA"/>
    <s v="WLADIMIR CALDERON"/>
  </r>
  <r>
    <x v="0"/>
    <s v="MARZO"/>
    <s v="EL PAICO"/>
    <s v="TRUJILLO ELGUETA "/>
    <s v="KEVYN "/>
    <s v="MASCULINO"/>
    <s v="18346564-3"/>
    <d v="2021-10-12T00:00:00"/>
    <n v="5"/>
    <d v="2022-03-27T00:00:00"/>
    <s v="NUEVO"/>
    <m/>
    <m/>
    <m/>
    <n v="0"/>
    <s v="STP"/>
    <m/>
    <m/>
    <x v="5"/>
    <s v="DESAGUE"/>
    <s v="ELECTRICO"/>
    <x v="23"/>
    <x v="0"/>
    <s v="TARDE"/>
    <d v="1899-12-30T12:30:00"/>
    <s v="DOMINGO"/>
    <s v="SEMANA 12"/>
    <m/>
    <m/>
    <s v="VICTOR GOMEZ"/>
    <s v="DAVID ROJAS"/>
    <n v="29"/>
    <x v="0"/>
    <x v="7"/>
    <s v="Contusión"/>
    <s v="Golpeado contra"/>
    <s v="TRABAJADOR AL ESTAR REALIZADO UN CAMBIO DE MOTOR SE CAE EN EL DESAGÜE, GOLPEANDO SU CADERA EN EL SECTOR DERECHO, ESTO PORQUE EL DESAGÜE SE ENCONTRABA SIN SU TAPA DE PROTECCIÓN"/>
    <s v="CONDICION"/>
    <s v="SI"/>
    <s v="NO"/>
    <s v="PEDRO MOREIRA"/>
    <s v="WLADIMIR CALDERON"/>
  </r>
  <r>
    <x v="0"/>
    <s v="MARZO"/>
    <s v="EL PAICO"/>
    <s v="GUAJARDO VERA "/>
    <s v="SEBASTIAN "/>
    <s v="MASCULINO"/>
    <s v="19211824-7"/>
    <d v="2021-05-03T00:00:00"/>
    <n v="10"/>
    <d v="2022-03-28T00:00:00"/>
    <s v="NUEVO"/>
    <m/>
    <m/>
    <m/>
    <n v="0"/>
    <s v="STP"/>
    <m/>
    <m/>
    <x v="5"/>
    <s v="IQF4"/>
    <s v="MECANICO "/>
    <x v="7"/>
    <x v="0"/>
    <s v="NOCHE"/>
    <d v="1899-12-30T04:00:00"/>
    <s v="LUNES"/>
    <s v="SEMANA 13"/>
    <m/>
    <m/>
    <s v="VICTOR GOMEZ"/>
    <s v="DANIEL GONZALEZ "/>
    <n v="26"/>
    <x v="7"/>
    <x v="2"/>
    <s v="Herida cortante"/>
    <s v="Contacto con cuerpo cortante"/>
    <s v="TRABAJADOR AL ESTAR MONTADO DE PIÑONES MOTRICES SE PRODUCE UNA HERIDA EN EL DEDO MEDIO DERECHO CON EL CHAVETERO DEL EJE "/>
    <s v="ACCION"/>
    <s v="SI"/>
    <s v="NO"/>
    <s v="CARLOS JIMENEZ"/>
    <s v="WLADIMIR CALDERON"/>
  </r>
  <r>
    <x v="0"/>
    <s v="MARZO"/>
    <s v="EL PAICO"/>
    <s v=" HORMAZABAL CARRASCO "/>
    <s v="YEISON MAURICIO"/>
    <s v="MASCULINO"/>
    <s v="20871928-9"/>
    <d v="2021-10-25T00:00:00"/>
    <n v="5"/>
    <d v="2022-03-28T00:00:00"/>
    <s v="NUEVO"/>
    <d v="2022-03-28T00:00:00"/>
    <d v="2022-04-06T00:00:00"/>
    <m/>
    <n v="10"/>
    <s v="CTP"/>
    <m/>
    <m/>
    <x v="1"/>
    <s v="RECEPCION"/>
    <s v="OPERARIO"/>
    <x v="24"/>
    <x v="0"/>
    <s v="MAÑANA"/>
    <d v="1899-12-30T06:35:00"/>
    <s v="LUNES"/>
    <s v="SEMANA 13"/>
    <m/>
    <s v="NC-37-22"/>
    <s v="NICOLAS MOYANO"/>
    <s v="ANTONIO RIVAS"/>
    <n v="19"/>
    <x v="11"/>
    <x v="4"/>
    <s v="Contusión"/>
    <s v="Caida de mismo nivel"/>
    <s v=" TRABAJADOR RESBALA AL ESTAR APILANDO BANDEJAS VACÍAS DOBLÁNDOSE EL TOBILLO DERECHO "/>
    <s v="ACCION"/>
    <s v="SI"/>
    <s v="SI"/>
    <s v="PEDRO MOREIRA"/>
    <s v="HERALDO P"/>
  </r>
  <r>
    <x v="0"/>
    <s v="MARZO"/>
    <s v="EL PAICO"/>
    <s v="FUENZALIDA ARMIJO "/>
    <s v="CATALINA ESPERANZA"/>
    <s v="FEMENINO"/>
    <s v="18777735-6"/>
    <d v="2016-08-06T00:00:00"/>
    <n v="67"/>
    <d v="2022-03-31T00:00:00"/>
    <s v="ANTIGUO"/>
    <d v="2022-04-01T00:00:00"/>
    <d v="2022-04-09T00:00:00"/>
    <m/>
    <n v="9"/>
    <s v="CTP"/>
    <m/>
    <m/>
    <x v="2"/>
    <s v="DESHUEZADO"/>
    <s v="OPERARIO"/>
    <x v="3"/>
    <x v="0"/>
    <s v="NOCHE"/>
    <d v="1899-12-30T23:25:00"/>
    <s v="JUEVES"/>
    <s v="SEMANA 13"/>
    <m/>
    <s v="NC-50-22"/>
    <s v="DANIEL GARRIDO"/>
    <s v="JOSE CARVALLO"/>
    <n v="27"/>
    <x v="2"/>
    <x v="2"/>
    <s v="Herida cortante"/>
    <s v="Contacto con cuerpo cortante"/>
    <s v="TRABAJADOR LA LÍNEA DE TROZADO DE POLLO SE PASO A LLEVAR EL DEDO ÍNDICE MANO DERECHA CON EL CUCHILLO, QUE SE CONSIGUIÓ CON UN COMPAÑERO EN ESE MOMENTO NO LLEVABA GUANTE DE ACERO"/>
    <s v="ACCION"/>
    <s v="SI"/>
    <s v="SI"/>
    <s v="CARLOS JIMENEZ"/>
    <s v="MICHEL SANCHEZ"/>
  </r>
  <r>
    <x v="0"/>
    <s v="ABRIL "/>
    <s v="EL PAICO"/>
    <s v="SANTIS TAPIA "/>
    <s v="SERGIO"/>
    <s v="MASCULINO"/>
    <s v="10456578-6"/>
    <d v="2018-08-27T00:00:00"/>
    <n v="43"/>
    <d v="2022-04-11T00:00:00"/>
    <s v="ANTIGUO"/>
    <m/>
    <m/>
    <m/>
    <n v="0"/>
    <s v="STP"/>
    <m/>
    <m/>
    <x v="6"/>
    <s v="TUNEL 4"/>
    <s v="OPERARIO"/>
    <x v="25"/>
    <x v="0"/>
    <s v="MAÑANA"/>
    <d v="1899-12-30T10:10:00"/>
    <s v="LUNES"/>
    <s v="SEMANA 15"/>
    <m/>
    <m/>
    <s v="FRANCISCO QUEZADA"/>
    <s v="FRANCO VIDAL"/>
    <n v="56"/>
    <x v="14"/>
    <x v="1"/>
    <s v="Contusión"/>
    <s v="Golpeado por"/>
    <s v="TRABAJADOR AL CORRER LA PUERTA DEL TÚNEL N°4, EL TOME PLÁSTICO DE LA PUERTA SALE EXPULSADO Y GOLPEA EN EL OJO IZQUIERDO"/>
    <s v="ACCION"/>
    <s v="SI"/>
    <s v="NO"/>
    <s v="CARLOS JIMENEZ"/>
    <s v="CRISTIAN JHON"/>
  </r>
  <r>
    <x v="0"/>
    <s v="ABRIL "/>
    <s v="EL PAICO"/>
    <s v="SOTO GOMEZ"/>
    <s v="JULIO "/>
    <s v="MASCULINO"/>
    <s v="9566653-1"/>
    <d v="2022-02-21T00:00:00"/>
    <n v="1"/>
    <d v="2022-04-13T00:00:00"/>
    <s v="NUEVO"/>
    <m/>
    <m/>
    <m/>
    <n v="0"/>
    <s v="STP"/>
    <m/>
    <m/>
    <x v="5"/>
    <s v="SALA DE MAQUINA"/>
    <s v="OPERARIO"/>
    <x v="26"/>
    <x v="0"/>
    <s v="TARDE"/>
    <d v="1899-12-30T12:15:00"/>
    <s v="MIERCOLES"/>
    <s v="SEMANA 15"/>
    <m/>
    <s v="NC-51-22"/>
    <s v="VICTOR GOMEZ"/>
    <s v="SERGIO LETELIER"/>
    <n v="59"/>
    <x v="0"/>
    <x v="0"/>
    <s v="Contusión"/>
    <s v="Caida de distinto nivel"/>
    <s v="TRABAJADOR ENGRASANDO MAQUINA EN ALTURA RESBALA CAYÉNDOSE Y GOLPEÁNDOSE SU RODILLA IZQUIERDA"/>
    <s v="ACCION"/>
    <s v="SI"/>
    <s v="SI"/>
    <s v="CARLOS JIMENEZ"/>
    <s v="HERALDO P"/>
  </r>
  <r>
    <x v="0"/>
    <s v="ABRIL "/>
    <s v="EL PAICO"/>
    <s v="CORTEZ ARMIJO"/>
    <s v="JUAN"/>
    <s v="MASCULINO"/>
    <s v="15623593-1"/>
    <d v="2006-06-01T00:00:00"/>
    <n v="190"/>
    <d v="2022-04-14T00:00:00"/>
    <s v="ANTIGUO"/>
    <m/>
    <m/>
    <m/>
    <n v="0"/>
    <s v="STP"/>
    <m/>
    <m/>
    <x v="6"/>
    <s v="DESPACHO"/>
    <s v="OPERARIO"/>
    <x v="27"/>
    <x v="0"/>
    <s v="MAÑANA"/>
    <d v="1899-12-30T06:10:00"/>
    <s v="JUEVES"/>
    <s v="SEMANA 15"/>
    <m/>
    <m/>
    <s v="FRANCISCO QUEZADA"/>
    <s v="MAURICIO HERNANDEZ"/>
    <n v="38"/>
    <x v="14"/>
    <x v="4"/>
    <s v="Torsión"/>
    <s v="Otros"/>
    <s v=" TRABAJADOR AL BAJAR DEL VEHÍCULO SE DOBLA EL PIE IZQUIERDO "/>
    <s v="ACCION"/>
    <s v="NO"/>
    <s v="NO"/>
    <s v="CARLOS JIMENEZ"/>
    <s v="CRISTIAN JHON"/>
  </r>
  <r>
    <x v="0"/>
    <s v="ABRIL "/>
    <s v="EL PAICO"/>
    <s v="GONZALES CALLEJAS"/>
    <s v="SANDRA"/>
    <s v="FEMENINO"/>
    <s v="27414262-6"/>
    <d v="2021-06-17T00:00:00"/>
    <n v="10"/>
    <d v="2022-04-22T00:00:00"/>
    <s v="NUEVO"/>
    <m/>
    <m/>
    <m/>
    <n v="0"/>
    <s v="STP"/>
    <m/>
    <m/>
    <x v="2"/>
    <s v="AUTOMATICO"/>
    <s v="OPERARIO"/>
    <x v="11"/>
    <x v="0"/>
    <s v="TARDE"/>
    <d v="1899-12-30T16:35:00"/>
    <s v="VIERNES"/>
    <s v="SEMANA 16"/>
    <m/>
    <m/>
    <s v="DANIEL GARRIDO"/>
    <s v="ARNALDO VERA"/>
    <n v="36"/>
    <x v="1"/>
    <x v="1"/>
    <s v="Otros"/>
    <s v="Contacto con sustancias toxicas"/>
    <s v=" TRABAJADORA MEZCLADO AGUA CON CLORO PARA LAVAR POLLO LE SALTO UNAS GOTAS DE CLORO AL OJO"/>
    <s v="ACCION"/>
    <s v="NO"/>
    <s v="NO"/>
    <s v="CARLOS JIMENEZ"/>
    <s v="CRISTIAN JHON"/>
  </r>
  <r>
    <x v="0"/>
    <s v="ABRIL "/>
    <s v="EL PAICO"/>
    <s v="MUÑOZ PLAZA"/>
    <s v="FRANCO"/>
    <s v="MASCULINO"/>
    <s v="20424770-6"/>
    <d v="2021-08-09T00:00:00"/>
    <n v="8"/>
    <d v="2022-04-21T00:00:00"/>
    <s v="NUEVO"/>
    <d v="2022-04-22T00:00:00"/>
    <d v="2022-04-22T00:00:00"/>
    <m/>
    <n v="0"/>
    <s v="STP"/>
    <m/>
    <m/>
    <x v="2"/>
    <s v="AUTOMATICO"/>
    <s v="OPERARIO"/>
    <x v="28"/>
    <x v="0"/>
    <s v="TARDE"/>
    <d v="1899-12-30T15:50:00"/>
    <s v="JUEVES"/>
    <s v="SEMANA 16"/>
    <m/>
    <s v="NC-52-22"/>
    <s v="DANIEL GARRIDO"/>
    <s v="ARNALDO VERA"/>
    <n v="21"/>
    <x v="6"/>
    <x v="8"/>
    <s v="Contusión"/>
    <s v="Golpeado por"/>
    <s v="TRABAJADOR AL ESTAR CAMINANDO POR EL PASILLO 3 ES GOLPEAGO POR UN MOVILIZADOR, LO QUE HACE QUE SE GOPEE LA ESPALDA CON UN BINS "/>
    <s v="ACCION"/>
    <s v="NO"/>
    <s v="SI"/>
    <s v="CARLOS JIMENEZ"/>
    <s v="HERALDO P"/>
  </r>
  <r>
    <x v="0"/>
    <s v="ABRIL "/>
    <s v="EL PAICO"/>
    <s v="CARRASCO ARMIJO"/>
    <s v="CRISTIAN"/>
    <s v="MASCULINO"/>
    <s v="19557542-8"/>
    <d v="2021-09-01T00:00:00"/>
    <n v="7"/>
    <d v="2022-04-27T00:00:00"/>
    <s v="NUEVO"/>
    <m/>
    <m/>
    <m/>
    <n v="0"/>
    <s v="STP"/>
    <m/>
    <m/>
    <x v="8"/>
    <s v="CALIDAD"/>
    <s v="OPERARIO"/>
    <x v="29"/>
    <x v="0"/>
    <s v="MAÑANA"/>
    <d v="1899-12-30T11:20:00"/>
    <s v="MIERCOLES"/>
    <s v="SEMANA 17"/>
    <m/>
    <m/>
    <s v="JAIME JORQUERA"/>
    <s v="SOLEDAD CARRASCO"/>
    <n v="25"/>
    <x v="14"/>
    <x v="2"/>
    <s v="Otros"/>
    <s v="Otros"/>
    <s v="TRABAJADOR AL ESTAR DEJANDO SU ROPA EN EL ZIPPER SE ENGANCHA UNA UÑA PRODUCIENDO LACERACION PARCIAL"/>
    <s v="ACCION"/>
    <s v="NO"/>
    <s v="NO"/>
    <s v="CARLOS JIMENEZ"/>
    <s v="MICHEL SANCHEZ"/>
  </r>
  <r>
    <x v="0"/>
    <s v="ABRIL "/>
    <s v="EL PAICO"/>
    <s v="MERVIL ELVEUS"/>
    <s v="ISLANDE"/>
    <s v="MASCULINO"/>
    <s v="26316678-7"/>
    <d v="2021-12-07T00:00:00"/>
    <n v="4"/>
    <d v="2022-04-27T00:00:00"/>
    <s v="NUEVO"/>
    <m/>
    <m/>
    <m/>
    <n v="0"/>
    <s v="STP"/>
    <m/>
    <m/>
    <x v="0"/>
    <s v="DESHUEZADO"/>
    <s v="OPERARIO"/>
    <x v="3"/>
    <x v="0"/>
    <s v="TARDE"/>
    <d v="1899-12-30T16:00:00"/>
    <s v="MIERCOLES"/>
    <s v="SEMANA 17"/>
    <m/>
    <m/>
    <s v="FRANCISCO ROJAS"/>
    <s v="DAVID ROJAS"/>
    <n v="35"/>
    <x v="13"/>
    <x v="4"/>
    <s v="Contusión"/>
    <s v="Golpeado por"/>
    <s v="TRABAJADOR AL ESTAR RECOGIENDO RESTOS CARNICOS, SE GOLPEA ZONA TIBIAL DE PIERNA DERECHA CON TRANSPALETA MANUAL "/>
    <s v="ACCION"/>
    <s v="SI"/>
    <s v="NO"/>
    <s v="CARLOS JIMENEZ"/>
    <s v="MICHEL SANCHEZ"/>
  </r>
  <r>
    <x v="0"/>
    <s v="ABRIL "/>
    <s v="EL PAICO"/>
    <s v="MUÑOZ VALENZUELA"/>
    <s v="JOSE "/>
    <s v="MASCULINO"/>
    <s v="14177893-5"/>
    <d v="2022-02-21T00:00:00"/>
    <n v="2"/>
    <d v="2022-04-28T00:00:00"/>
    <s v="NUEVO"/>
    <m/>
    <m/>
    <m/>
    <n v="0"/>
    <s v="STP"/>
    <m/>
    <m/>
    <x v="7"/>
    <s v="PULPA"/>
    <s v="OPERARIO"/>
    <x v="15"/>
    <x v="0"/>
    <s v="TARDE"/>
    <d v="1899-12-30T19:45:00"/>
    <s v="JUEVES"/>
    <s v="SEMANA 17"/>
    <m/>
    <m/>
    <s v="OCTAVIO MUÑOZ"/>
    <s v="ARIEL LOBOS"/>
    <n v="41"/>
    <x v="3"/>
    <x v="3"/>
    <s v="Contusión"/>
    <s v="Golpeado por"/>
    <s v="TRABAJADOR A TOMAR LA MANILLA DA PUERTA DESDE LA CADENA, ESTA SE SALE DE SU POSICION GOLPEANDOLO EN SU NARIZ "/>
    <s v="ACCION"/>
    <s v="SI"/>
    <s v="NO"/>
    <s v="CARLOS JIMENEZ"/>
    <s v="WLADIMIR CALDERON"/>
  </r>
  <r>
    <x v="0"/>
    <s v="ABRIL "/>
    <s v="EL PAICO"/>
    <s v="SAAVEDRA TOBAR "/>
    <s v="SEBASTIAN "/>
    <s v="MASCULINO"/>
    <s v="17306224-9"/>
    <d v="2022-03-01T00:00:00"/>
    <n v="1"/>
    <d v="2022-04-30T00:00:00"/>
    <s v="NUEVO"/>
    <d v="2022-04-30T00:00:00"/>
    <m/>
    <m/>
    <n v="0"/>
    <s v="STP"/>
    <m/>
    <m/>
    <x v="2"/>
    <s v="DESHUEZADO"/>
    <s v="OPERARIO"/>
    <x v="3"/>
    <x v="0"/>
    <s v="TARDE"/>
    <d v="1899-12-30T12:10:00"/>
    <s v="SABADO"/>
    <s v="SEMANA 17"/>
    <m/>
    <s v="NC-53-22"/>
    <s v="DANIEL GARRIDO"/>
    <s v="RAFAEL ASTORGA"/>
    <n v="32"/>
    <x v="0"/>
    <x v="9"/>
    <s v="Contusión"/>
    <s v="Caida de mismo nivel"/>
    <s v="TRABAJADOR RESBALA CON HIELO QUE SE FORMA EN EL SUELO Y SE GOLPEA ZONA OCCIPITAL DE LA CABEZA "/>
    <s v="ACCION"/>
    <s v="SI"/>
    <s v="SI"/>
    <s v="CARLOS JIMENEZ"/>
    <s v="CRISTIAN JHON"/>
  </r>
  <r>
    <x v="0"/>
    <s v="MAYO"/>
    <s v="EL PAICO"/>
    <s v="AROS DUREAUX "/>
    <s v=" ALAN FABIAN"/>
    <s v="MASCULINO"/>
    <s v="16873113-2"/>
    <d v="2019-07-01T00:00:00"/>
    <n v="34"/>
    <d v="2022-05-03T00:00:00"/>
    <s v="INTERMEDIO"/>
    <m/>
    <m/>
    <m/>
    <n v="0"/>
    <s v="STP"/>
    <m/>
    <m/>
    <x v="5"/>
    <s v="SUMINISTROS"/>
    <s v="OPERARIO"/>
    <x v="26"/>
    <x v="0"/>
    <s v="TARDE"/>
    <d v="1899-12-30T12:25:00"/>
    <s v="MARTES"/>
    <s v="SEMANA 18"/>
    <m/>
    <m/>
    <s v="VICTOR GOMEZ"/>
    <s v=" "/>
    <n v="33"/>
    <x v="0"/>
    <x v="2"/>
    <s v="Contusión"/>
    <s v="Caida de mismo nivel"/>
    <s v=" TRABAJADOR TROPIEZA, EN SALA DE MAQUINA CAÍDA DEL MISMO NIVEL CON GOLPE EN SU BRAZO IZQUIERDO CON HERIDA UÑA DEDO MEDIO Y HERIDA LEVE EN SU DEDO ANULAR IZQUIERDO"/>
    <s v="ACCION"/>
    <s v="SI"/>
    <s v="NO"/>
    <s v="CARLOS JIMENEZ"/>
    <s v="HERALDO P"/>
  </r>
  <r>
    <x v="0"/>
    <s v="MAYO"/>
    <s v="EL PAICO"/>
    <s v="FIGUEROA MONSALVE "/>
    <s v="SORAYA ANDREA"/>
    <s v="FEMENINO"/>
    <s v="26607646-0"/>
    <d v="2013-08-07T00:00:00"/>
    <n v="104"/>
    <d v="2022-05-06T00:00:00"/>
    <s v="ANTIGUO"/>
    <m/>
    <m/>
    <m/>
    <n v="0"/>
    <s v="STP"/>
    <m/>
    <m/>
    <x v="2"/>
    <s v="DESHUEZADO"/>
    <s v="OPERARIO"/>
    <x v="3"/>
    <x v="0"/>
    <s v="MAÑANA"/>
    <d v="1899-12-30T08:20:00"/>
    <s v="VIERNES"/>
    <s v="SEMANA 18"/>
    <m/>
    <m/>
    <s v="DANIEL GARRIDO"/>
    <s v="JOSE CARVALLO"/>
    <n v="53"/>
    <x v="0"/>
    <x v="10"/>
    <s v="Contusión"/>
    <s v="Caida de mismo nivel"/>
    <s v="TRABAJADORA TRASLADANDO BANDEJAS CON PRODUCTO HACIA EL PALLET, TROPIEZA CON UNA TRANSPALETA MANUAL QUE SE ENCONTRABA EN UNA POSICIÓN NO ADECUADA, HACIÉNDOLA CAER Y SE GOLPEA TREN INFERIOR"/>
    <s v="ACCION"/>
    <s v="SI"/>
    <s v="NO"/>
    <s v="CARLOS JIMENEZ"/>
    <s v="WLADIMIR CALDERON"/>
  </r>
  <r>
    <x v="0"/>
    <s v="MAYO"/>
    <s v="EL PAICO"/>
    <s v="OLGUIN GONZALEZ "/>
    <s v="OSCAR HERNAN"/>
    <s v="MASCULINO"/>
    <s v="13558567-K"/>
    <d v="2003-05-23T00:00:00"/>
    <n v="227"/>
    <d v="2022-05-07T00:00:00"/>
    <s v="ANTIGUO"/>
    <m/>
    <m/>
    <m/>
    <n v="0"/>
    <s v="STP"/>
    <m/>
    <m/>
    <x v="4"/>
    <s v="PROCESOS POSTERIORES"/>
    <s v="OPERARIO"/>
    <x v="30"/>
    <x v="0"/>
    <s v="MAÑANA"/>
    <d v="1899-12-30T06:40:00"/>
    <s v="SABADO"/>
    <s v="SEMANA 18"/>
    <m/>
    <m/>
    <s v="GUILLERMO NARVAEZ"/>
    <s v="FRANCISCO SANCHEZ"/>
    <n v="42"/>
    <x v="3"/>
    <x v="3"/>
    <s v="Contusión"/>
    <s v="Golpeado contra"/>
    <s v="TRABAJADOR CUANDO AMARRABA LAS LÁMINAS, GIRAR EN SU MISMO EJE DE IZQUIERDA A DERECHA SE GOLPEA SU LABIO SUPERIOR CON UN FIERRO ESTÁTICO EN LA SALA DE SKAQUINN"/>
    <s v="ACCION"/>
    <s v="SI"/>
    <s v="NO"/>
    <s v="CARLOS JIMENEZ"/>
    <s v="HERALDO P"/>
  </r>
  <r>
    <x v="0"/>
    <s v="MAYO"/>
    <s v="EL PAICO"/>
    <s v=" MONTERREY CALDERON"/>
    <s v="JUAN VICENTE"/>
    <s v="MASCULINO"/>
    <s v=" 26193561-9"/>
    <d v="2021-12-02T00:00:00"/>
    <n v="5"/>
    <d v="2022-05-09T00:00:00"/>
    <s v="NUEVO"/>
    <m/>
    <m/>
    <m/>
    <n v="0"/>
    <s v="STP"/>
    <m/>
    <m/>
    <x v="1"/>
    <s v="EVICERADO DE PAVO"/>
    <s v="OPERARIO"/>
    <x v="31"/>
    <x v="0"/>
    <s v="MAÑANA"/>
    <d v="1899-12-30T05:30:00"/>
    <s v="LUNES"/>
    <s v="SEMANA 19"/>
    <m/>
    <s v="NC-54-22"/>
    <s v="NICOLAS MOYANO"/>
    <s v="ERWIN GATICA"/>
    <n v="54"/>
    <x v="5"/>
    <x v="1"/>
    <s v="Contusión"/>
    <s v="Proyeccion de particulas"/>
    <s v="TRABAJADOR AL ESTAR EN SU PUESTO DE TRABAJO SUFRE SALPICADURA DE LÍQUIDO EN SU OJO DERECHO "/>
    <s v="CONDICION"/>
    <s v="SI"/>
    <s v="SI"/>
    <s v="CARLOS JIMENEZ"/>
    <s v="MICHEL SANCHEZ"/>
  </r>
  <r>
    <x v="0"/>
    <s v="MAYO"/>
    <s v="EL PAICO"/>
    <s v=" COLINA PARDO "/>
    <s v=" ISABEL MARGARITA"/>
    <s v="FEMENINO"/>
    <s v="16615461-8"/>
    <d v="2017-05-29T00:00:00"/>
    <n v="59"/>
    <d v="2022-05-09T00:00:00"/>
    <s v="ANTIGUO"/>
    <m/>
    <m/>
    <m/>
    <n v="0"/>
    <s v="STP"/>
    <m/>
    <m/>
    <x v="2"/>
    <s v="DESHUEZADO"/>
    <s v="OPERARIO"/>
    <x v="32"/>
    <x v="0"/>
    <s v="TARDE"/>
    <d v="1899-12-30T20:30:00"/>
    <s v="LUNES"/>
    <s v="SEMANA 19"/>
    <m/>
    <m/>
    <s v="DANIEL GARRIDO"/>
    <s v="JOSE CARVALLO"/>
    <n v="40"/>
    <x v="0"/>
    <x v="0"/>
    <s v="Contusión"/>
    <s v="Caida de mismo nivel"/>
    <s v="TRABAJADORA SUFRE CAÍDA, EN EL ÁREA DE DESHUESADO, LO QUE CONTUSIÓN EN RODILLA IZQUIERDA POR EL PISO RESBALADIZO "/>
    <s v="ACCION"/>
    <s v="SI"/>
    <s v="NO"/>
    <s v="CARLOS JIMENEZ"/>
    <s v="MICHEL SANCHEZ"/>
  </r>
  <r>
    <x v="0"/>
    <s v="MAYO"/>
    <s v="EL PAICO"/>
    <s v="CATALAN ALCAINO"/>
    <s v="ANDREW"/>
    <s v="MASCULINO"/>
    <s v="21173568-6"/>
    <d v="2022-03-15T00:00:00"/>
    <n v="1"/>
    <d v="2022-05-11T00:00:00"/>
    <s v="NUEVO"/>
    <d v="2022-05-11T00:00:00"/>
    <d v="2022-05-21T00:00:00"/>
    <m/>
    <n v="11"/>
    <s v="CTP"/>
    <m/>
    <m/>
    <x v="6"/>
    <s v="EMPAQUE DE TUNEL"/>
    <s v="OPERARIO"/>
    <x v="10"/>
    <x v="0"/>
    <s v="MAÑANA"/>
    <d v="1899-12-30T09:00:00"/>
    <s v="MIERCOLES"/>
    <s v="SEMANA 19"/>
    <m/>
    <s v="NC-55-22"/>
    <s v="FRANCISCO QUEZADA"/>
    <s v="JUAN VILLAVICENCIO"/>
    <n v="18"/>
    <x v="8"/>
    <x v="2"/>
    <s v="Contusión"/>
    <s v="Golpeado contra"/>
    <s v=" TRABAJADOR SE APLASTA EL DEDO ANULAR DERECHO AL DEJAR EL BLOQUE "/>
    <s v="ACCION"/>
    <s v="SI"/>
    <s v="SI"/>
    <s v="CARLOS JIMENEZ"/>
    <s v="HERALDO P"/>
  </r>
  <r>
    <x v="0"/>
    <s v="MAYO"/>
    <s v="EL PAICO"/>
    <s v="LOYOLA MORALES"/>
    <s v="MARIO"/>
    <s v="MASCULINO"/>
    <s v="14136576-2"/>
    <d v="2018-12-03T00:00:00"/>
    <n v="41"/>
    <d v="2022-05-12T00:00:00"/>
    <s v="ANTIGUO"/>
    <m/>
    <m/>
    <m/>
    <n v="0"/>
    <s v="STP"/>
    <m/>
    <m/>
    <x v="2"/>
    <s v="AUTOMATICO"/>
    <s v="OPERARIO"/>
    <x v="33"/>
    <x v="0"/>
    <s v="TARDE"/>
    <d v="1899-12-30T18:50:00"/>
    <s v="JUEVES"/>
    <s v="SEMANA 19"/>
    <m/>
    <m/>
    <s v="DANIEL GARRIDO"/>
    <s v="RAMIRO RAMIREZ"/>
    <n v="43"/>
    <x v="0"/>
    <x v="7"/>
    <s v="Contusión"/>
    <s v="Caida de mismo nivel"/>
    <s v="TRABAJADOR VOLVIENDO A SU PUESTO DE TRABAJO RESBALA Y SE GOLPEA COXIS"/>
    <s v="ACCION"/>
    <s v="SI"/>
    <s v="NO"/>
    <s v="CARLOS JIMENEZ"/>
    <s v="CRISTIAN JHON"/>
  </r>
  <r>
    <x v="0"/>
    <s v="MAYO"/>
    <s v="EL PAICO"/>
    <s v="ALARCON RIQUELME "/>
    <s v="GERMAN"/>
    <s v="MASCULINO"/>
    <s v="20871156-3"/>
    <d v="2021-06-23T00:00:00"/>
    <n v="10"/>
    <d v="2022-05-13T00:00:00"/>
    <s v="NUEVO"/>
    <m/>
    <m/>
    <m/>
    <n v="0"/>
    <s v="STP"/>
    <m/>
    <m/>
    <x v="6"/>
    <s v="CAMARA 305"/>
    <s v="OPERARIO"/>
    <x v="34"/>
    <x v="0"/>
    <s v="TARDE"/>
    <d v="1899-12-30T15:45:00"/>
    <s v="VIERNES"/>
    <s v="SEMANA 19"/>
    <m/>
    <m/>
    <s v="FRANCISCO QUEZADA"/>
    <s v="MAURICIO HERNANDEZ"/>
    <n v="20"/>
    <x v="5"/>
    <x v="2"/>
    <s v="Contusión"/>
    <s v="Golpeado por"/>
    <s v="AL SACAR CAJA QUE SE ENCONTRABA MAL POSICIONADA DESDE EL PALLET, SE CAE Y GOLPEA SU DEDO INDICE DERECHO "/>
    <s v="ACCION"/>
    <s v="SI"/>
    <s v="NO"/>
    <s v="CARLOS JIMENEZ"/>
    <s v="MICHEL SANCHEZ"/>
  </r>
  <r>
    <x v="0"/>
    <s v="MAYO"/>
    <s v="EL PAICO"/>
    <s v="MAULEN MAULEN "/>
    <s v="ALDO "/>
    <s v="MASCULINO"/>
    <s v="20136430-2"/>
    <d v="2019-10-07T00:00:00"/>
    <n v="31"/>
    <d v="2022-05-13T00:00:00"/>
    <s v="INTERMEDIO"/>
    <d v="2022-05-13T00:00:00"/>
    <d v="2022-05-13T00:00:00"/>
    <m/>
    <n v="0"/>
    <s v="STP"/>
    <m/>
    <m/>
    <x v="4"/>
    <s v="SALA IQF"/>
    <s v="OPERARIO"/>
    <x v="35"/>
    <x v="0"/>
    <s v="TARDE"/>
    <d v="1899-12-30T17:50:00"/>
    <s v="VIERNES"/>
    <s v="SEMANA 19"/>
    <m/>
    <s v="NC-49-22"/>
    <s v="GUILLERMO NARVAEZ"/>
    <s v="FRANCISCO SANCHEZ"/>
    <n v="23"/>
    <x v="11"/>
    <x v="7"/>
    <s v="Contusión"/>
    <s v="Golpeado por"/>
    <s v="TRABAJADOR SUFRE CONTUSIÓN EN REGIÓN TESTICULAR, CUANDO COMPAÑERO DE TRABAJO LO GOLPEA ACCIDENTALMENTE CON UN BINS VACÍO, LAS BANDEJAS QUE EL MANIPULABA CAUSARON LA LESIÓN"/>
    <s v="ACCION"/>
    <s v="SI"/>
    <s v="SI"/>
    <s v="CARLOS JIMENEZ"/>
    <s v="MICHEL SANCHEZ"/>
  </r>
  <r>
    <x v="0"/>
    <s v="MAYO"/>
    <s v="EL PAICO"/>
    <s v="MIRANDA GOMEZ"/>
    <s v="JOSELIN"/>
    <s v="FEMENINO"/>
    <s v="18487450-4"/>
    <d v="2022-05-09T00:00:00"/>
    <n v="0"/>
    <d v="2022-05-14T00:00:00"/>
    <s v="NUEVO"/>
    <m/>
    <m/>
    <m/>
    <n v="0"/>
    <s v="STP"/>
    <m/>
    <m/>
    <x v="6"/>
    <s v="FRIGORIFICO "/>
    <s v="OPERARIO"/>
    <x v="36"/>
    <x v="0"/>
    <s v="MAÑANA"/>
    <d v="1899-12-30T05:30:00"/>
    <s v="SABADO"/>
    <s v="SEMANA 19"/>
    <m/>
    <m/>
    <s v="FRANCISCO QUEZADA"/>
    <s v="ALEJANDRO SALAS"/>
    <n v="29"/>
    <x v="0"/>
    <x v="4"/>
    <s v="Torsión"/>
    <s v="Caida de mismo nivel"/>
    <s v=" SUFRE CAÍDA A NIVEL CON TORSIÓN DE TOBILLO DERECHO, AL SALIR DEL CAMARÍN EN EL PASILLO PRINCIPAL"/>
    <s v="ACCION"/>
    <s v="SI"/>
    <s v="NO"/>
    <s v="CARLOS JIMENEZ"/>
    <s v="WLADIMIR CALDERON"/>
  </r>
  <r>
    <x v="0"/>
    <s v="MAYO"/>
    <s v="EL PAICO"/>
    <s v="OBREGON PLAZA"/>
    <s v="ANDREA"/>
    <s v="FEMENINO"/>
    <s v="15866994-3"/>
    <d v="2018-11-05T00:00:00"/>
    <n v="42"/>
    <d v="2022-05-14T00:00:00"/>
    <s v="ANTIGUO"/>
    <m/>
    <m/>
    <m/>
    <n v="0"/>
    <s v="STP"/>
    <m/>
    <m/>
    <x v="2"/>
    <s v="DESHUEZADO"/>
    <s v="OPERARIO"/>
    <x v="3"/>
    <x v="0"/>
    <s v="MAÑANA"/>
    <d v="1899-12-30T13:10:00"/>
    <s v="SABADO"/>
    <s v="SEMANA 19"/>
    <m/>
    <m/>
    <s v="DANIEL GARRIDO"/>
    <s v="RAFAEL ASTORGA"/>
    <n v="37"/>
    <x v="3"/>
    <x v="0"/>
    <s v="Contusión"/>
    <s v="Golpeado contra"/>
    <s v=" REFIERE GOLPE EN RODILLA IZQUIERDA SIN LESIONES VISIBLES QUE SE PROVOCA, AL ESTAR EN LA LÍNEA GOLPEA CON LA ESTRUCTURA Y HOY REFIERE DOLENCIA EN PIERNA IZQ. SIN LESIÓN VISIBLE"/>
    <s v="ACCION"/>
    <s v="SI"/>
    <s v="NO"/>
    <s v="CARLOS JIMENEZ"/>
    <s v="WLADIMIR CALDERON"/>
  </r>
  <r>
    <x v="0"/>
    <s v="MAYO"/>
    <s v="EL PAICO"/>
    <s v="MUÑOZ PLAZA"/>
    <s v="FRANCO"/>
    <s v="MASCULINO"/>
    <s v="20424770-6"/>
    <d v="2021-02-09T00:00:00"/>
    <n v="15"/>
    <d v="2022-05-16T00:00:00"/>
    <s v="NUEVO"/>
    <m/>
    <m/>
    <m/>
    <n v="0"/>
    <s v="STP"/>
    <m/>
    <m/>
    <x v="2"/>
    <s v="AUTOMATICO"/>
    <s v="OPERARIO"/>
    <x v="11"/>
    <x v="0"/>
    <s v="TARDE"/>
    <d v="1899-12-30T16:35:00"/>
    <s v="LUNES"/>
    <s v="SEMANA 20"/>
    <m/>
    <m/>
    <s v="DANIEL GARRIDO"/>
    <s v="RAFAEL ASTORGA"/>
    <n v="21"/>
    <x v="5"/>
    <x v="1"/>
    <s v="Contusión"/>
    <s v="Proyeccion de particulas"/>
    <s v="TRABAJADOR REFIERE PROYECCIÓN DE ÁCIDO PERACÉTICO EN OJO DERECHO, AL ESTAR CERRANDO UN BINS "/>
    <s v="ACCION"/>
    <s v="SI"/>
    <s v="NO"/>
    <s v="CARLOS JIMENEZ"/>
    <s v="CRISTIAN JHON"/>
  </r>
  <r>
    <x v="0"/>
    <s v="MAYO"/>
    <s v="EL PAICO"/>
    <s v="SILVA CARREÑO "/>
    <s v="CARLOS"/>
    <s v="MASCULINO"/>
    <s v="17578495-0"/>
    <d v="2019-02-25T00:00:00"/>
    <n v="38"/>
    <d v="2022-05-20T00:00:00"/>
    <s v="ANTIGUO"/>
    <m/>
    <m/>
    <m/>
    <n v="0"/>
    <s v="STP"/>
    <m/>
    <m/>
    <x v="2"/>
    <s v="DESHUEZADO"/>
    <s v="OPERARIO"/>
    <x v="37"/>
    <x v="0"/>
    <s v="MAÑANA"/>
    <d v="1899-12-30T11:50:00"/>
    <s v="VIERNES"/>
    <s v="SEMANA 20"/>
    <m/>
    <m/>
    <s v="DANIEL GARRIDO"/>
    <s v="JOSE CARVALLO"/>
    <n v="31"/>
    <x v="0"/>
    <x v="11"/>
    <s v="Contusión"/>
    <s v="Caida de mismo nivel"/>
    <s v="TRABAJADOR IBA CAMINANDO HACIA OFICINA DE TROZADO DE POLLO Y RESBALA EN EL PASILLO, EL CUAL TIENE HIELO Y PROVOCÓ LA CAÍDA"/>
    <s v="ACCION"/>
    <s v="SI"/>
    <s v="NO"/>
    <s v="CARLOS JIMENEZ"/>
    <s v="CRISTIAN JHON"/>
  </r>
  <r>
    <x v="0"/>
    <s v="MAYO"/>
    <s v="EL PAICO"/>
    <s v="TRONCOSO CACERES"/>
    <s v="CAROL "/>
    <s v="FEMENINO"/>
    <s v="16291541-K"/>
    <d v="2012-05-07T00:00:00"/>
    <n v="120"/>
    <d v="2022-05-24T00:00:00"/>
    <s v="ANTIGUO"/>
    <m/>
    <m/>
    <m/>
    <n v="0"/>
    <s v="STP"/>
    <m/>
    <m/>
    <x v="2"/>
    <s v="DESHUEZADO"/>
    <s v="OPERARIO"/>
    <x v="38"/>
    <x v="0"/>
    <s v="MAÑANA"/>
    <d v="1899-12-30T13:05:00"/>
    <s v="MARTES"/>
    <s v="SEMANA 21"/>
    <m/>
    <s v="NC-57-22"/>
    <s v="DANIEL GARRIDO"/>
    <s v="JORGE MEZA"/>
    <n v="36"/>
    <x v="3"/>
    <x v="2"/>
    <s v="Contusión"/>
    <s v="Golpeado contra"/>
    <s v="TRABAJADORA SALIENDO DE COLACIÓN, QUERIENDO SACAR ALCOHOL GEL, NO ALCANZO EL DISPENSADOR Y SU MANO PASO DE LARGO GOLPEÁNDOSE CON EL BORDE DE LA PUERTA"/>
    <s v="ACCION"/>
    <s v="SI"/>
    <s v="SI"/>
    <s v="NICOLAS GOMEZ "/>
    <s v="CRISTIAN JHON"/>
  </r>
  <r>
    <x v="0"/>
    <s v="MAYO"/>
    <s v="EL PAICO"/>
    <s v="LARA SOTO "/>
    <s v="EDITH"/>
    <s v="FEMENINO"/>
    <s v="16670482-0"/>
    <d v="2020-01-13T00:00:00"/>
    <n v="28"/>
    <d v="2022-05-26T00:00:00"/>
    <s v="INTERMEDIO"/>
    <m/>
    <m/>
    <m/>
    <n v="0"/>
    <s v="STP"/>
    <s v="LGF"/>
    <s v="LGF2"/>
    <x v="0"/>
    <s v="SSGG"/>
    <s v="OPERARIO"/>
    <x v="39"/>
    <x v="0"/>
    <s v="NOCHE"/>
    <d v="1899-12-30T01:20:00"/>
    <s v="JUEVES"/>
    <s v="SEMANA 21"/>
    <m/>
    <m/>
    <s v="SERGIO AQUEVEQUE"/>
    <s v="ALVARO URBINA"/>
    <n v="34"/>
    <x v="3"/>
    <x v="6"/>
    <s v="Atrición"/>
    <s v="Atrapamiento"/>
    <s v="SUFRE ATRICIÓN DE ANTEBRAZO DERECHO MIENTRAS REALIZABA LIMPIEZA DE CHILLER DE AGUA, PRESIONANDO LA PARTE AFECTADA CON EL BORDE DEL CHILLER Y LA ASPA QUE SE ENCONTRABA EN MOVIMIENTO. "/>
    <s v="ACCION"/>
    <s v="SI"/>
    <s v="NO"/>
    <s v="CARLOS JIMENEZ"/>
    <s v="MICHEL SANCHEZ"/>
  </r>
  <r>
    <x v="0"/>
    <s v="MAYO"/>
    <s v="EL PAICO"/>
    <s v="CACERES JEREZ"/>
    <s v="NICOLAS"/>
    <s v="MASCULINO"/>
    <s v="20137719-6"/>
    <d v="2019-03-04T00:00:00"/>
    <n v="38"/>
    <d v="2022-05-30T00:00:00"/>
    <s v="ANTIGUO"/>
    <d v="2022-05-31T00:00:00"/>
    <d v="2022-06-03T00:00:00"/>
    <m/>
    <n v="4"/>
    <s v="CTP"/>
    <m/>
    <m/>
    <x v="9"/>
    <s v="BODEGA DE INSUMOS "/>
    <s v="OPERARIO"/>
    <x v="40"/>
    <x v="0"/>
    <s v="TARDE"/>
    <d v="1899-12-30T23:30:00"/>
    <s v="LUNES"/>
    <s v="SEMANA 22"/>
    <m/>
    <s v="NC-59-22"/>
    <s v="BORIS PONCE "/>
    <s v="VICTORIA MILLARES"/>
    <n v="22"/>
    <x v="0"/>
    <x v="2"/>
    <s v="Torsión"/>
    <s v="Golpeado por"/>
    <s v=" TRABAJADOR AL TRATAR DE GIRAR EN PALLET, PIERDE EL EQUILIBRIO LO QUE LE PROVOCA UNA CAÍDA Y SUFRE TORSIÓN Y GOLPE EN SU DEDO ÍNDICE "/>
    <s v="ACCION"/>
    <s v="SI"/>
    <s v="SI"/>
    <s v="NICOLAS GOMEZ "/>
    <s v="HERALDO P"/>
  </r>
  <r>
    <x v="0"/>
    <s v="JUNIO"/>
    <s v="EL PAICO"/>
    <s v=" CARRASCO CACERES"/>
    <s v="VICTOR ALFONSO"/>
    <s v="MASCULINO"/>
    <s v="16985231-6"/>
    <d v="2008-07-18T00:00:00"/>
    <n v="166"/>
    <d v="2022-06-01T00:00:00"/>
    <s v="ANTIGUO"/>
    <d v="2022-06-01T00:00:00"/>
    <d v="2022-06-10T00:00:00"/>
    <m/>
    <n v="10"/>
    <s v="CTP"/>
    <m/>
    <m/>
    <x v="2"/>
    <s v="AUTOMATICO"/>
    <s v="OPERARIO"/>
    <x v="41"/>
    <x v="0"/>
    <s v="MAÑANA"/>
    <d v="1899-12-30T07:00:00"/>
    <s v="MIERCOLES"/>
    <s v="SEMANA 22"/>
    <m/>
    <s v="NC-63-22"/>
    <s v="DANIEL GARRIDO"/>
    <s v="RAMIRO RAMIREZ"/>
    <n v="33"/>
    <x v="0"/>
    <x v="5"/>
    <s v="Contusión"/>
    <s v="Caida de mismo nivel"/>
    <s v="TRABAJADOR CAMINABA HACIA LA OFICINA DE TROZADO DE POLLO A BUSCAR ETIQUETAS Y RESBALA POR EL HIELO EN EL PASILLO DEL IQF 4, GOLPEÁNDOSE LA ESPALDA POR EL LADO DERECHO "/>
    <s v="ACCION"/>
    <s v="SI"/>
    <s v="SI"/>
    <s v="NICOLAS GOMEZ "/>
    <s v="CRISTIAN JHON"/>
  </r>
  <r>
    <x v="0"/>
    <s v="JUNIO"/>
    <s v="EL PAICO"/>
    <s v=" SALGADO SILVA"/>
    <s v="JOSE AGUSTIN"/>
    <s v="MASCULINO"/>
    <s v="15355520-6"/>
    <d v="2020-05-20T00:00:00"/>
    <n v="24"/>
    <d v="2022-06-06T00:00:00"/>
    <s v="INTERMEDIO"/>
    <d v="2022-06-06T00:00:00"/>
    <d v="2022-06-06T00:00:00"/>
    <m/>
    <n v="0"/>
    <s v="STP"/>
    <m/>
    <m/>
    <x v="1"/>
    <s v="EVISCERADO POLLOS"/>
    <s v="OPERARIO"/>
    <x v="42"/>
    <x v="0"/>
    <s v="MAÑANA"/>
    <d v="1899-12-30T06:40:00"/>
    <s v="LUNES"/>
    <s v="SEMANA 23"/>
    <m/>
    <s v="NC-68-23"/>
    <s v="NICOLAS MOYANO"/>
    <s v="ERWIN GATICA"/>
    <n v="39"/>
    <x v="3"/>
    <x v="2"/>
    <s v="Herida cortante"/>
    <s v="Contacto con cuerpo cortante"/>
    <s v=" TRABAJADOR SUFRE HERIDA CORTANTE EN SU DEDO PULGAR IZQUIERDO, CUANDO ABRIÓ LA TAPA DE LA PELADERA DE GARRAS PARA REVISAR LA CORREA Y EVITAR QUE ESTA SE APAGARA"/>
    <s v="ACCION"/>
    <s v="SI"/>
    <s v="SI"/>
    <s v="NICOLAS GOMEZ "/>
    <s v="MICHEL SANCHEZ"/>
  </r>
  <r>
    <x v="0"/>
    <s v="JUNIO"/>
    <s v="EL PAICO"/>
    <s v=" NAVARRO GONZALEZ"/>
    <s v="XIMENA ANDREA"/>
    <s v="FEMENINO"/>
    <s v=" 16266713-0"/>
    <d v="2016-12-05T00:00:00"/>
    <n v="66"/>
    <d v="2022-06-08T00:00:00"/>
    <s v="ANTIGUO"/>
    <m/>
    <m/>
    <m/>
    <n v="0"/>
    <s v="STP"/>
    <m/>
    <m/>
    <x v="0"/>
    <s v="ASEO OPERACIONAL"/>
    <s v="OPERARIO"/>
    <x v="13"/>
    <x v="0"/>
    <s v="NOCHE"/>
    <d v="1899-12-30T01:30:00"/>
    <s v="MIERCOLES"/>
    <s v="SEMANA 23"/>
    <m/>
    <m/>
    <s v="CARLOS JIMENEZ"/>
    <s v=" "/>
    <n v="37"/>
    <x v="1"/>
    <x v="10"/>
    <s v="Otros"/>
    <s v="Exposicion a humo y gases"/>
    <s v=" TRABAJADORA REFIERE MOLESTIAS RESPIRATORIAS POR EXPOSICIÓN A QUÍMICOS EN EL AMBIENTE MIENTRAS REALIZADA SUS LABORES EN SALA DE ISHIDA"/>
    <s v="CONDICION"/>
    <s v="SI"/>
    <s v="NO"/>
    <s v="NICOLAS GOMEZ "/>
    <s v="WLADIMIR CALDERON"/>
  </r>
  <r>
    <x v="0"/>
    <s v="JUNIO"/>
    <s v="EL PAICO"/>
    <s v=" TORO OROZCO"/>
    <s v="GIANINA DEL CARMEN"/>
    <s v="FEMENINO"/>
    <s v=" 17518601-8"/>
    <d v="2019-01-14T00:00:00"/>
    <n v="40"/>
    <d v="2022-06-08T00:00:00"/>
    <s v="ANTIGUO"/>
    <m/>
    <m/>
    <m/>
    <n v="0"/>
    <s v="STP"/>
    <m/>
    <m/>
    <x v="0"/>
    <s v="ASEO OPERACIONAL"/>
    <s v="OPERARIO"/>
    <x v="43"/>
    <x v="0"/>
    <s v="NOCHE"/>
    <d v="1899-12-30T01:30:00"/>
    <s v="MIERCOLES"/>
    <s v="SEMANA 23"/>
    <m/>
    <m/>
    <s v="CARLOS JIMENEZ"/>
    <s v=" "/>
    <n v="32"/>
    <x v="1"/>
    <x v="10"/>
    <s v="Otros"/>
    <s v="Exposicion a humo y gases"/>
    <s v=" TRABAJADORA REFIERE MOLESTIAS RESPIRATORIAS POR EXPOSICIÓN A QUÍMICOS EN EL AMBIENTE MIENTRAS REALIZADA SUS LABORES EN SALA DE IQF"/>
    <s v="CONDICION"/>
    <s v="SI"/>
    <s v="NO"/>
    <s v="NICOLAS GOMEZ "/>
    <s v="WLADIMIR CALDERON"/>
  </r>
  <r>
    <x v="0"/>
    <s v="JUNIO"/>
    <s v="EL PAICO"/>
    <s v=" PEREZ MUNOZ"/>
    <s v="GUILLERMO ORLANDO"/>
    <s v="MASCULINO"/>
    <s v=" 11697702-8"/>
    <d v="2022-03-16T00:00:00"/>
    <n v="2"/>
    <d v="2022-06-09T00:00:00"/>
    <s v="NUEVO"/>
    <m/>
    <m/>
    <m/>
    <n v="0"/>
    <s v="STP"/>
    <m/>
    <m/>
    <x v="1"/>
    <s v="EVISCERADO POLLOS"/>
    <s v="OPERARIO"/>
    <x v="44"/>
    <x v="0"/>
    <s v="MAÑANA"/>
    <d v="1899-12-30T07:35:00"/>
    <s v="JUEVES"/>
    <s v="SEMANA 23"/>
    <m/>
    <m/>
    <s v="NICOLAS MOYANO"/>
    <s v="ERWIN GATICA"/>
    <n v="50"/>
    <x v="0"/>
    <x v="0"/>
    <s v="Contusión"/>
    <s v="Caida de distinto nivel"/>
    <s v=" TRABAJADOR ESTANDO EN UNA TARIMA DE AGACHA A RECOGER UNA BANDEJA, PIERDE EL EQUILIBRIO Y SUFRE UNA CAÍDA DE DISTINTO NIVEL, GOLPEANDO SU PIERNA Y BAZO "/>
    <s v="ACCION"/>
    <s v="SI"/>
    <s v="NO"/>
    <s v="NICOLAS GOMEZ "/>
    <s v="CRISTIAN JHON"/>
  </r>
  <r>
    <x v="0"/>
    <s v="JUNIO"/>
    <s v="EL PAICO"/>
    <s v=" MANZO FUENTES"/>
    <s v="BESSIE SORAYA"/>
    <s v="FEMENINO"/>
    <s v=" 11228319-6"/>
    <d v="1992-07-14T00:00:00"/>
    <n v="358"/>
    <d v="2022-06-09T00:00:00"/>
    <s v="ANTIGUO"/>
    <m/>
    <m/>
    <m/>
    <n v="0"/>
    <s v="STP"/>
    <m/>
    <m/>
    <x v="3"/>
    <s v="TROZADO"/>
    <s v="OPERARIO"/>
    <x v="45"/>
    <x v="0"/>
    <s v="MAÑANA"/>
    <d v="1899-12-30T08:20:00"/>
    <s v="JUEVES"/>
    <s v="SEMANA 23"/>
    <m/>
    <m/>
    <s v="GUILLERMO NARVAEZ"/>
    <s v="JAQUELINE PAVEZ"/>
    <n v="52"/>
    <x v="5"/>
    <x v="1"/>
    <s v="Otros"/>
    <s v="Proyeccion de particulas"/>
    <s v=" TRABAJADORA EN LÍNEA DE TROZADO DE PAVO, SUFRE LA PROYECCIÓN DE PARTÍCULAS LLEGANDO A SU OJO DERECHO, PROVOCANDO UNA PEQUEÑA IRRITACIÓN "/>
    <s v="ACCION"/>
    <s v="SI"/>
    <s v="NO"/>
    <s v="NICOLAS GOMEZ "/>
    <s v="CRISTIAN JHON"/>
  </r>
  <r>
    <x v="0"/>
    <s v="JUNIO"/>
    <s v="EL PAICO"/>
    <s v=" CAMPOS CHAPARRO"/>
    <s v="MAXIMO ALEXIS"/>
    <s v="MASCULINO"/>
    <s v=" 13900492-2"/>
    <d v="2019-01-02T00:00:00"/>
    <n v="41"/>
    <d v="2022-06-09T00:00:00"/>
    <s v="ANTIGUO"/>
    <m/>
    <m/>
    <m/>
    <n v="0"/>
    <s v="STP"/>
    <m/>
    <m/>
    <x v="4"/>
    <s v="CALIBRADO"/>
    <s v="SUPERVISOR"/>
    <x v="4"/>
    <x v="0"/>
    <s v="TARDE"/>
    <d v="1899-12-30T12:30:00"/>
    <s v="JUEVES"/>
    <s v="SEMANA 23"/>
    <m/>
    <m/>
    <s v="GUILLERMO NARVAEZ"/>
    <s v=" "/>
    <n v="41"/>
    <x v="8"/>
    <x v="2"/>
    <s v="Contusión"/>
    <s v="Golpeado por"/>
    <s v=" TRABAJADOR AL ESTAR RECOGIENDO UNA BOBINA DE FILM ESTA SE RESBALA Y GOLPEA SU DEDO MEDIO DE LA MANO IZQUIERDA "/>
    <s v="ACCION"/>
    <s v="SI"/>
    <s v="NO"/>
    <s v="NICOLAS GOMEZ "/>
    <s v="CRISTIAN JHON"/>
  </r>
  <r>
    <x v="0"/>
    <s v="JUNIO"/>
    <s v="EL PAICO"/>
    <s v=" LOYOLA DIAZ"/>
    <s v="HERNAN TOMAS"/>
    <s v="MASCULINO"/>
    <s v=" 19923996-1"/>
    <d v="2018-08-06T00:00:00"/>
    <n v="46"/>
    <d v="2022-06-14T00:00:00"/>
    <s v="ANTIGUO"/>
    <m/>
    <m/>
    <m/>
    <n v="0"/>
    <s v="STP"/>
    <m/>
    <m/>
    <x v="0"/>
    <s v="ASEO OPERACIONAL"/>
    <s v="OPERARIO"/>
    <x v="46"/>
    <x v="0"/>
    <s v="NOCHE"/>
    <d v="1899-12-30T00:35:00"/>
    <s v="MARTES"/>
    <s v="SEMANA 24"/>
    <m/>
    <m/>
    <s v="CARLOS JIMENEZ"/>
    <s v="LUIS URBINA"/>
    <n v="24"/>
    <x v="7"/>
    <x v="2"/>
    <s v="Atrición"/>
    <s v="Atrapamiento"/>
    <s v=" TRABAJADOR AL ESTAR HACIENDO ASEO EN MAQUINA BUCHERA DE EVISCERADO DE POLLO, CUANDO UN CUERPO ENGANCHA LA CAPA ARRASTRANDO SU MANO Y ATRAPÁNDOLE LA MUÑECA DERECHA EN EL PILAR DE LA MAQUINA "/>
    <s v="ACCION"/>
    <s v="SI"/>
    <s v="NO"/>
    <s v="NICOLAS GOMEZ "/>
    <s v="CRISTIAN JHON"/>
  </r>
  <r>
    <x v="0"/>
    <s v="JUNIO"/>
    <s v="EL PAICO"/>
    <s v="QUINONES CAMPOS"/>
    <s v="TANIA SHATILA"/>
    <s v="FEMENINO"/>
    <s v="15357030-2"/>
    <d v="2022-02-07T00:00:00"/>
    <n v="4"/>
    <d v="2022-06-16T00:00:00"/>
    <s v="NUEVO"/>
    <d v="2022-06-17T00:00:00"/>
    <m/>
    <m/>
    <m/>
    <s v="CTP"/>
    <m/>
    <m/>
    <x v="6"/>
    <s v="CAMARA"/>
    <s v="OPERARIO"/>
    <x v="47"/>
    <x v="0"/>
    <s v="TARDE"/>
    <d v="1899-12-30T12:00:00"/>
    <s v="JUEVES"/>
    <s v="SEMANA 24"/>
    <m/>
    <s v="NC-70-22"/>
    <s v="FRANCISCO QUEZADA"/>
    <s v="JUAN VILLAVICENCIO"/>
    <n v="39"/>
    <x v="0"/>
    <x v="11"/>
    <s v="Contusión"/>
    <s v="Caida de mismo nivel"/>
    <s v="TRABAJADORA, AL ESTAR LIMPIANDO MUEBLE EM LA SALA DE DESPACHO DE FRIGORÍFICO, SE RESBALA Y SE GOLPEA EN SU ROSTRO, CODO DERECHO Y ZONA LUMBAR"/>
    <s v="ACCION"/>
    <s v="NO"/>
    <s v="SI"/>
    <s v="NICOLAS GOMEZ "/>
    <s v="HERALDO P"/>
  </r>
  <r>
    <x v="0"/>
    <s v="JUNIO"/>
    <s v="EL PAICO"/>
    <s v=" RIVAS GALARCE"/>
    <s v="FRANCISCO JAVIER"/>
    <s v="MASCULINO"/>
    <s v=" 15884378-1"/>
    <d v="2013-03-07T00:00:00"/>
    <n v="111"/>
    <d v="2022-06-17T00:00:00"/>
    <s v="ANTIGUO"/>
    <m/>
    <m/>
    <m/>
    <n v="0"/>
    <s v="STP"/>
    <m/>
    <m/>
    <x v="4"/>
    <s v="CALIBRADO"/>
    <s v="OPERARIO"/>
    <x v="4"/>
    <x v="0"/>
    <s v="MAÑANA"/>
    <d v="1899-12-30T09:10:00"/>
    <s v="VIERNES"/>
    <s v="SEMANA 24"/>
    <m/>
    <m/>
    <s v="GUILLERMO NARVAEZ"/>
    <s v="MIGUEL HENRRIQUEZ"/>
    <n v="37"/>
    <x v="14"/>
    <x v="3"/>
    <s v="Herida cortante"/>
    <s v="Golpeado contra"/>
    <s v=" TRABAJADOR AL ESTAR SACANDO EL CAPACHO ATASCADO PARA VACIARLO, EJERCIÓ MUCHA FUERZA Y ESTE GOLPEO SU NARIZ, HACIENDO UN PEQUEÑO CORTE. "/>
    <s v="ACCION"/>
    <s v="SI"/>
    <s v="NO"/>
    <s v="NICOLAS GOMEZ "/>
    <s v="CRISTIAN JHON"/>
  </r>
  <r>
    <x v="0"/>
    <s v="JUNIO"/>
    <s v="EL PAICO"/>
    <s v=" VARGAS ROJAS"/>
    <s v="TOMAS ALFREDO"/>
    <s v="MASCULINO"/>
    <s v=" 21171568-5"/>
    <d v="2021-09-14T00:00:00"/>
    <n v="9"/>
    <d v="2022-06-21T00:00:00"/>
    <s v="NUEVO"/>
    <m/>
    <m/>
    <m/>
    <n v="0"/>
    <s v="STP"/>
    <m/>
    <m/>
    <x v="4"/>
    <s v="CALIBRADO"/>
    <s v="OPERARIO"/>
    <x v="43"/>
    <x v="0"/>
    <s v="TARDE"/>
    <d v="1899-12-30T12:30:00"/>
    <s v="MARTES"/>
    <s v="SEMANA 25"/>
    <m/>
    <m/>
    <s v="GUILLERMO NARVAEZ"/>
    <s v="FERNANDO FUENTEALBA"/>
    <n v="19"/>
    <x v="7"/>
    <x v="2"/>
    <s v="Contusión"/>
    <s v="Golpeado por"/>
    <s v=" TRABAJADOR AL ESTAR DESARMANDO EL SUPER CONTACT, PARA DEJAR DE OCUPARLO. SACA EL RODILLO Y LO DEJA EN UN SOPORTE, QUEDA MAL PUESTO Y LE CAE EN LOS DEDOS "/>
    <s v="ACCION"/>
    <s v="SI"/>
    <s v="NO"/>
    <s v="NICOLAS GOMEZ "/>
    <s v="CRISTIAN JHON"/>
  </r>
  <r>
    <x v="0"/>
    <s v="JUNIO"/>
    <s v="EL PAICO"/>
    <s v=" MENDEZ DEL CASTILLO"/>
    <s v="DANIELA ALEJANDRA"/>
    <s v="FEMENINO"/>
    <s v=" 15822820-3"/>
    <d v="2021-01-25T00:00:00"/>
    <n v="4"/>
    <d v="2021-06-22T00:00:00"/>
    <s v="NUEVO"/>
    <m/>
    <m/>
    <m/>
    <n v="0"/>
    <s v="STP"/>
    <m/>
    <m/>
    <x v="2"/>
    <s v="AUTOMATICO"/>
    <s v="OPERARIO"/>
    <x v="11"/>
    <x v="0"/>
    <s v="TARDE"/>
    <d v="1899-12-30T20:00:00"/>
    <s v="MIERCOLES"/>
    <s v="SEMANA 25"/>
    <m/>
    <m/>
    <s v="DANIEL GARRIDO"/>
    <s v="RAMIRO RAMIREZ"/>
    <n v="37"/>
    <x v="8"/>
    <x v="2"/>
    <s v="Contusión"/>
    <s v="Golpeado contra"/>
    <s v=" TRABAJADORA EN SU PUESTO DE TRABAJO, GOLPEA SU MANO CON MESA DE TRABAJO, CUANDO UN COMPAÑERO CHOCA CON UN BINS QUE GOLPEA UNAS CAJAS Y ESTAS GOLPEAN LA MESA HACIENDO QUE SE GOLPEE LA MANO "/>
    <s v="ACCION"/>
    <s v="SI"/>
    <s v="NO"/>
    <s v="NICOLAS GOMEZ "/>
    <s v="MICHEL SANCHEZ"/>
  </r>
  <r>
    <x v="0"/>
    <s v="JUNIO"/>
    <s v="EL PAICO"/>
    <s v="RIVEROS RIVEROS"/>
    <s v="FRANCISCO ADRIAN"/>
    <s v="MASCULINO"/>
    <s v="17986835-0"/>
    <d v="2020-05-28T00:00:00"/>
    <n v="24"/>
    <d v="2022-06-24T00:00:00"/>
    <s v="INTERMEDIO"/>
    <m/>
    <m/>
    <m/>
    <n v="0"/>
    <s v="STP"/>
    <m/>
    <m/>
    <x v="4"/>
    <s v="IQF4"/>
    <s v="OPERARIO"/>
    <x v="48"/>
    <x v="0"/>
    <s v="TARDE"/>
    <d v="1899-12-30T17:00:00"/>
    <s v="VIERNES"/>
    <s v="SEMANA 25"/>
    <m/>
    <m/>
    <s v="GUILLERMO NARVAEZ"/>
    <s v="FRANCISCO SANCHEZ"/>
    <n v="30"/>
    <x v="8"/>
    <x v="2"/>
    <s v="Contusión"/>
    <s v="Golpeado contra"/>
    <s v="TRABAJADOR SUFRE GOLPE EN SU MANO DERECHA CON BINS, EMPUJADO POR TRANSPALETA ELÉCTRICA, CUANDO BAJABA BINS DEL VOLTEADOR "/>
    <s v="ACCION"/>
    <s v="SI"/>
    <s v="NO"/>
    <s v="NICOLAS GOMEZ "/>
    <s v="HERALDO P"/>
  </r>
  <r>
    <x v="0"/>
    <s v="JUNIO"/>
    <s v="EL PAICO"/>
    <s v=" NUNEZ MENA"/>
    <s v="FRANCISCO IGNACIO"/>
    <s v="MASCULINO"/>
    <s v=" 19421104-K"/>
    <d v="2021-02-09T00:00:00"/>
    <n v="16"/>
    <d v="2022-06-25T00:00:00"/>
    <s v="NUEVO"/>
    <m/>
    <m/>
    <m/>
    <n v="0"/>
    <s v="STP"/>
    <m/>
    <m/>
    <x v="4"/>
    <s v="PALETIZADO"/>
    <s v="OPERARIO"/>
    <x v="49"/>
    <x v="0"/>
    <s v="MAÑANA"/>
    <d v="1899-12-30T10:00:00"/>
    <s v="SABADO"/>
    <s v="SEMANA 25"/>
    <m/>
    <m/>
    <s v="GUILLERMO NARVAEZ"/>
    <s v="MAXIMO CAMPOS"/>
    <n v="26"/>
    <x v="14"/>
    <x v="2"/>
    <s v="Otros"/>
    <s v="Otros"/>
    <s v=" TRABAJADOR EL PEDIR EL ZIPER SE CORTA LA UÑA DEL DEDO ÍNDICE DE LA MANO DERECHA CON LA ARGOLLA "/>
    <s v="ACCION"/>
    <s v="NO"/>
    <s v="NO"/>
    <s v="NICOLAS GOMEZ "/>
    <s v="CRISTIAN JHON"/>
  </r>
  <r>
    <x v="0"/>
    <s v="JUNIO"/>
    <s v="EL PAICO"/>
    <s v=" FUENTES ARENAS"/>
    <s v="MAURICIO IGNACIO"/>
    <s v="MASCULINO"/>
    <s v=" 18061498-2"/>
    <d v="2019-06-03T00:00:00"/>
    <n v="36"/>
    <d v="2022-06-28T00:00:00"/>
    <s v="INTERMEDIO"/>
    <m/>
    <m/>
    <m/>
    <s v=" "/>
    <s v=" "/>
    <m/>
    <m/>
    <x v="5"/>
    <s v="MANTENCION"/>
    <s v="ELECTRICO"/>
    <x v="50"/>
    <x v="0"/>
    <s v="TARDE"/>
    <d v="1899-12-30T19:30:00"/>
    <s v="MARTES"/>
    <s v="SEMANA 26"/>
    <m/>
    <m/>
    <s v="VICTOR GOMEZ"/>
    <s v="EMANUEL MELLADO "/>
    <n v="30"/>
    <x v="8"/>
    <x v="2"/>
    <s v="Contusión"/>
    <s v="Golpeado por"/>
    <s v=" TRABAJADOR AL ESTAR ARMANDO EL MOTOR PASA LAS HERRAMIENTAS POR DEBAJO DE ESTE Y EL MOTOR CAE 30 CMS APROX. GOLPEANDO AMBAS MANOS, QUEDANDO AFECTADA SU MANO IZQUIERDA"/>
    <s v="ACCION"/>
    <s v="SI"/>
    <s v="NO"/>
    <s v="NICOLAS GOMEZ "/>
    <s v="HERALDO P"/>
  </r>
  <r>
    <x v="0"/>
    <s v="JUNIO"/>
    <s v="EL PAICO"/>
    <s v=" CASTRO MARTINEZ"/>
    <s v="MATIAS ALEJANDRO"/>
    <s v="MASCULINO"/>
    <s v=" 19068208-0"/>
    <d v="2013-08-07T00:00:00"/>
    <n v="106"/>
    <d v="2022-06-29T00:00:00"/>
    <s v="ANTIGUO"/>
    <m/>
    <m/>
    <m/>
    <n v="0"/>
    <s v="STP"/>
    <m/>
    <m/>
    <x v="2"/>
    <s v="AUTOMATICO"/>
    <s v="ELECTRICO"/>
    <x v="50"/>
    <x v="0"/>
    <s v="TARDE"/>
    <d v="1899-12-30T16:00:00"/>
    <s v="MIERCOLES"/>
    <s v="SEMANA 26"/>
    <m/>
    <m/>
    <s v="DANIEL GARRIDO"/>
    <s v="ARNALDO VERA"/>
    <n v="27"/>
    <x v="7"/>
    <x v="2"/>
    <s v="Herida cortante"/>
    <s v="Contacto con cuerpo cortante"/>
    <s v=" TRABAJADOR AL ESTAR HACIENDO UN AJUSTE A LA MAQUINA CORTADORA DE RABADILLAS SOBRE UN PISO, ESTE SE CORRE Y AL TRATAR DE AFIRMARSE SE CORTA CON UNO DE LOS CUCHILLOS DE LA MAQUINA "/>
    <s v="ACCION"/>
    <s v="SI"/>
    <s v="NO"/>
    <s v="NICOLAS GOMEZ "/>
    <s v="CRISTIAN JHON"/>
  </r>
  <r>
    <x v="0"/>
    <s v="JUNIO"/>
    <s v="EL PAICO"/>
    <s v=" QUINTANILLA REYES"/>
    <s v="ESTEBAN ALEJANDRO"/>
    <s v="MASCULINO"/>
    <s v=" 20123998-2"/>
    <d v="2018-03-19T00:00:00"/>
    <n v="51"/>
    <d v="2022-06-30T00:00:00"/>
    <s v="ANTIGUO"/>
    <m/>
    <m/>
    <m/>
    <n v="0"/>
    <s v="STP"/>
    <m/>
    <m/>
    <x v="8"/>
    <s v="CALIDAD"/>
    <s v="MONITOR"/>
    <x v="51"/>
    <x v="0"/>
    <s v="NOCHE"/>
    <d v="1899-12-30T03:08:00"/>
    <s v="JUEVES"/>
    <s v="SEMANA 26"/>
    <m/>
    <m/>
    <s v="JAIME JORQUERA"/>
    <s v="SOLEDAD CARRASCO"/>
    <n v="23"/>
    <x v="7"/>
    <x v="2"/>
    <s v="Herida cortante"/>
    <s v="Contacto con cuerpo punzante"/>
    <s v=" EL TRABAJADOR AL ESTAR REVISANDO LA CINTA DEL CONGELADOR SE ENTIERRA UNA ESQUIRLA METÁLICA EN EL DEDO MEÑIQUE DE LA MANO DERECHA "/>
    <s v="ACCION"/>
    <s v="SI"/>
    <s v="NO"/>
    <s v="NICOLAS GOMEZ "/>
    <s v="CRISTIAN JHON"/>
  </r>
  <r>
    <x v="0"/>
    <s v="JUNIO"/>
    <s v="EL PAICO"/>
    <s v=" CATALAN CASTILLO"/>
    <s v="BENJAMIN WILLIAMS"/>
    <s v="MASCULINO"/>
    <s v=" 14312051-1"/>
    <d v="2013-06-18T00:00:00"/>
    <n v="108"/>
    <d v="2022-06-30T00:00:00"/>
    <s v="ANTIGUO"/>
    <m/>
    <m/>
    <m/>
    <n v="0"/>
    <s v="STP"/>
    <m/>
    <m/>
    <x v="7"/>
    <s v="ISHIDA"/>
    <s v="OPERARIO MAQUINA"/>
    <x v="13"/>
    <x v="0"/>
    <s v="TARDE"/>
    <d v="1899-12-30T20:15:00"/>
    <s v="JUEVES"/>
    <s v="SEMENA 26"/>
    <m/>
    <m/>
    <s v="OCTAVIO MUÑOZ"/>
    <s v="EDGAR HERNANDEZ "/>
    <n v="46"/>
    <x v="13"/>
    <x v="2"/>
    <s v="Atrición"/>
    <s v="Atrapamiento"/>
    <s v=" TRABAJADOR SUFRE ATRICIÓN DE DEDO ANULAR IZQUIERDO CON TRANSPALETA EN MAL ESTADO, OPERADA POR COMPAÑERO DE TRABAJO"/>
    <s v="ACCION"/>
    <s v="SI"/>
    <s v="NO"/>
    <s v="NICOLAS GOMEZ "/>
    <s v="MICHEL SANCHEZ"/>
  </r>
  <r>
    <x v="0"/>
    <s v="JULIO"/>
    <s v="EL PAICO"/>
    <s v="COLINA PARDO"/>
    <s v="ISABEL MARGARITA"/>
    <s v="FEMENINO"/>
    <s v=" 16615461-8"/>
    <d v="2017-05-29T00:00:00"/>
    <n v="61"/>
    <d v="2022-07-03T00:00:00"/>
    <s v="ANTIGUO"/>
    <m/>
    <m/>
    <m/>
    <n v="0"/>
    <s v="STP"/>
    <m/>
    <m/>
    <x v="2"/>
    <s v="DESHUEZADO"/>
    <s v="OPERARIO"/>
    <x v="3"/>
    <x v="0"/>
    <s v="MAÑANA"/>
    <d v="1899-12-30T07:10:00"/>
    <s v="DOMINGO"/>
    <s v="SEMANA 26"/>
    <m/>
    <m/>
    <s v="DANIEL GARRIDO"/>
    <s v="JOSE CARVALLO"/>
    <n v="40"/>
    <x v="0"/>
    <x v="9"/>
    <s v="Contusión"/>
    <s v="Caida de mismo nivel"/>
    <s v=" TRABAJADOR SUFRE CAÍDA DEL MISMO NIVEL, AL RESBALAR CAYENDO AL SUELO CON GOLPE EN SU CABEZA , CARA OCCIPITAL"/>
    <s v="ACCION"/>
    <s v="SI"/>
    <s v="NO"/>
    <s v="NICOLAS GOMEZ "/>
    <s v="HERALDO P"/>
  </r>
  <r>
    <x v="0"/>
    <s v="JULIO"/>
    <s v="EL PAICO"/>
    <s v="ARMIJO CORDERO"/>
    <s v="FRANCISCO EDUARDO"/>
    <s v="MASCULINO"/>
    <s v="7885635-1"/>
    <d v="2004-09-22T00:00:00"/>
    <n v="213"/>
    <d v="2022-07-04T00:00:00"/>
    <s v="ANTIGUO"/>
    <m/>
    <m/>
    <m/>
    <n v="0"/>
    <s v="STP"/>
    <m/>
    <m/>
    <x v="3"/>
    <s v="TROZADO"/>
    <s v="OPERARIO"/>
    <x v="38"/>
    <x v="0"/>
    <s v="MAÑANA"/>
    <d v="1899-12-30T09:15:00"/>
    <s v="LUNES"/>
    <s v="SEMANA 27"/>
    <m/>
    <m/>
    <s v="GUILLERMO NARVAEZ"/>
    <s v="JAQUELINE PAVEZ"/>
    <n v="63"/>
    <x v="14"/>
    <x v="10"/>
    <s v="Otros"/>
    <s v="Otros"/>
    <s v="TRABAJADOR SUFRE ROTURA DE PRÓTESIS DENTAL, AL COMER EN CASINO DE EMPRESA"/>
    <s v="ACCION"/>
    <s v="NO"/>
    <s v="SI"/>
    <s v="NICOLAS GOMEZ "/>
    <s v="MICHEL SANCHEZ"/>
  </r>
  <r>
    <x v="0"/>
    <s v="JULIO"/>
    <s v="EL PAICO"/>
    <s v="CUEVAS VIDAL"/>
    <s v="VICTOR MANUEL"/>
    <s v="MASCULINO"/>
    <s v=" 9164248-4"/>
    <d v="2018-02-05T00:00:00"/>
    <n v="53"/>
    <d v="2022-07-07T00:00:00"/>
    <s v="ANTIGUO"/>
    <m/>
    <m/>
    <m/>
    <m/>
    <s v="STP"/>
    <m/>
    <m/>
    <x v="0"/>
    <s v="ASEO OPERACIONAL"/>
    <s v="OPERARIO"/>
    <x v="52"/>
    <x v="0"/>
    <s v="MAÑANA"/>
    <d v="1899-12-30T05:15:00"/>
    <s v="JUEVES"/>
    <s v="SEMANA 27"/>
    <m/>
    <m/>
    <s v="CARLOS JIMENEZ"/>
    <s v="SERGIO AQUEVEQUE"/>
    <n v="61"/>
    <x v="0"/>
    <x v="0"/>
    <s v="Torsión"/>
    <s v="Caida de mismo nivel"/>
    <s v=" EL TRABAJADOR SALIR POR EL FILTRO SANITARIO GIRA Y SE DOBLA LA RODILLA "/>
    <s v="ACCION"/>
    <s v="SI"/>
    <s v="NO"/>
    <s v="NICOLAS GOMEZ "/>
    <s v="CRISTIAN JHON"/>
  </r>
  <r>
    <x v="0"/>
    <s v="JULIO"/>
    <s v="EL PAICO"/>
    <s v="ERAZO BARTUCEVIC"/>
    <s v="ELIZABETH DEL PILAR"/>
    <s v="FEMENINO"/>
    <s v=" 9635745-1"/>
    <d v="2012-05-02T00:00:00"/>
    <n v="122"/>
    <d v="2022-07-07T00:00:00"/>
    <s v="ANTIGUO"/>
    <m/>
    <m/>
    <m/>
    <n v="0"/>
    <s v="STP"/>
    <m/>
    <m/>
    <x v="4"/>
    <s v="LINEA IQF"/>
    <s v="OPERARIO"/>
    <x v="53"/>
    <x v="0"/>
    <s v="TARDE"/>
    <d v="1899-12-30T15:15:00"/>
    <s v="JUEVES"/>
    <s v="SEMANA 27"/>
    <m/>
    <m/>
    <s v="GUILLERMO NARVAEZ"/>
    <s v="FRANCISCO SANCHEZ"/>
    <n v="60"/>
    <x v="0"/>
    <x v="7"/>
    <s v="Contusión"/>
    <s v="Caida de mismo nivel"/>
    <s v=" TRABAJADOR AL CAMINAR POR EL PASILLO DEL IQF PISA UNA ALA MEDIA Y SUFRE UNA CAÍDA AL MISMO NIVEL "/>
    <s v="ACCION"/>
    <s v="SI"/>
    <s v="NO"/>
    <s v="NICOLAS GOMEZ "/>
    <s v="CRISTIAN JHON"/>
  </r>
  <r>
    <x v="0"/>
    <s v="JULIO"/>
    <s v="EL PAICO"/>
    <s v="GALLEGUILLOS GAETE"/>
    <s v="GILLIAN ANTONELLA"/>
    <s v="FEMENINO"/>
    <s v=" 21173854-5"/>
    <d v="2022-06-22T00:00:00"/>
    <n v="0"/>
    <d v="2022-07-08T00:00:00"/>
    <s v="NUEVO"/>
    <m/>
    <m/>
    <m/>
    <n v="0"/>
    <s v="CTP"/>
    <m/>
    <m/>
    <x v="4"/>
    <s v="IQF"/>
    <s v="OPERARIO"/>
    <x v="54"/>
    <x v="0"/>
    <s v="MAÑANA"/>
    <d v="1899-12-30T11:50:00"/>
    <s v="VIERNES"/>
    <s v="SEMANA 27"/>
    <m/>
    <m/>
    <s v="GUILLERMO NARVAEZ"/>
    <s v="FERNANDO FUENTEALBA"/>
    <n v="19"/>
    <x v="7"/>
    <x v="2"/>
    <s v="Contusión"/>
    <s v="Golpeado contra"/>
    <s v="TRABAJADORA AL TRATAR DE DISMINUIR LA CAÍDA DE LA TAPA DEL CAPACHO SE GOLPEA LA MANO DERECHA CON SOPORTE TECNIL (ESTRUCTURA METÁLICA)"/>
    <s v="ACCION"/>
    <s v="SI"/>
    <s v="SI"/>
    <s v="NICOLAS GOMEZ "/>
    <s v="MICHEL SANCHEZ"/>
  </r>
  <r>
    <x v="0"/>
    <s v="JULIO"/>
    <s v="EL PAICO"/>
    <s v="VERGARA MILLALONCO"/>
    <s v="ESTRELLA DEL CARMEN"/>
    <s v="FEMENINO"/>
    <s v=" 10716133-3"/>
    <d v="2016-12-19T00:00:00"/>
    <n v="66"/>
    <d v="2022-07-08T00:00:00"/>
    <s v="ANTIGUO"/>
    <m/>
    <m/>
    <m/>
    <n v="0"/>
    <s v="STP"/>
    <m/>
    <m/>
    <x v="2"/>
    <s v="DESHUEZADO"/>
    <s v="OPERARIO"/>
    <x v="3"/>
    <x v="0"/>
    <s v="TARDE"/>
    <d v="1899-12-30T17:30:00"/>
    <s v="VIERNES"/>
    <s v="SEMANA 27"/>
    <m/>
    <m/>
    <s v="DANIEL GARRIDO"/>
    <s v="JOSE CARVALLO"/>
    <n v="52"/>
    <x v="14"/>
    <x v="6"/>
    <s v="Otros"/>
    <s v="Otros"/>
    <s v="TRABAJADORA REFIERE DOLOR EN EL HOMBRO DERECHO, UN TIRÓN AL REALIZAR MAL UN MOVIMIENTO CUANDO ESTABA RECOGIENDO PRODUCTO DEL PISO"/>
    <s v="ACCION"/>
    <s v="SI"/>
    <s v="NO"/>
    <s v="NICOLAS GOMEZ "/>
    <s v="MICHEL SANCHEZ"/>
  </r>
  <r>
    <x v="0"/>
    <s v="JULIO"/>
    <s v="EL PAICO"/>
    <s v=" LEANDRE . "/>
    <s v=" MARIE DAYANA"/>
    <s v="FEMENINO"/>
    <s v=" 25613814-K"/>
    <d v="2022-01-06T00:00:00"/>
    <n v="6"/>
    <d v="2022-07-09T00:00:00"/>
    <s v="NUEVO"/>
    <m/>
    <m/>
    <m/>
    <n v="0"/>
    <s v="STP"/>
    <m/>
    <m/>
    <x v="2"/>
    <s v="AUTOMATICO"/>
    <s v="OPERARIO"/>
    <x v="11"/>
    <x v="0"/>
    <s v="MAÑANA"/>
    <d v="1899-12-30T14:10:00"/>
    <s v="SABADO"/>
    <s v="SEMANA 27"/>
    <m/>
    <m/>
    <s v="DANIEL GARRIDO"/>
    <s v="ARNALDO VERA"/>
    <n v="33"/>
    <x v="13"/>
    <x v="9"/>
    <s v="Contusión"/>
    <s v="Caida de mismo nivel"/>
    <s v=" TRABAJADORA SUFRE CAÍDA MISMO NIVEL AL SER PASADA A LLEVAR POR TRANSPALETA MANUAL, AL ESTAR TRABAJADO EN LA LÍNEA "/>
    <s v="ACCION"/>
    <s v="SI"/>
    <s v="NO"/>
    <s v="NICOLAS GOMEZ "/>
    <s v="WLADIMIR CALDERON"/>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2"/>
    <s v=" "/>
    <s v=" "/>
    <s v=" "/>
    <s v=" "/>
    <s v=" "/>
    <s v=" "/>
    <s v=" "/>
    <e v="#VALUE!"/>
    <s v=" "/>
    <e v="#VALUE!"/>
    <m/>
    <m/>
    <m/>
    <s v=" "/>
    <s v=" "/>
    <m/>
    <m/>
    <x v="10"/>
    <m/>
    <m/>
    <x v="6"/>
    <x v="3"/>
    <m/>
    <m/>
    <m/>
    <m/>
    <m/>
    <m/>
    <s v=" "/>
    <s v=" "/>
    <s v=" "/>
    <x v="15"/>
    <x v="12"/>
    <s v=" "/>
    <s v=" "/>
    <s v=" "/>
    <s v=" "/>
    <s v=" "/>
    <s v=" "/>
    <m/>
    <m/>
  </r>
  <r>
    <x v="1"/>
    <m/>
    <m/>
    <m/>
    <m/>
    <m/>
    <m/>
    <m/>
    <m/>
    <m/>
    <m/>
    <m/>
    <m/>
    <m/>
    <m/>
    <m/>
    <m/>
    <m/>
    <x v="10"/>
    <m/>
    <m/>
    <x v="6"/>
    <x v="3"/>
    <m/>
    <m/>
    <m/>
    <m/>
    <m/>
    <m/>
    <m/>
    <m/>
    <m/>
    <x v="15"/>
    <x v="13"/>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7">
  <r>
    <n v="2022"/>
    <s v="JUNIO"/>
    <s v="EL PAICO"/>
    <s v=" MENDEZ DEL CASTILLO"/>
    <s v="DANIELA ALEJANDRA"/>
    <s v="FEMENINO"/>
    <s v=" 15822820-3"/>
    <d v="2021-01-25T00:00:00"/>
    <n v="4"/>
    <d v="2021-06-22T00:00:00"/>
    <s v="NUEVO"/>
    <m/>
    <m/>
    <m/>
    <n v="0"/>
    <s v="STP"/>
    <m/>
    <m/>
    <x v="0"/>
    <x v="0"/>
    <s v="OPERARIO"/>
    <s v="AUTOMATICO"/>
    <s v="N/A"/>
    <s v="TARDE"/>
    <d v="1899-12-30T20:00:00"/>
    <s v="MIERCOLES"/>
    <s v="SEMANA 25"/>
    <m/>
    <m/>
    <s v="DANIEL GARRIDO"/>
    <x v="0"/>
    <n v="37"/>
    <x v="0"/>
    <s v="Manos / dedos"/>
    <s v="Contusión"/>
    <s v="Golpeado contra"/>
    <s v=" TRABAJADORA EN SU PUESTO DE TRABAJO, GOLPEA SU MANO CON MESA DE TRABAJO, CUANDO UN COMPAÑERO CHOCA CON UN BINS QUE GOLPEA UNAS CAJAS Y ESTAS GOLPEAN LA MESA HACIENDO QUE SE GOLPEE LA MANO "/>
    <s v="ACCION"/>
    <s v="SI"/>
    <s v="NO"/>
    <s v="NICOLAS GOMEZ "/>
    <s v="MICHEL SANCHEZ"/>
  </r>
  <r>
    <n v="2022"/>
    <s v="ENERO"/>
    <s v="EL PAICO"/>
    <s v=" cuevas vidal"/>
    <s v=" Victor "/>
    <s v="MASCULINO"/>
    <s v=" 9164248-4"/>
    <d v="2018-02-05T00:00:00"/>
    <n v="46"/>
    <d v="2022-01-03T00:00:00"/>
    <s v="ANTIGUO"/>
    <m/>
    <m/>
    <m/>
    <n v="0"/>
    <s v="STP"/>
    <m/>
    <m/>
    <x v="1"/>
    <x v="1"/>
    <s v="OPERARIO"/>
    <s v="CAMARA 207"/>
    <s v="N/A"/>
    <s v="MAÑANA"/>
    <d v="1899-12-30T11:08:00"/>
    <s v="LUNES"/>
    <s v="SEMANA 01"/>
    <m/>
    <m/>
    <s v="FRANCISCO ROJAS"/>
    <x v="1"/>
    <n v="60"/>
    <x v="1"/>
    <s v="Pierna"/>
    <s v="Contusión"/>
    <s v="Caida de mismo nivel"/>
    <s v="TRABAJADOR REALIZANDO ASEO OPERACIONAL EN CAMARA  207 SUFRE CAIDA DE MISMO NIVEL EN CAMARA 207"/>
    <s v="CONDICION"/>
    <s v="SI"/>
    <s v="NO"/>
    <s v="PEDRO MOREIRA"/>
    <s v="CRISTIAN JHON"/>
  </r>
  <r>
    <n v="2022"/>
    <s v="ENERO"/>
    <s v="EL PAICO"/>
    <s v=" cerón pinto"/>
    <s v=" José "/>
    <s v="MASCULINO"/>
    <s v=" 16292444-3"/>
    <d v="2021-11-15T00:00:00"/>
    <n v="1"/>
    <d v="2022-01-04T00:00:00"/>
    <s v="NUEVO"/>
    <m/>
    <m/>
    <m/>
    <n v="0"/>
    <s v="STP"/>
    <m/>
    <m/>
    <x v="2"/>
    <x v="2"/>
    <s v="OPERARIO"/>
    <s v="EVICERADO"/>
    <s v="CUCHILLOS"/>
    <s v="MAÑANA"/>
    <d v="1899-12-30T09:45:00"/>
    <s v="MARTES"/>
    <s v="SEMANA 01"/>
    <m/>
    <m/>
    <s v="NICOLAS MOYANO"/>
    <x v="2"/>
    <n v="35"/>
    <x v="2"/>
    <s v="Manos / dedos"/>
    <s v="Herida cortante"/>
    <s v="Contacto con cuerpo punzante"/>
    <s v="TRABAJADOR AL CAER CUCHILLO TRATA DE TOMARLO Y SE GENERA CORTE EN SU MANO"/>
    <s v="ACCION"/>
    <s v="SI"/>
    <s v="NO"/>
    <s v="PEDRO MOREIRA"/>
    <s v="APOYO"/>
  </r>
  <r>
    <n v="2022"/>
    <s v="ENERO"/>
    <m/>
    <s v="JOHANNA"/>
    <s v="AVRIL ."/>
    <s v="MASCULINO"/>
    <s v="26118266-1"/>
    <d v="2021-08-03T00:00:00"/>
    <n v="5"/>
    <d v="2022-01-04T00:00:00"/>
    <s v="NUEVO"/>
    <m/>
    <m/>
    <m/>
    <n v="0"/>
    <s v="STP"/>
    <s v="LGF"/>
    <s v="LGF 3"/>
    <x v="1"/>
    <x v="1"/>
    <s v="OPERARIO"/>
    <s v="SALA DETERGENTE"/>
    <s v="N/A"/>
    <s v="NOCHE"/>
    <d v="1899-12-30T01:35:00"/>
    <s v="MARTES"/>
    <s v="SEMANA 01"/>
    <m/>
    <m/>
    <s v="FRANCISCO ROJAS"/>
    <x v="3"/>
    <n v="29"/>
    <x v="3"/>
    <s v="Ojos"/>
    <s v="Quemadura"/>
    <s v="Proyeccion de particulas"/>
    <s v="PREPARANDO PRODUCTO CLORADO EN SALA DETERGENTE, SALPICA PRODUCTO EN OJOS"/>
    <s v="ACCION"/>
    <s v="SI"/>
    <s v="NO"/>
    <s v="LUIS LARENAS"/>
    <s v="CRISTIAN JHON"/>
  </r>
  <r>
    <n v="2022"/>
    <s v="ENERO"/>
    <s v="EL PAICO"/>
    <s v=" Trujillo Bustos"/>
    <s v=" Hilda "/>
    <s v="FEMENINO"/>
    <s v=" 11366546-0"/>
    <d v="2015-02-11T00:00:00"/>
    <n v="82"/>
    <d v="2022-01-05T00:00:00"/>
    <s v="ANTIGUO"/>
    <d v="2022-01-05T00:00:00"/>
    <d v="2022-01-05T00:00:00"/>
    <m/>
    <n v="0"/>
    <s v="STP"/>
    <m/>
    <m/>
    <x v="3"/>
    <x v="3"/>
    <s v="OPERARIO"/>
    <s v="DESHUEZADO"/>
    <s v="CINTA DESHUEZADO"/>
    <s v="TARDE"/>
    <d v="1899-12-30T13:40:00"/>
    <s v="MIERCOLES"/>
    <s v="SEMANA 01"/>
    <n v="14948"/>
    <s v="NC-07-22"/>
    <s v="GUILLERMO NARVAEZ"/>
    <x v="4"/>
    <n v="56"/>
    <x v="4"/>
    <s v="Rostro"/>
    <s v="Herida cortante"/>
    <s v="Contacto con cuerpo cortante"/>
    <s v=" TRABAJADORA AL AGACHARCE SE GOLPEA CON ORILLA DE CINTA GENERANDO CORTE SUPERFICIAL EN CASTADO DE LA CEJA"/>
    <s v="ACCION"/>
    <s v="SI"/>
    <s v="SI"/>
    <s v="LUIS LARENAS"/>
    <s v="MICHEL SANCHEZ"/>
  </r>
  <r>
    <n v="2022"/>
    <s v="ENERO"/>
    <s v="EL PAICO"/>
    <s v=" Gallagher Riveros"/>
    <s v=" Maria Isabel "/>
    <s v="FEMENINO"/>
    <s v="10144095-8"/>
    <d v="2021-11-15T00:00:00"/>
    <n v="1"/>
    <d v="2022-01-05T00:00:00"/>
    <s v="NUEVO"/>
    <m/>
    <m/>
    <m/>
    <n v="0"/>
    <s v="STP"/>
    <m/>
    <m/>
    <x v="0"/>
    <x v="4"/>
    <s v="OPERARIO"/>
    <s v="DESHUEZADO"/>
    <s v="N/A"/>
    <s v="MAÑANA"/>
    <d v="1899-12-30T07:15:00"/>
    <s v="MIERCOLES"/>
    <s v="SEMANA 01"/>
    <m/>
    <m/>
    <s v="DANIEL GARRIDO"/>
    <x v="5"/>
    <n v="57"/>
    <x v="1"/>
    <s v="Pierna"/>
    <s v="Contusión"/>
    <s v="Caida de mismo nivel"/>
    <s v=" Sufre caída a nivel con rejilla de evacuación de agua que sobresalía del piso"/>
    <s v="CONDICION"/>
    <s v="SI"/>
    <s v="NO"/>
    <s v="PEDRO MOREIRA"/>
    <s v="CRISTIAN JHON"/>
  </r>
  <r>
    <n v="2022"/>
    <s v="ENERO"/>
    <s v="EL PAICO"/>
    <s v="ORTIZ NAVARRO "/>
    <s v="BRIAN ANTONIO"/>
    <s v="MASCULINO"/>
    <s v=" 20604977-4"/>
    <d v="2021-10-19T00:00:00"/>
    <n v="2"/>
    <d v="2022-01-05T00:00:00"/>
    <s v="NUEVO"/>
    <d v="2022-01-05T00:00:00"/>
    <d v="2022-01-08T00:00:00"/>
    <m/>
    <n v="4"/>
    <s v="CTP"/>
    <m/>
    <m/>
    <x v="4"/>
    <x v="5"/>
    <s v="OPERARIO"/>
    <s v="CALIBRADO"/>
    <s v="CINTA CAPACHO"/>
    <s v="NOCHE"/>
    <d v="1899-12-30T23:45:00"/>
    <s v="MIERCOLES"/>
    <s v="SEMANA 01"/>
    <n v="14950"/>
    <s v="NC-06-22"/>
    <s v="GUILLERMO NARVAEZ"/>
    <x v="6"/>
    <n v="18"/>
    <x v="5"/>
    <s v="Manos / dedos"/>
    <s v="Contusión"/>
    <s v="Golpeado por"/>
    <s v=" TRABAJADORA AL RECIBIR CAJA EN PROCESO SE GOLPEA SU DEDO MEÑIQUE GENERANDO CONTUSION"/>
    <s v="ACCION"/>
    <s v="SI"/>
    <s v="SI"/>
    <s v="LUIS LARENAS"/>
    <s v="MICHEL SANCHEZ"/>
  </r>
  <r>
    <n v="2022"/>
    <s v="ENERO"/>
    <s v="EL PAICO"/>
    <s v="ESCOBAR"/>
    <s v="CAROLINA"/>
    <s v="FEMENINO"/>
    <s v="18347676-9"/>
    <d v="2020-06-02T00:00:00"/>
    <n v="19"/>
    <d v="2022-01-08T00:00:00"/>
    <s v="INTERMEDIO"/>
    <m/>
    <m/>
    <m/>
    <n v="0"/>
    <s v="STP"/>
    <m/>
    <m/>
    <x v="2"/>
    <x v="2"/>
    <s v="OPERARIO"/>
    <s v="LINEA PANA"/>
    <s v="N/A"/>
    <s v="MAÑANA"/>
    <d v="1899-12-30T10:15:00"/>
    <s v="SABADO"/>
    <s v="SEMANA 01"/>
    <m/>
    <m/>
    <s v="NICOLAS MOYANO"/>
    <x v="7"/>
    <n v="28"/>
    <x v="4"/>
    <s v="Manos / dedos"/>
    <s v="Contusión"/>
    <s v="Caida de distinto nivel"/>
    <s v="TRABAJADORA SUBIENDO ESCALONES DE PIE APOYO EN LINEA PANA PISA SU CAPA ESTA SE RESBALA SE GENERA GOLPE EN SU MANO"/>
    <s v="ACCION"/>
    <s v="SI"/>
    <s v="NO"/>
    <s v="PEDRO MOREIRA"/>
    <s v="CRISTIAN JHON"/>
  </r>
  <r>
    <n v="2022"/>
    <s v="ENERO"/>
    <s v="EL PAICO"/>
    <s v=" Moreno Mardones"/>
    <s v=" Isamar "/>
    <s v="FEMENINO"/>
    <s v="18030936-5"/>
    <d v="2019-08-12T00:00:00"/>
    <n v="29"/>
    <d v="2022-01-13T00:00:00"/>
    <s v="INTERMEDIO"/>
    <m/>
    <m/>
    <m/>
    <n v="0"/>
    <s v="STP"/>
    <s v="LGF "/>
    <s v="LGF 2 "/>
    <x v="0"/>
    <x v="4"/>
    <s v="OPERARIO"/>
    <s v="DESHUEZADO"/>
    <s v="EQUIPO PARA MOVIMIENTO DE CARGA (GRUAS O TRANSPALETAS)"/>
    <s v="MAÑANA"/>
    <d v="1899-12-30T09:30:00"/>
    <s v="JUEVES"/>
    <s v="SEMANA 02"/>
    <m/>
    <m/>
    <s v="DANIEL GARRIDO"/>
    <x v="0"/>
    <n v="29"/>
    <x v="6"/>
    <s v="Manos / dedos"/>
    <s v="Contusión"/>
    <s v="Golpeado por"/>
    <s v=" Sufre atrición de mano y muñeca derecha entre bins y transpaleta eléctrica al posicionar etiqueta en el centro del bins y no en la orilla"/>
    <s v="ACCION"/>
    <s v="SI"/>
    <s v="NO"/>
    <s v="LUIS LARENAS"/>
    <s v="MICHEL SANCHEZ"/>
  </r>
  <r>
    <n v="2022"/>
    <s v="ENERO"/>
    <s v="EL PAICO"/>
    <s v="FUENTEALBA"/>
    <s v="FERNANDO"/>
    <s v="MASCULINO"/>
    <s v=" 16342700-1"/>
    <d v="2016-11-02T00:00:00"/>
    <n v="62"/>
    <d v="2022-01-13T00:00:00"/>
    <s v="ANTIGUO"/>
    <d v="2022-01-14T00:00:00"/>
    <d v="2022-04-14T00:00:00"/>
    <m/>
    <n v="91"/>
    <s v="CTP"/>
    <s v="LGF"/>
    <s v="LGF7"/>
    <x v="4"/>
    <x v="6"/>
    <s v="SUPERVISOR"/>
    <s v="IQF4"/>
    <s v="LINEA IQF (CINTAS, CONGELADORES, INYECTORAS)"/>
    <s v="NOCHE"/>
    <d v="1899-12-30T22:10:00"/>
    <s v="JUEVES"/>
    <s v="SEMANA 02"/>
    <m/>
    <s v="NC-10-22"/>
    <s v="GUILLERMO NARVAEZ"/>
    <x v="8"/>
    <n v="35"/>
    <x v="7"/>
    <s v="Manos / dedos"/>
    <s v="Fractura"/>
    <s v="Atrapamiento"/>
    <s v="TRABAJADOR AL REALIZAR CONTROL DE TEMPERATURA EN REVISIÓN DE EQUIPO CON EMPRESA EXTERNA, SE GENERA ATRAPAMIENTO ENTRE LA CINTA SUPERIOR 1 Y EL RASPADOR SIN DETENER EQUIPO"/>
    <s v="ACCION"/>
    <s v="NO"/>
    <s v="SI"/>
    <s v="PEDRO MOREIRA"/>
    <s v="APOYO"/>
  </r>
  <r>
    <n v="2022"/>
    <s v="ENERO"/>
    <s v="EL PAICO"/>
    <s v="  CHACON MARTINEZ"/>
    <s v=" CATALINA DEL CARMEN"/>
    <s v="FEMENINO"/>
    <s v=" 18031023-1"/>
    <d v="2021-08-02T00:00:00"/>
    <n v="5"/>
    <d v="2022-01-14T00:00:00"/>
    <s v="NUEVO"/>
    <m/>
    <m/>
    <m/>
    <n v="0"/>
    <s v="STP"/>
    <m/>
    <m/>
    <x v="5"/>
    <x v="1"/>
    <s v="OPERARIO"/>
    <m/>
    <s v="N/A"/>
    <s v="NOCHE"/>
    <d v="1899-12-30T03:30:00"/>
    <s v="VIERNES"/>
    <s v="SEMANA 02"/>
    <m/>
    <m/>
    <s v="VICTOR GOMEZ"/>
    <x v="9"/>
    <n v="29"/>
    <x v="1"/>
    <s v="Tronco"/>
    <s v="Contusión"/>
    <s v="Caida de mismo nivel"/>
    <s v="TRABAJADORA GENERANDO LIMPIEZA DE LA SALA LUBRICANTES , CUANDO APLICO DESENGRASANTES SE GENERA CAIDA DE MISMO NIVEL EN EL PISO RESBALANDOSE"/>
    <s v="CONDICION"/>
    <s v="SI"/>
    <s v="NO"/>
    <s v="LUIS LARENAS"/>
    <s v="APOYO"/>
  </r>
  <r>
    <n v="2022"/>
    <s v="ENERO"/>
    <s v="EL PAICO"/>
    <s v=" DAURESTANT"/>
    <s v=" DAMIL "/>
    <s v="MASCULINO"/>
    <s v="26001619-9"/>
    <d v="2018-01-04T00:00:00"/>
    <n v="48"/>
    <d v="2022-01-14T00:00:00"/>
    <s v="ANTIGUO"/>
    <d v="2022-01-14T00:00:00"/>
    <d v="2022-01-21T00:00:00"/>
    <m/>
    <n v="8"/>
    <s v="CTP"/>
    <s v="LGF"/>
    <s v="LGF7"/>
    <x v="2"/>
    <x v="7"/>
    <s v="OPERARIO"/>
    <s v="RECEPCION AVE VIVA"/>
    <s v="CUCHILLOS"/>
    <s v="TARDE"/>
    <d v="1899-12-30T15:00:00"/>
    <s v="VIERNES"/>
    <s v="SEMANA 02"/>
    <m/>
    <s v="NC-11-22"/>
    <s v="NICOLAS MOYANO"/>
    <x v="2"/>
    <n v="38"/>
    <x v="2"/>
    <s v="Manos / dedos"/>
    <s v="Herida cortante"/>
    <s v="Contacto con cuerpo cortante"/>
    <s v="TRABAJADOR REALIZANDO PROCESO DE CORTE CON POLLO SIN USO DE GUANTES DE ACERO SE GENERA UN CORTE PROFUNDO EN DEDO INDICE MANO IZQUIERDA"/>
    <s v="ACCION"/>
    <s v="SI"/>
    <s v="SI"/>
    <s v="PEDRO MOREIRA"/>
    <s v="CRISTIAN JHON"/>
  </r>
  <r>
    <n v="2022"/>
    <s v="ENERO"/>
    <s v="EL PAICO"/>
    <s v="KENSON"/>
    <s v="NICOLAS"/>
    <s v="MASCULINO"/>
    <s v=" 25991033-1"/>
    <d v="2021-08-04T00:00:00"/>
    <n v="5"/>
    <d v="2022-01-17T00:00:00"/>
    <s v="NUEVO"/>
    <m/>
    <m/>
    <m/>
    <n v="0"/>
    <s v="STP"/>
    <m/>
    <m/>
    <x v="0"/>
    <x v="4"/>
    <s v="OPERARIO"/>
    <s v="DESHUEZADO"/>
    <s v="N/A"/>
    <s v="MAÑANA"/>
    <d v="1899-12-30T09:00:00"/>
    <s v="LUNES"/>
    <s v="SEMANA 03"/>
    <m/>
    <m/>
    <s v="DANIEL GARRIDO"/>
    <x v="5"/>
    <n v="28"/>
    <x v="6"/>
    <s v="Manos / dedos"/>
    <s v="Contusión"/>
    <s v="Sobreesfuerzo"/>
    <s v=" Sufre contusión en zona metacarpiana (nudillos) de la mano derecha al tirar un bins"/>
    <s v="ACCION"/>
    <s v="SI"/>
    <s v="NO"/>
    <s v="PEDRO MOREIRA"/>
    <s v="MICHEL SANCHEZ"/>
  </r>
  <r>
    <n v="2022"/>
    <s v="ENERO"/>
    <s v="EL PAICO"/>
    <s v=" AHUMADA MARTÍNEZ"/>
    <s v=" FERNANDO "/>
    <s v="MASCULINO"/>
    <s v=" 6212724-4"/>
    <d v="2014-04-28T00:00:00"/>
    <n v="92"/>
    <d v="2022-01-18T00:00:00"/>
    <s v="ANTIGUO"/>
    <m/>
    <m/>
    <m/>
    <n v="0"/>
    <s v="STP"/>
    <m/>
    <m/>
    <x v="1"/>
    <x v="8"/>
    <s v="OPERARIO"/>
    <s v="SHILER"/>
    <s v="CHILLER"/>
    <s v="MAÑANA"/>
    <d v="1899-12-30T10:15:00"/>
    <s v="MARTES"/>
    <s v="SEMANA 03"/>
    <m/>
    <m/>
    <s v="FRANCISCO ROJAS"/>
    <x v="10"/>
    <n v="69"/>
    <x v="1"/>
    <s v="Pie"/>
    <s v="Contusión"/>
    <s v="Caida de mismo nivel"/>
    <s v=" COLABORADOR REALIZABA DESPEJO DE HIELO EN SECTOR CHILLER, Y CON HIELO EN PISO SE GENERA CAIDA DE MISMO NIVEL."/>
    <s v="ACCION"/>
    <s v="SI"/>
    <s v="NO"/>
    <s v="PEDRO MOREIRA"/>
    <s v="APOYO"/>
  </r>
  <r>
    <n v="2022"/>
    <s v="ENERO"/>
    <s v="EL PAICO"/>
    <s v="RODRIGUEZ"/>
    <s v="CRISTOBAL"/>
    <s v="MASCULINO"/>
    <s v=" 21067853-0"/>
    <d v="2021-07-01T00:00:00"/>
    <n v="6"/>
    <d v="2022-01-19T00:00:00"/>
    <s v="NUEVO"/>
    <m/>
    <m/>
    <m/>
    <n v="0"/>
    <s v="STP"/>
    <m/>
    <m/>
    <x v="0"/>
    <x v="0"/>
    <s v="OPERARIO"/>
    <s v="AUTOMATICO"/>
    <s v="N/A"/>
    <s v="TARDE"/>
    <d v="1899-12-30T16:20:00"/>
    <s v="MIERCOLES"/>
    <s v="SEMANA 03"/>
    <m/>
    <m/>
    <s v="DANIEL GARRIDO"/>
    <x v="11"/>
    <n v="19"/>
    <x v="8"/>
    <s v="Manos / dedos"/>
    <s v="Contusión"/>
    <s v="Golpeado por"/>
    <s v="TRABAJADOR SE GOLPEA LA MANO AL CAER PRODUCTO APILADO DEL PALLET"/>
    <s v="CONDICION"/>
    <s v="SI"/>
    <s v="NO"/>
    <s v="CARLOS JIMENEZ"/>
    <s v="APOYO"/>
  </r>
  <r>
    <n v="2022"/>
    <s v="ENERO"/>
    <s v="EL PAICO"/>
    <s v="VALENZUELA MELLA"/>
    <s v="JUAN"/>
    <s v="MASCULINO"/>
    <s v="15477532-3"/>
    <d v="2021-11-23T00:00:00"/>
    <n v="1"/>
    <d v="2022-01-20T00:00:00"/>
    <s v="NUEVO"/>
    <m/>
    <m/>
    <m/>
    <n v="0"/>
    <s v="STP"/>
    <m/>
    <m/>
    <x v="6"/>
    <x v="9"/>
    <s v="OPERARIO"/>
    <s v="SALA EMPAQUE"/>
    <s v="N/A"/>
    <s v="MAÑANA"/>
    <d v="1899-12-30T11:50:00"/>
    <s v="JUEVES"/>
    <s v="SEMANA 03"/>
    <m/>
    <m/>
    <s v="FRANCISCO QUEZADA"/>
    <x v="12"/>
    <n v="38"/>
    <x v="0"/>
    <s v="Manos / dedos"/>
    <s v="Herida cortante"/>
    <s v="Contacto con cuerpo cortante"/>
    <s v="TRABAJADOR REALIZANDO DESPEJE DE HIELO CON LAMINA DE CARTON SE GENERA CORTE SUPERFICIAL EN DEDO INDICE DEREHCO"/>
    <s v="ACCION"/>
    <s v="SI"/>
    <s v="NO"/>
    <s v="PEDRO MOREIRA"/>
    <s v="CRISTIAN JHON"/>
  </r>
  <r>
    <n v="2022"/>
    <s v="ENERO"/>
    <s v="EL PAICO"/>
    <s v="TELFORT . "/>
    <s v="MACDIANNE"/>
    <s v="FEMENINO"/>
    <s v="26091858-3"/>
    <d v="2021-10-26T00:00:00"/>
    <n v="2"/>
    <d v="2022-01-24T00:00:00"/>
    <s v="NUEVO"/>
    <m/>
    <m/>
    <m/>
    <n v="0"/>
    <s v="STP"/>
    <m/>
    <m/>
    <x v="0"/>
    <x v="0"/>
    <s v="OPERARIO"/>
    <s v="AUTOMATICO"/>
    <s v="EQUIPO PARA MOVIMIENTO DE CARGA (GRUAS O TRANSPALETAS)"/>
    <s v="TARDE"/>
    <d v="1899-12-30T19:47:00"/>
    <s v="LUNES"/>
    <s v="SEMANA 04"/>
    <m/>
    <m/>
    <s v="DANIEL GARRIDO"/>
    <x v="13"/>
    <n v="29"/>
    <x v="6"/>
    <s v="Manos / dedos"/>
    <s v="Contusión"/>
    <s v="Golpeado por"/>
    <s v="GOLPEA SU MANO DERECHA CON BINS QUE ES TRANPORTADO CON PRODUCTO POR EQUIPO PARA MOVIMIENTO DE CARGA (GRUAS O TRANSPALETAS)"/>
    <s v="ACCION"/>
    <s v="SI"/>
    <s v="NO"/>
    <s v="PEDRO MOREIRA"/>
    <s v="CRISTIAN JHON"/>
  </r>
  <r>
    <n v="2022"/>
    <s v="ENERO"/>
    <s v="EL PAICO"/>
    <s v="CONTRERAS"/>
    <s v="ROMY"/>
    <s v="FEMENINO"/>
    <s v="10699404-8"/>
    <d v="2020-04-13T00:00:00"/>
    <n v="21"/>
    <d v="2022-01-24T00:00:00"/>
    <s v="INTERMEDIO"/>
    <d v="2022-01-25T00:00:00"/>
    <d v="2022-01-28T00:00:00"/>
    <m/>
    <n v="5"/>
    <s v="CTP"/>
    <m/>
    <m/>
    <x v="1"/>
    <x v="1"/>
    <s v="OPERARIO"/>
    <s v="CAMARINES MUJERES"/>
    <s v="N/A"/>
    <s v="NOCHE"/>
    <d v="1899-12-30T23:54:00"/>
    <s v="LUNES"/>
    <s v="SEMANA 04"/>
    <n v="14949"/>
    <s v="NC -16 -22"/>
    <s v="FRANCISCO ROJAS"/>
    <x v="14"/>
    <n v="42"/>
    <x v="9"/>
    <s v="Pierna"/>
    <s v="Otros"/>
    <s v="Picadura"/>
    <s v="TRABAJADORA CAMBIANDOSE ROPA EN CAMARINES DE MUJERES SUFRE PICADURA EN SU PIERNA POR INSECTO (ARAÑA)"/>
    <s v="CONDICION"/>
    <s v="SI"/>
    <s v="SI"/>
    <s v="CARLOS JIMENEZ"/>
    <s v="CRISTIAN JHON"/>
  </r>
  <r>
    <n v="2022"/>
    <s v="ENERO"/>
    <s v="EL PAICO"/>
    <s v=" LOYOLA DIAZ"/>
    <s v=" CRISTINA "/>
    <s v="FEMENINO"/>
    <s v="16856182-2"/>
    <d v="2017-02-13T00:00:00"/>
    <n v="59"/>
    <d v="2022-01-31T00:00:00"/>
    <s v="ANTIGUO"/>
    <m/>
    <m/>
    <m/>
    <n v="0"/>
    <s v="STP"/>
    <s v="LGF"/>
    <s v="LGF 8"/>
    <x v="1"/>
    <x v="1"/>
    <s v="OPERARIO"/>
    <s v="ISHIDA"/>
    <s v="MANGUERA MEZCLADOR"/>
    <s v="NOCHE"/>
    <d v="1899-12-30T05:00:00"/>
    <s v="LUNES"/>
    <s v="SEMANA 05"/>
    <m/>
    <m/>
    <s v="FRANCISCO ROJAS"/>
    <x v="3"/>
    <n v="33"/>
    <x v="0"/>
    <s v="Manos / dedos"/>
    <s v="Quemadura"/>
    <s v="Contacto con temperaturas extremas"/>
    <s v="TRABAJADORA REALIZANDO PROCESO DE ASEO CON MAGUERA Y AGUA CALIENTE, AL CORTASE LA LUZ EN MANGUERA SOLO SALIO VAPOR Y SE GENERO QUEMADURA SUPERFICIAL EN LAS MANOS"/>
    <s v="CONDICION"/>
    <s v="SI"/>
    <s v="NO"/>
    <s v="PEDRO MOREIRA"/>
    <s v="CRISTIAN JHON"/>
  </r>
  <r>
    <n v="2022"/>
    <s v="FEBRERO"/>
    <s v="EL PAICO"/>
    <s v="FERRADA BUSTOS"/>
    <s v="SANDRA"/>
    <s v="FEMENINO"/>
    <s v="14268098-K"/>
    <d v="2022-02-02T00:00:00"/>
    <n v="0"/>
    <d v="2022-02-02T00:00:00"/>
    <s v="NUEVO"/>
    <m/>
    <m/>
    <m/>
    <n v="0"/>
    <s v="STP"/>
    <m/>
    <m/>
    <x v="4"/>
    <x v="5"/>
    <s v="OPERARIO"/>
    <s v="CALIBRADO"/>
    <s v="N/A"/>
    <s v="MAÑANA"/>
    <d v="1899-12-30T06:45:00"/>
    <s v="MIERCOLES"/>
    <s v="SEMANA 05"/>
    <m/>
    <m/>
    <s v="GUILLERMO NARVAEZ"/>
    <x v="15"/>
    <n v="49"/>
    <x v="10"/>
    <s v="Manos / dedos"/>
    <s v="Contusión"/>
    <s v="Golpeado por"/>
    <s v="TRABAJADORA EN LINEA CONGELADO DE CALIBRADO AL RECIBIR PRODUCTO EN CAPACHO CAE PRODUCTO SOBRE SUS MANOS GENERANDO DOLECIA EN SUS MANOS"/>
    <s v="CONDICION"/>
    <s v="SI"/>
    <s v="NO"/>
    <s v="LUIS LARENAS"/>
    <s v="APOYO"/>
  </r>
  <r>
    <n v="2022"/>
    <s v="FEBRERO"/>
    <s v="EL PAICO"/>
    <s v=" Cabrera Naranjo"/>
    <s v=" Francisco Javier "/>
    <s v="MASCULINO"/>
    <s v="19069621-9"/>
    <d v="2021-08-09T00:00:00"/>
    <n v="5"/>
    <d v="2022-02-07T00:00:00"/>
    <s v="NUEVO"/>
    <m/>
    <m/>
    <m/>
    <n v="0"/>
    <s v="STP"/>
    <m/>
    <m/>
    <x v="1"/>
    <x v="1"/>
    <s v="OPERARIO"/>
    <m/>
    <s v="N/A"/>
    <s v="NOCHE"/>
    <d v="1899-12-30T01:45:00"/>
    <s v="LUNES"/>
    <s v="SEMANA 06"/>
    <m/>
    <m/>
    <s v="FRANCISCO ROJAS"/>
    <x v="3"/>
    <n v="26"/>
    <x v="4"/>
    <s v="Manos / dedos"/>
    <s v="Contusión"/>
    <s v="Golpeado por"/>
    <s v="REALIZANDO PRE LAVADO OPERACIONAL, ESTRUCUTRA METALICA (MESA) DESLIZANDOLA CAE SOBRE SU MANO GENERANDO GOLPE EN SU DEDO ANULAR IZQUIERDO"/>
    <s v="ACCION"/>
    <s v="SI"/>
    <s v="NO"/>
    <s v="LUIS LARENAS"/>
    <s v="MICHEL SANCHEZ"/>
  </r>
  <r>
    <n v="2022"/>
    <s v="FEBRERO"/>
    <s v="EL PAICO"/>
    <s v="GUILLEMRO"/>
    <s v="FRANCO"/>
    <s v="MASCULINO"/>
    <s v="18777798-4"/>
    <d v="2021-01-18T00:00:00"/>
    <n v="12"/>
    <d v="2022-02-09T00:00:00"/>
    <s v="NUEVO"/>
    <d v="2022-02-10T00:00:00"/>
    <d v="2022-02-10T00:00:00"/>
    <m/>
    <n v="0"/>
    <s v="STP"/>
    <m/>
    <m/>
    <x v="2"/>
    <x v="10"/>
    <s v="OPERARIO"/>
    <s v="RECEPCION AVE VIVA"/>
    <s v="N/A"/>
    <s v="TARDE"/>
    <d v="1899-12-30T16:00:00"/>
    <s v="MIERCOLES"/>
    <s v="SEMANA 06"/>
    <n v="14943"/>
    <s v="NC -19 - 22"/>
    <s v="NICOLAS MOYANO"/>
    <x v="16"/>
    <n v="27"/>
    <x v="10"/>
    <s v="Ojos"/>
    <s v="Conjuntivitis"/>
    <s v="Proyeccion de particulas"/>
    <s v="TRABAJADOR REALIZANDO MOVIMIENTO D EPALLET CON ANIMAL VIVO, TIENE ALCANCE DE PROYECCION DE PARTICULAS (FECAS) EN EL OJO DERECHO, SIN USO DE GAFAS DE SEGURIDAD ADECUADO"/>
    <s v="ACCION"/>
    <s v="SI"/>
    <s v="SI"/>
    <s v="PEDRO MOREIRA"/>
    <s v="CRISTIAN JHON"/>
  </r>
  <r>
    <n v="2022"/>
    <s v="FEBRERO"/>
    <s v="EL PAICO"/>
    <s v=" Zuñiga Cabello"/>
    <s v=" Marco "/>
    <s v="MASCULINO"/>
    <s v="11945385-2"/>
    <d v="2022-02-01T00:00:00"/>
    <n v="0"/>
    <d v="2022-02-15T00:00:00"/>
    <s v="NUEVO"/>
    <m/>
    <m/>
    <m/>
    <n v="0"/>
    <s v="STP"/>
    <m/>
    <m/>
    <x v="7"/>
    <x v="11"/>
    <s v="OPERARIO"/>
    <s v="PULPA"/>
    <s v="N/A"/>
    <s v="NOCHE"/>
    <d v="1899-12-30T23:00:00"/>
    <s v="MARTES"/>
    <s v="SEMANA 07"/>
    <m/>
    <m/>
    <s v="OCTAVIO MUÑOZ"/>
    <x v="17"/>
    <s v="X"/>
    <x v="1"/>
    <s v="Pierna"/>
    <s v="Contusión"/>
    <s v="Caida de mismo nivel"/>
    <s v="TRABAJADOR AL REALIZAR RECUBRIMIENTO DE EQUIPO PULPA, PASA POR PISO HUMEDO Y RESBALA"/>
    <s v="CONDICION"/>
    <s v="SI"/>
    <s v="NO"/>
    <s v="LUIS LARENAS"/>
    <s v="MICHEL SANCHEZ"/>
  </r>
  <r>
    <n v="2022"/>
    <s v="FEBRERO"/>
    <s v="EL PAICO"/>
    <s v="  DESIR"/>
    <s v="CRETUDE"/>
    <s v="FEMENINO"/>
    <s v=" 25622045-8"/>
    <d v="2021-03-11T00:00:00"/>
    <n v="11"/>
    <d v="2022-02-16T00:00:00"/>
    <s v="NUEVO"/>
    <m/>
    <m/>
    <m/>
    <n v="0"/>
    <s v="STP"/>
    <m/>
    <m/>
    <x v="0"/>
    <x v="4"/>
    <s v="OPERARIO"/>
    <s v="ESCALA PRINCIPAL"/>
    <s v="N/A"/>
    <s v="TARDE"/>
    <d v="1899-12-30T13:10:00"/>
    <s v="MIERCOLES"/>
    <s v="SEMANA 07"/>
    <m/>
    <m/>
    <s v="DANIEL GARRIDO"/>
    <x v="0"/>
    <n v="41"/>
    <x v="4"/>
    <s v="Pierna"/>
    <s v="Contusión"/>
    <s v="Caida de distinto nivel"/>
    <s v="TRABAJADOR BAJANDO POR ESCALA PASILLO PRINCIPAL, RESBALA Y SE GENERA CAIDA DISTINTO NIVEL"/>
    <s v="ACCION"/>
    <s v="SI"/>
    <s v="NO"/>
    <s v="LUIS LARENAS"/>
    <s v="HERALDO P"/>
  </r>
  <r>
    <n v="2022"/>
    <s v="FEBRERO"/>
    <s v="EL PAICO"/>
    <s v="  Aguilar Weinberger"/>
    <s v=" Nicolas"/>
    <s v="MASCULINO"/>
    <s v="20561193-2"/>
    <d v="2021-01-21T00:00:00"/>
    <n v="13"/>
    <d v="2022-02-22T00:00:00"/>
    <s v="NUEVO"/>
    <m/>
    <m/>
    <m/>
    <n v="0"/>
    <s v="STP"/>
    <m/>
    <m/>
    <x v="0"/>
    <x v="4"/>
    <s v="OPERARIO"/>
    <s v="DESHUEZADO"/>
    <s v="N/A"/>
    <s v="TARDE"/>
    <d v="1899-12-30T12:00:00"/>
    <s v="MARTES"/>
    <s v="SEMANA 08"/>
    <m/>
    <m/>
    <s v="DANIEL GARRIDO"/>
    <x v="11"/>
    <n v="19"/>
    <x v="11"/>
    <s v="Manos / dedos"/>
    <s v="Contusión"/>
    <s v="Sobreesfuerzo"/>
    <s v="Trasladando bandejas con felitillo, Al chocar con pallet sufre torsión de dedos medio y anular"/>
    <s v="ACCION"/>
    <s v="SI"/>
    <s v="NO"/>
    <s v="PEDRO MOREIRA"/>
    <s v="MICHEL SANCHEZ"/>
  </r>
  <r>
    <n v="2022"/>
    <s v="FEBRERO"/>
    <s v="EL PAICO"/>
    <s v="  LARA PICHIMATA"/>
    <s v=" EDGAR"/>
    <s v="MASCULINO"/>
    <s v="24326149-k"/>
    <d v="2020-02-24T00:00:00"/>
    <n v="24"/>
    <d v="2022-02-25T00:00:00"/>
    <s v="INTERMEDIO"/>
    <m/>
    <m/>
    <m/>
    <n v="0"/>
    <s v="STP"/>
    <s v="LGF"/>
    <s v="LGF 3"/>
    <x v="1"/>
    <x v="12"/>
    <s v="OPERARIO"/>
    <s v="PRODUCCION"/>
    <s v="N/A"/>
    <s v="NOCHE"/>
    <d v="1899-12-30T01:30:00"/>
    <s v="VIERNES"/>
    <s v="SEMANA 08"/>
    <m/>
    <m/>
    <s v="FRANCISCO ROJAS"/>
    <x v="3"/>
    <n v="56"/>
    <x v="3"/>
    <s v="Ojos"/>
    <s v="Quemadura"/>
    <s v="Proyeccion de particulas"/>
    <s v="TRABAJADOR AL COLOCARCE FONOS NO SE PERCATA QUE ESTABAN ESTILANDO PRODUCTO QUIMICO, LO QUE GENERA CAIDA DE PARTICULAS EN SUS OJOS UNA VEZ YA POSICIONADOS EN SU CABEZA"/>
    <s v="ACCION"/>
    <s v="SI"/>
    <s v="NO"/>
    <s v="PEDRO MOREIRA"/>
    <s v="HERALDO P"/>
  </r>
  <r>
    <n v="2022"/>
    <s v="FEBRERO"/>
    <s v="EL PAICO"/>
    <s v="ANTOINE"/>
    <s v="ANGELINE"/>
    <s v="FEMENINO"/>
    <s v="26232929-1"/>
    <d v="2021-10-26T00:00:00"/>
    <n v="4"/>
    <d v="2022-02-28T00:00:00"/>
    <s v="NUEVO"/>
    <m/>
    <m/>
    <m/>
    <n v="0"/>
    <s v="STP"/>
    <m/>
    <m/>
    <x v="0"/>
    <x v="0"/>
    <s v="OPERARIO"/>
    <s v="AUTOMATICO"/>
    <s v="N/A"/>
    <s v="MAÑANA"/>
    <d v="1899-12-30T07:50:00"/>
    <s v="LUNES"/>
    <s v="SEMANA 09"/>
    <m/>
    <m/>
    <s v="DANIEL GARRIDO"/>
    <x v="13"/>
    <n v="35"/>
    <x v="10"/>
    <s v="Ojos"/>
    <s v="Contusión"/>
    <s v="Golpeado por"/>
    <s v="TRABAJADORA REALIZANDO SELECCIÓN DE PRODUCTO EN SU PUESTO DE TRABAJO, LLEGO UNA TRABAJADORA DE CALIDAD, QUIEN TIRA PRODUCTO AL BINS, HACE QUE LE LLEGE UN TROZO DEL PRODCTO EN EL OJO A LA TRABAJADORA AFECTADA "/>
    <s v="ACCION"/>
    <s v="SI"/>
    <s v="NO"/>
    <s v="PEDRO MOREIRA"/>
    <s v="HERALDO P"/>
  </r>
  <r>
    <n v="2022"/>
    <s v="MARZO"/>
    <s v="EL PAICO"/>
    <s v="CUBILLOS GARATE"/>
    <s v="EMILIO ANTONIO "/>
    <s v="MASCULINO"/>
    <s v="19601836-0"/>
    <d v="2021-01-21T00:00:00"/>
    <n v="13"/>
    <d v="2022-03-03T00:00:00"/>
    <s v="NUEVO"/>
    <m/>
    <m/>
    <m/>
    <n v="0"/>
    <s v="STP"/>
    <m/>
    <m/>
    <x v="2"/>
    <x v="2"/>
    <s v="OPERARIO"/>
    <s v="EVICERADO"/>
    <s v="N/A"/>
    <s v="TARDE"/>
    <d v="1899-12-30T19:30:00"/>
    <s v="JUEVES"/>
    <s v="SEMANA 09"/>
    <m/>
    <m/>
    <s v="NICOLAS MOYANO"/>
    <x v="2"/>
    <n v="25"/>
    <x v="10"/>
    <s v="Ojos"/>
    <s v="Contusión"/>
    <s v="Golpeado por"/>
    <s v="TRABAJADOR CORTANDO EL BUCHE DE POLLO, ESTE VENIA CON VISERAS Y AL MOMENTO DE SACARLAS LE SALTO ALGO EN EL OJO "/>
    <s v="ACCION"/>
    <s v="SI"/>
    <s v="NO"/>
    <s v="PEDRO MOREIRA"/>
    <s v="APOYO (SANDRA)"/>
  </r>
  <r>
    <n v="2022"/>
    <s v="MARZO"/>
    <s v="EL PAICO"/>
    <s v="BRAVO NAVARRO"/>
    <s v="EMA"/>
    <s v="FEMENINO"/>
    <s v="13778113-1"/>
    <d v="2019-06-24T00:00:00"/>
    <n v="32"/>
    <d v="2022-03-08T00:00:00"/>
    <s v="INTERMEDIO"/>
    <d v="2022-03-11T00:00:00"/>
    <d v="2022-03-18T00:00:00"/>
    <m/>
    <n v="8"/>
    <s v="CTP"/>
    <m/>
    <m/>
    <x v="7"/>
    <x v="13"/>
    <s v="OPERARIO"/>
    <s v="ICHIDA"/>
    <s v="N/A"/>
    <s v="MAÑANA"/>
    <d v="1899-12-30T10:00:00"/>
    <s v="MARTES"/>
    <s v="SEMANA 10"/>
    <m/>
    <s v="NC-31-22"/>
    <s v="OCTAVIO MUÑOZ"/>
    <x v="18"/>
    <n v="42"/>
    <x v="0"/>
    <s v="Manos / dedos"/>
    <s v="Contusión"/>
    <s v="Golpeado contra"/>
    <s v="TRABAJADORA SUFRE GOLPE Y APRETÓN DE SU DEDO ÍNDICE DERECHO AL ESTAR SACANDO LOS FILMS PARA PODER CAMBIARLOS RÁPIDAMENTE"/>
    <s v="ACCION"/>
    <s v="SI"/>
    <s v="SI"/>
    <s v="PEDRO MOREIRA"/>
    <s v="HERALDO P"/>
  </r>
  <r>
    <n v="2022"/>
    <s v="MARZO"/>
    <s v="EL PAICO"/>
    <s v="PIERRE"/>
    <s v="WILKENS"/>
    <s v="MASCULINO"/>
    <s v="26436438-8"/>
    <d v="2019-02-11T00:00:00"/>
    <n v="36"/>
    <d v="2022-03-08T00:00:00"/>
    <s v="INTERMEDIO"/>
    <m/>
    <m/>
    <m/>
    <n v="0"/>
    <s v="STP"/>
    <m/>
    <m/>
    <x v="0"/>
    <x v="0"/>
    <s v="OPERARIO"/>
    <s v="AUTOMATICO"/>
    <s v="N/A"/>
    <s v="TARDE"/>
    <d v="1899-12-30T13:45:00"/>
    <s v="MARTES"/>
    <s v="SEMANA 10"/>
    <m/>
    <m/>
    <s v="DANIEL GARRIDO"/>
    <x v="0"/>
    <n v="27"/>
    <x v="12"/>
    <s v="Rostro"/>
    <s v="Contusión"/>
    <s v="Golpeado contra"/>
    <s v="TRABAJADOR AL AGACHARSE A RECOGER PRODUCTO, NO VE QUE EL BINS TENÍA UN TENEDOR METÁLICO Y SE GOLPEÓ A UN COSTADO DEL OJO DERECHO (CEJA)"/>
    <s v="ACCION"/>
    <s v="SI"/>
    <s v="NO"/>
    <s v="PEDRO MOREIRA"/>
    <s v="HERALDO P"/>
  </r>
  <r>
    <n v="2022"/>
    <s v="MARZO"/>
    <s v="EL PAICO"/>
    <s v="SANTIS GARCIA "/>
    <s v="CRISTOFER"/>
    <s v="MASCULINO"/>
    <s v="19849216-7"/>
    <d v="2019-03-11T00:00:00"/>
    <n v="35"/>
    <d v="2022-03-10T00:00:00"/>
    <s v="INTERMEDIO"/>
    <m/>
    <m/>
    <m/>
    <n v="0"/>
    <s v="STP"/>
    <m/>
    <m/>
    <x v="6"/>
    <x v="14"/>
    <s v="OPERARIO"/>
    <s v="CAMARA 208"/>
    <s v="N/A"/>
    <s v="MAÑANA"/>
    <d v="1899-12-30T11:30:00"/>
    <s v="JUEVES"/>
    <s v="SEMANA 10"/>
    <m/>
    <m/>
    <s v="GUILLERMO NARVAEZ"/>
    <x v="19"/>
    <n v="23"/>
    <x v="1"/>
    <s v="Pierna"/>
    <s v="Otros"/>
    <s v="Caida de mismo nivel"/>
    <s v="TRABAJADOR SE RESBALA RETIRANDO UN BINS, SUFRIENDO CONTRACTURA EN PIERNA IZQUIERDA"/>
    <s v="ACCION"/>
    <s v="SI"/>
    <s v="NO"/>
    <s v="PEDRO MOREIRA"/>
    <s v="APOYO"/>
  </r>
  <r>
    <n v="2022"/>
    <s v="MARZO"/>
    <s v="EL PAICO"/>
    <s v="MUÑOZ PLAZA"/>
    <s v="FRANCO"/>
    <s v="MASCULINO"/>
    <s v="20424770-6"/>
    <d v="2021-08-09T00:00:00"/>
    <n v="7"/>
    <d v="2022-03-10T00:00:00"/>
    <s v="NUEVO"/>
    <m/>
    <m/>
    <m/>
    <n v="0"/>
    <s v="STP"/>
    <m/>
    <m/>
    <x v="0"/>
    <x v="0"/>
    <s v="OPERARIO"/>
    <s v="AUTOMATICO"/>
    <s v="EQUIPO PARA MOVIMIENTO DE CARGA (GRUAS O TRANSPALETAS)"/>
    <s v="TARDE"/>
    <d v="1899-12-30T18:30:00"/>
    <s v="JUEVES"/>
    <s v="SEMANA 10"/>
    <m/>
    <m/>
    <s v="DANIEL GARRIDO"/>
    <x v="13"/>
    <n v="21"/>
    <x v="13"/>
    <s v="Manos / dedos"/>
    <s v="Contusión"/>
    <s v="Golpeado contra"/>
    <s v="TRABAJADOR SE GOLPEÓ EL PULGAR IZQUIERDO CUANDO MOVÍA UN BINS CON EQUIPO PARA MOVIMIENTO DE CARGA (GRUAS O TRANSPALETAS)"/>
    <s v="ACCION"/>
    <s v="SI"/>
    <s v="NO"/>
    <s v="CARLOS JIMENEZ"/>
    <s v="APOYO"/>
  </r>
  <r>
    <n v="2022"/>
    <s v="MARZO"/>
    <s v="EL PAICO"/>
    <s v="LARA SOTO "/>
    <s v="INES"/>
    <s v="FEMENINO"/>
    <s v="15957212-9"/>
    <d v="2020-01-13T00:00:00"/>
    <n v="26"/>
    <d v="2022-03-14T00:00:00"/>
    <s v="INTERMEDIO"/>
    <d v="2022-03-14T00:00:00"/>
    <d v="2022-06-14T00:00:00"/>
    <d v="2022-06-22T00:00:00"/>
    <n v="93"/>
    <s v="CTP"/>
    <m/>
    <m/>
    <x v="1"/>
    <x v="1"/>
    <s v="OPERARIO"/>
    <s v="TUNEL 1"/>
    <s v="N/A"/>
    <s v="NOCHE"/>
    <d v="1899-12-30T04:35:00"/>
    <s v="LUNES"/>
    <s v="SEMANA 11"/>
    <m/>
    <s v="NC-32-22"/>
    <s v="FRANCISCO ROJAS"/>
    <x v="20"/>
    <n v="37"/>
    <x v="1"/>
    <s v="Brazo"/>
    <s v="Contusión"/>
    <s v="Caida de mismo nivel"/>
    <s v="TRABAJADORA HACIENDO ASEO SUFRE CAÍDA GOLPEÁNDOSE EL BRAZO DERECHO  EN SECTOR NO HABILITADO"/>
    <s v="ACCION"/>
    <s v="SI"/>
    <s v="SI"/>
    <s v="PEDRO MOREIRA"/>
    <s v="APOYO (DALIA)"/>
  </r>
  <r>
    <n v="2022"/>
    <s v="MARZO"/>
    <s v="EL PAICO"/>
    <s v="BRAVO CABRERA "/>
    <s v="JUAN"/>
    <s v="MASCULINO"/>
    <s v="7909217-7"/>
    <d v="2005-03-22T00:00:00"/>
    <n v="203"/>
    <d v="2022-03-17T00:00:00"/>
    <s v="ANTIGUO"/>
    <m/>
    <m/>
    <m/>
    <n v="0"/>
    <s v="STP"/>
    <m/>
    <m/>
    <x v="1"/>
    <x v="1"/>
    <s v="OPERARIO"/>
    <s v="EVICERADO DE POLLO "/>
    <s v="N/A"/>
    <s v="TARDE"/>
    <d v="1899-12-30T12:10:00"/>
    <s v="JUEVES"/>
    <s v="SEMANA 11"/>
    <m/>
    <m/>
    <s v="FRANCISCO ROJAS"/>
    <x v="1"/>
    <n v="64"/>
    <x v="4"/>
    <s v="Brazo"/>
    <s v="Contusión"/>
    <s v="Golpeado contra"/>
    <s v="TRABAJADOR REALIZANDO LIMPIEZA EN EL SUELO SIENTE QUE LE CAE ALGO EN EL BRAZO DERECHO GOLPEANO EL CODO "/>
    <s v="CONDICION"/>
    <s v="SI"/>
    <s v="NO"/>
    <s v="PEDRO MOREIRA"/>
    <s v="CRISTIAN JHON"/>
  </r>
  <r>
    <n v="2022"/>
    <s v="MARZO"/>
    <s v="EL PAICO"/>
    <s v="PERALTA BARRAZA "/>
    <s v="RICARDO "/>
    <s v="MASCULINO"/>
    <s v="10366551-5"/>
    <d v="2005-06-01T00:00:00"/>
    <n v="201"/>
    <d v="2022-03-19T00:00:00"/>
    <s v="ANTIGUO"/>
    <m/>
    <m/>
    <m/>
    <n v="0"/>
    <s v="STP"/>
    <m/>
    <m/>
    <x v="7"/>
    <x v="15"/>
    <s v="OPERARIO"/>
    <s v="DROP POINT"/>
    <s v="N/A"/>
    <s v="MAÑANA"/>
    <d v="1899-12-30T09:20:00"/>
    <s v="SABADO"/>
    <s v="SEMANA 11"/>
    <m/>
    <m/>
    <s v="OCTAVIO MUÑOZ"/>
    <x v="21"/>
    <n v="55"/>
    <x v="8"/>
    <s v="Pie"/>
    <s v="Contusión"/>
    <s v="Golpeado contra"/>
    <s v="TRABAJADOR SE GOLPEA EL PIE DERECHO CON UN PALLET CON PRODUCTO CUANDO REALIZADA ENZUNCHADO"/>
    <s v="ACCION"/>
    <s v="SI"/>
    <s v="NO"/>
    <s v="PEDRO MOREIRA"/>
    <s v="WLADIMIR CALDERON"/>
  </r>
  <r>
    <n v="2022"/>
    <s v="MARZO"/>
    <s v="EL PAICO"/>
    <s v="HORMAZABAL CARRASCO"/>
    <s v="YEISON MAURICIO"/>
    <s v="MASCULINO"/>
    <s v="20871928-9"/>
    <d v="2021-10-25T00:00:00"/>
    <n v="4"/>
    <d v="2022-03-22T00:00:00"/>
    <s v="NUEVO"/>
    <m/>
    <m/>
    <m/>
    <n v="0"/>
    <s v="STP"/>
    <m/>
    <m/>
    <x v="2"/>
    <x v="10"/>
    <s v="OPERARIO"/>
    <s v="RECEPCION AVE VIVA"/>
    <s v="N/A"/>
    <s v="TARDE"/>
    <d v="1899-12-30T18:00:00"/>
    <s v="MARTES"/>
    <s v="SEMANA 12"/>
    <m/>
    <m/>
    <s v="NICOLAS MOYANO"/>
    <x v="16"/>
    <n v="19"/>
    <x v="10"/>
    <s v="Ojos"/>
    <s v="Contusión"/>
    <s v="Proyeccion de particulas"/>
    <s v="TRABAJADOR EL SACAR AVE DE LA JAULA, ESTA COMIENZA A ALETEAR Y PRODUCE ENTRADAS DE PARTICULAR AL OJO DERECHO, NO SE ENCONTRABA CON SU EPP"/>
    <s v="ACCION"/>
    <s v="SI"/>
    <s v="NO"/>
    <s v="CARLOS JIMENEZ"/>
    <s v="MICHEL SANCHEZ"/>
  </r>
  <r>
    <n v="2022"/>
    <s v="MARZO"/>
    <s v="EL PAICO"/>
    <s v="AUGUSTIN "/>
    <s v="ISMONDE"/>
    <s v="MASCULINO"/>
    <s v="26267411-8"/>
    <d v="2022-01-24T00:00:00"/>
    <n v="1"/>
    <d v="2022-03-23T00:00:00"/>
    <s v="NUEVO"/>
    <m/>
    <m/>
    <m/>
    <n v="0"/>
    <s v="STP"/>
    <m/>
    <m/>
    <x v="0"/>
    <x v="4"/>
    <s v="OPERARIO"/>
    <s v="DESHUEZADO"/>
    <s v="N/A"/>
    <s v="TARDE"/>
    <d v="1899-12-30T12:30:00"/>
    <s v="MIERCOLES"/>
    <s v="SEMANA 12"/>
    <m/>
    <m/>
    <s v="DANIEL GARRIDO"/>
    <x v="13"/>
    <n v="26"/>
    <x v="11"/>
    <s v="Rostro"/>
    <s v="Contusión"/>
    <s v="Golpeado por"/>
    <s v="TRABAJADOR AL SACAR UNA CAJA PLÁSTICA CON UNA SOLA MANO ESTA SE CAE Y GOLPEA LA CEJA IZQUIERDA "/>
    <s v="ACCION"/>
    <s v="SI"/>
    <s v="NO"/>
    <s v="PEDRO MOREIRA"/>
    <s v="WLADIMIR CALDERON"/>
  </r>
  <r>
    <n v="2022"/>
    <s v="MARZO"/>
    <s v="EL PAICO"/>
    <s v="TRUJILLO ELGUETA "/>
    <s v="KEVYN "/>
    <s v="MASCULINO"/>
    <s v="18346564-3"/>
    <d v="2021-10-12T00:00:00"/>
    <n v="5"/>
    <d v="2022-03-27T00:00:00"/>
    <s v="NUEVO"/>
    <m/>
    <m/>
    <m/>
    <n v="0"/>
    <s v="STP"/>
    <m/>
    <m/>
    <x v="5"/>
    <x v="16"/>
    <s v="ELECTRICO"/>
    <s v="PATIO DECOMISO"/>
    <s v="N/A"/>
    <s v="TARDE"/>
    <d v="1899-12-30T12:30:00"/>
    <s v="DOMINGO"/>
    <s v="SEMANA 12"/>
    <m/>
    <m/>
    <s v="VICTOR GOMEZ"/>
    <x v="22"/>
    <n v="29"/>
    <x v="1"/>
    <s v="Pelvis"/>
    <s v="Contusión"/>
    <s v="Golpeado contra"/>
    <s v="TRABAJADOR AL ESTAR REALIZADO UN CAMBIO DE MOTOR SE CAE EN EL DESAGÜE, GOLPEANDO SU CADERA EN EL SECTOR DERECHO, ESTO PORQUE EL DESAGÜE SE ENCONTRABA SIN SU TAPA DE PROTECCIÓN"/>
    <s v="CONDICION"/>
    <s v="SI"/>
    <s v="NO"/>
    <s v="PEDRO MOREIRA"/>
    <s v="WLADIMIR CALDERON"/>
  </r>
  <r>
    <n v="2022"/>
    <s v="MARZO"/>
    <s v="EL PAICO"/>
    <s v="GUAJARDO VERA "/>
    <s v="SEBASTIAN "/>
    <s v="MASCULINO"/>
    <s v="19211824-7"/>
    <d v="2021-05-03T00:00:00"/>
    <n v="10"/>
    <d v="2022-03-28T00:00:00"/>
    <s v="NUEVO"/>
    <m/>
    <m/>
    <m/>
    <n v="0"/>
    <s v="STP"/>
    <m/>
    <m/>
    <x v="5"/>
    <x v="6"/>
    <s v="MECANICO "/>
    <s v="IQF4"/>
    <s v="MOTOR"/>
    <s v="NOCHE"/>
    <d v="1899-12-30T04:00:00"/>
    <s v="LUNES"/>
    <s v="SEMANA 13"/>
    <m/>
    <m/>
    <s v="VICTOR GOMEZ"/>
    <x v="23"/>
    <n v="26"/>
    <x v="7"/>
    <s v="Manos / dedos"/>
    <s v="Herida cortante"/>
    <s v="Contacto con cuerpo cortante"/>
    <s v="TRABAJADOR AL ESTAR MONTADO DE PIÑONES MOTRICES SE PRODUCE UNA HERIDA EN EL DEDO MEDIO DERECHO CON EL CHAVETERO DEL EJE "/>
    <s v="ACCION"/>
    <s v="SI"/>
    <s v="NO"/>
    <s v="CARLOS JIMENEZ"/>
    <s v="WLADIMIR CALDERON"/>
  </r>
  <r>
    <n v="2022"/>
    <s v="MARZO"/>
    <s v="EL PAICO"/>
    <s v=" HORMAZABAL CARRASCO "/>
    <s v="YEISON MAURICIO"/>
    <s v="MASCULINO"/>
    <s v="20871928-9"/>
    <d v="2021-10-25T00:00:00"/>
    <n v="5"/>
    <d v="2022-03-28T00:00:00"/>
    <s v="NUEVO"/>
    <d v="2022-03-28T00:00:00"/>
    <d v="2022-04-06T00:00:00"/>
    <m/>
    <n v="10"/>
    <s v="CTP"/>
    <m/>
    <m/>
    <x v="2"/>
    <x v="7"/>
    <s v="OPERARIO"/>
    <s v="PLATAFORMA DE APILADO MANUAL "/>
    <s v="N/A"/>
    <s v="MAÑANA"/>
    <d v="1899-12-30T06:35:00"/>
    <s v="LUNES"/>
    <s v="SEMANA 13"/>
    <m/>
    <s v="NC-37-22"/>
    <s v="NICOLAS MOYANO"/>
    <x v="16"/>
    <n v="19"/>
    <x v="11"/>
    <s v="Pie"/>
    <s v="Contusión"/>
    <s v="Caida de mismo nivel"/>
    <s v=" TRABAJADOR RESBALA AL ESTAR APILANDO BANDEJAS VACÍAS DOBLÁNDOSE EL TOBILLO DERECHO "/>
    <s v="ACCION"/>
    <s v="SI"/>
    <s v="SI"/>
    <s v="PEDRO MOREIRA"/>
    <s v="HERALDO P"/>
  </r>
  <r>
    <n v="2022"/>
    <s v="ABRIL "/>
    <s v="EL PAICO"/>
    <s v="FUENZALIDA ARMIJO "/>
    <s v="CATALINA ESPERANZA"/>
    <s v="FEMENINO"/>
    <s v="18777735-6"/>
    <d v="2016-08-06T00:00:00"/>
    <n v="67"/>
    <d v="2022-03-31T00:00:00"/>
    <s v="ANTIGUO"/>
    <d v="2022-04-01T00:00:00"/>
    <d v="2022-04-09T00:00:00"/>
    <m/>
    <n v="9"/>
    <s v="CTP"/>
    <m/>
    <m/>
    <x v="0"/>
    <x v="4"/>
    <s v="OPERARIO"/>
    <s v="DESHUEZADO"/>
    <s v="CUCHILLOS"/>
    <s v="NOCHE"/>
    <d v="1899-12-30T23:25:00"/>
    <s v="JUEVES"/>
    <s v="SEMANA 13"/>
    <m/>
    <s v="NC-50-22"/>
    <s v="DANIEL GARRIDO"/>
    <x v="11"/>
    <n v="27"/>
    <x v="2"/>
    <s v="Manos / dedos"/>
    <s v="Herida cortante"/>
    <s v="Contacto con cuerpo cortante"/>
    <s v="TRABAJADOR LA LÍNEA DE TROZADO DE POLLO SE PASO A LLEVAR EL DEDO ÍNDICE MANO DERECHA CON EL CUCHILLO, QUE SE CONSIGUIÓ CON UN COMPAÑERO EN ESE MOMENTO NO LLEVABA GUANTE DE ACERO"/>
    <s v="ACCION"/>
    <s v="SI"/>
    <s v="SI"/>
    <s v="CARLOS JIMENEZ"/>
    <s v="MICHEL SANCHEZ"/>
  </r>
  <r>
    <n v="2022"/>
    <s v="ABRIL "/>
    <s v="EL PAICO"/>
    <s v="SANTIS TAPIA "/>
    <s v="SERGIO"/>
    <s v="MASCULINO"/>
    <s v="10456578-6"/>
    <d v="2018-08-27T00:00:00"/>
    <n v="43"/>
    <d v="2022-04-11T00:00:00"/>
    <s v="ANTIGUO"/>
    <m/>
    <m/>
    <m/>
    <n v="0"/>
    <s v="STP"/>
    <m/>
    <m/>
    <x v="6"/>
    <x v="17"/>
    <s v="OPERARIO"/>
    <s v="TUNEL 4"/>
    <s v="N/A"/>
    <s v="MAÑANA"/>
    <d v="1899-12-30T10:10:00"/>
    <s v="LUNES"/>
    <s v="SEMANA 15"/>
    <m/>
    <m/>
    <s v="FRANCISCO QUEZADA"/>
    <x v="24"/>
    <n v="56"/>
    <x v="14"/>
    <s v="Ojos"/>
    <s v="Contusión"/>
    <s v="Golpeado por"/>
    <s v="TRABAJADOR AL CORRER LA PUERTA DEL TÚNEL N°4, EL TOME PLÁSTICO DE LA PUERTA SALE EXPULSADO Y GOLPEA EN EL OJO IZQUIERDO"/>
    <s v="ACCION"/>
    <s v="SI"/>
    <s v="NO"/>
    <s v="CARLOS JIMENEZ"/>
    <s v="CRISTIAN JHON"/>
  </r>
  <r>
    <n v="2022"/>
    <s v="ABRIL "/>
    <s v="EL PAICO"/>
    <s v="SOTO GOMEZ"/>
    <s v="JULIO "/>
    <s v="MASCULINO"/>
    <s v="9566653-1"/>
    <d v="2022-02-21T00:00:00"/>
    <n v="1"/>
    <d v="2022-04-13T00:00:00"/>
    <s v="NUEVO"/>
    <d v="2022-04-14T00:00:00"/>
    <d v="2022-04-14T00:00:00"/>
    <m/>
    <n v="0"/>
    <s v="STP"/>
    <m/>
    <m/>
    <x v="5"/>
    <x v="18"/>
    <s v="OPERARIO"/>
    <s v="SALA DE MAQUINA"/>
    <s v="N/A"/>
    <s v="TARDE"/>
    <d v="1899-12-30T12:15:00"/>
    <s v="MIERCOLES"/>
    <s v="SEMANA 15"/>
    <m/>
    <s v="NC-51-22"/>
    <s v="VICTOR GOMEZ"/>
    <x v="25"/>
    <n v="59"/>
    <x v="1"/>
    <s v="Pierna"/>
    <s v="Contusión"/>
    <s v="Caida de distinto nivel"/>
    <s v="TRABAJADOR ENGRASANDO MAQUINA EN ALTURA RESBALA CAYÉNDOSE Y GOLPEÁNDOSE SU RODILLA IZQUIERDA"/>
    <s v="ACCION"/>
    <s v="SI"/>
    <s v="SI"/>
    <s v="CARLOS JIMENEZ"/>
    <s v="HERALDO P"/>
  </r>
  <r>
    <n v="2022"/>
    <s v="ABRIL "/>
    <s v="EL PAICO"/>
    <s v="CORTEZ ARMIJO"/>
    <s v="JUAN"/>
    <s v="MASCULINO"/>
    <s v="15623593-1"/>
    <d v="2006-06-01T00:00:00"/>
    <n v="190"/>
    <d v="2022-04-14T00:00:00"/>
    <s v="ANTIGUO"/>
    <m/>
    <m/>
    <m/>
    <n v="0"/>
    <s v="STP"/>
    <m/>
    <m/>
    <x v="6"/>
    <x v="19"/>
    <s v="OPERARIO"/>
    <s v="ESTACIONAMIENTO"/>
    <s v="N/A"/>
    <s v="MAÑANA"/>
    <d v="1899-12-30T06:10:00"/>
    <s v="JUEVES"/>
    <s v="SEMANA 15"/>
    <m/>
    <m/>
    <s v="FRANCISCO QUEZADA"/>
    <x v="26"/>
    <n v="38"/>
    <x v="14"/>
    <s v="Pie"/>
    <s v="Torsión"/>
    <s v="Otros"/>
    <s v=" TRABAJADOR AL BAJAR DEL VEHÍCULO SE DOBLA EL PIE IZQUIERDO "/>
    <s v="ACCION"/>
    <s v="NO"/>
    <s v="NO"/>
    <s v="CARLOS JIMENEZ"/>
    <s v="CRISTIAN JHON"/>
  </r>
  <r>
    <n v="2022"/>
    <s v="ABRIL "/>
    <s v="EL PAICO"/>
    <s v="MUÑOZ PLAZA"/>
    <s v="FRANCO"/>
    <s v="MASCULINO"/>
    <s v="20424770-6"/>
    <d v="2021-08-09T00:00:00"/>
    <n v="8"/>
    <d v="2022-04-21T00:00:00"/>
    <s v="NUEVO"/>
    <d v="2022-04-22T00:00:00"/>
    <d v="2022-04-22T00:00:00"/>
    <m/>
    <n v="0"/>
    <s v="STP"/>
    <s v="LGF "/>
    <s v="LGF 4"/>
    <x v="0"/>
    <x v="0"/>
    <s v="OPERARIO"/>
    <s v="PASILLO 3"/>
    <s v="EQUIPO PARA MOVIMIENTO DE CARGA (GRUAS O TRANSPALETAS)"/>
    <s v="TARDE"/>
    <d v="1899-12-30T15:50:00"/>
    <s v="JUEVES"/>
    <s v="SEMANA 16"/>
    <m/>
    <s v="NC-52-22"/>
    <s v="DANIEL GARRIDO"/>
    <x v="13"/>
    <n v="21"/>
    <x v="6"/>
    <s v="Espalda"/>
    <s v="Contusión"/>
    <s v="Golpeado por"/>
    <s v="TRABAJADOR AL ESTAR CAMINANDO POR EL PASILLO 3 ES GOLPEAGO POR UN MOVILIZADOR, LO QUE HACE QUE SE GOPEE LA ESPALDA CON UN BINS "/>
    <s v="ACCION"/>
    <s v="NO"/>
    <s v="SI"/>
    <s v="CARLOS JIMENEZ"/>
    <s v="HERALDO P"/>
  </r>
  <r>
    <n v="2022"/>
    <s v="ABRIL "/>
    <s v="EL PAICO"/>
    <s v="GONZALES CALLEJAS"/>
    <s v="SANDRA"/>
    <s v="FEMENINO"/>
    <s v="27414262-6"/>
    <d v="2021-06-17T00:00:00"/>
    <n v="10"/>
    <d v="2022-04-22T00:00:00"/>
    <s v="NUEVO"/>
    <m/>
    <m/>
    <m/>
    <n v="0"/>
    <s v="STP"/>
    <s v="LGF"/>
    <s v="LGF 3"/>
    <x v="0"/>
    <x v="0"/>
    <s v="OPERARIO"/>
    <s v="AUTOMATICO"/>
    <s v="N/A"/>
    <s v="TARDE"/>
    <d v="1899-12-30T16:35:00"/>
    <s v="VIERNES"/>
    <s v="SEMANA 16"/>
    <m/>
    <m/>
    <s v="DANIEL GARRIDO"/>
    <x v="13"/>
    <n v="36"/>
    <x v="3"/>
    <s v="Ojos"/>
    <s v="Otros"/>
    <s v="Contacto con sustancias toxicas"/>
    <s v=" TRABAJADORA MEZCLADO AGUA CON CLORO PARA LAVAR POLLO LE SALTO UNAS GOTAS DE CLORO AL OJO"/>
    <s v="ACCION"/>
    <s v="NO"/>
    <s v="NO"/>
    <s v="CARLOS JIMENEZ"/>
    <s v="CRISTIAN JHON"/>
  </r>
  <r>
    <n v="2022"/>
    <s v="ABRIL "/>
    <s v="EL PAICO"/>
    <s v="CARRASCO ARMIJO"/>
    <s v="CRISTIAN"/>
    <s v="MASCULINO"/>
    <s v="19557542-8"/>
    <d v="2021-09-01T00:00:00"/>
    <n v="7"/>
    <d v="2022-04-27T00:00:00"/>
    <s v="NUEVO"/>
    <m/>
    <m/>
    <m/>
    <n v="0"/>
    <s v="STP"/>
    <m/>
    <m/>
    <x v="8"/>
    <x v="20"/>
    <s v="OPERARIO"/>
    <s v="CAMARINES HOMBRES"/>
    <s v="N/A"/>
    <s v="MAÑANA"/>
    <d v="1899-12-30T11:20:00"/>
    <s v="MIERCOLES"/>
    <s v="SEMANA 17"/>
    <m/>
    <m/>
    <s v="JAIME JORQUERA"/>
    <x v="27"/>
    <n v="25"/>
    <x v="14"/>
    <s v="Manos / dedos"/>
    <s v="Otros"/>
    <s v="Otros"/>
    <s v="TRABAJADOR AL ESTAR DEJANDO SU ROPA EN EL ZIPPER SE ENGANCHA UNA UÑA PRODUCIENDO LACERACION PARCIAL"/>
    <s v="ACCION"/>
    <s v="NO"/>
    <s v="NO"/>
    <s v="CARLOS JIMENEZ"/>
    <s v="MICHEL SANCHEZ"/>
  </r>
  <r>
    <n v="2022"/>
    <s v="ABRIL "/>
    <s v="EL PAICO"/>
    <s v="MERVIL ELVEUS"/>
    <s v="ISLANDE"/>
    <s v="MASCULINO"/>
    <s v="26316678-7"/>
    <d v="2021-12-07T00:00:00"/>
    <n v="4"/>
    <d v="2022-04-27T00:00:00"/>
    <s v="NUEVO"/>
    <m/>
    <m/>
    <m/>
    <n v="0"/>
    <s v="STP"/>
    <m/>
    <m/>
    <x v="1"/>
    <x v="21"/>
    <s v="OPERARIO"/>
    <s v="DESHUEZADO"/>
    <s v="EQUIPO PARA MOVIMIENTO DE CARGA (GRUAS O TRANSPALETAS)"/>
    <s v="TARDE"/>
    <d v="1899-12-30T16:00:00"/>
    <s v="MIERCOLES"/>
    <s v="SEMANA 17"/>
    <m/>
    <m/>
    <s v="FRANCISCO ROJAS"/>
    <x v="22"/>
    <n v="35"/>
    <x v="13"/>
    <s v="Pie"/>
    <s v="Contusión"/>
    <s v="Golpeado por"/>
    <s v="TRABAJADOR AL ESTAR RECOGIENDO RESTOS CARNICOS, SE GOLPEA ZONA TIBIAL DE PIERNA DERECHA CON EQUIPO PARA MOVIMIENTO DE CARGA (GRUAS O TRANSPALETAS) "/>
    <s v="ACCION"/>
    <s v="SI"/>
    <s v="NO"/>
    <s v="CARLOS JIMENEZ"/>
    <s v="MICHEL SANCHEZ"/>
  </r>
  <r>
    <n v="2022"/>
    <s v="ABRIL "/>
    <s v="EL PAICO"/>
    <s v="MUÑOZ VALENZUELA"/>
    <s v="JOSE "/>
    <s v="MASCULINO"/>
    <s v="14177893-5"/>
    <d v="2022-02-21T00:00:00"/>
    <n v="2"/>
    <d v="2022-04-28T00:00:00"/>
    <s v="NUEVO"/>
    <m/>
    <m/>
    <m/>
    <n v="0"/>
    <s v="STP"/>
    <m/>
    <m/>
    <x v="7"/>
    <x v="22"/>
    <s v="OPERARIO"/>
    <s v="PULPA"/>
    <s v="N/A"/>
    <s v="TARDE"/>
    <d v="1899-12-30T19:45:00"/>
    <s v="JUEVES"/>
    <s v="SEMANA 17"/>
    <m/>
    <m/>
    <s v="OCTAVIO MUÑOZ"/>
    <x v="28"/>
    <n v="41"/>
    <x v="4"/>
    <s v="Rostro"/>
    <s v="Contusión"/>
    <s v="Golpeado por"/>
    <s v="TRABAJADOR A TOMAR LA MANILLA DA PUERTA DESDE LA CADENA, ESTA SE SALE DE SU POSICION GOLPEANDOLO EN SU NARIZ "/>
    <s v="ACCION"/>
    <s v="SI"/>
    <s v="NO"/>
    <s v="CARLOS JIMENEZ"/>
    <s v="WLADIMIR CALDERON"/>
  </r>
  <r>
    <n v="2022"/>
    <s v="ABRIL "/>
    <s v="EL PAICO"/>
    <s v="SAAVEDRA TOBAR "/>
    <s v="SEBASTIAN "/>
    <s v="MASCULINO"/>
    <s v="17306224-9"/>
    <d v="2022-03-01T00:00:00"/>
    <n v="1"/>
    <d v="2022-04-30T00:00:00"/>
    <s v="NUEVO"/>
    <d v="2022-04-30T00:00:00"/>
    <d v="2022-05-02T00:00:00"/>
    <m/>
    <n v="0"/>
    <s v="STP"/>
    <m/>
    <m/>
    <x v="0"/>
    <x v="4"/>
    <s v="OPERARIO"/>
    <s v="DESHUEZADO"/>
    <s v="N/A"/>
    <s v="TARDE"/>
    <d v="1899-12-30T12:10:00"/>
    <s v="SABADO"/>
    <s v="SEMANA 17"/>
    <m/>
    <s v="NC-53-22"/>
    <s v="DANIEL GARRIDO"/>
    <x v="5"/>
    <n v="32"/>
    <x v="1"/>
    <s v="Cabeza"/>
    <s v="Contusión"/>
    <s v="Caida de mismo nivel"/>
    <s v="TRABAJADOR RESBALA CON HIELO QUE SE FORMA EN EL SUELO Y SE GOLPEA ZONA OCCIPITAL DE LA CABEZA "/>
    <s v="ACCION"/>
    <s v="SI"/>
    <s v="SI"/>
    <s v="CARLOS JIMENEZ"/>
    <s v="CRISTIAN JHON"/>
  </r>
  <r>
    <n v="2022"/>
    <s v="MAYO"/>
    <s v="EL PAICO"/>
    <s v="AROS DUREAUX "/>
    <s v=" ALAN FABIAN"/>
    <s v="MASCULINO"/>
    <s v="16873113-2"/>
    <d v="2019-07-01T00:00:00"/>
    <n v="34"/>
    <d v="2022-05-03T00:00:00"/>
    <s v="INTERMEDIO"/>
    <m/>
    <m/>
    <m/>
    <n v="0"/>
    <s v="STP"/>
    <m/>
    <m/>
    <x v="5"/>
    <x v="23"/>
    <s v="OPERARIO"/>
    <s v="SALA DE MAQUINA"/>
    <s v="N/A"/>
    <s v="TARDE"/>
    <d v="1899-12-30T12:25:00"/>
    <s v="MARTES"/>
    <s v="SEMANA 18"/>
    <m/>
    <m/>
    <s v="VICTOR GOMEZ"/>
    <x v="29"/>
    <n v="33"/>
    <x v="1"/>
    <s v="Manos / dedos"/>
    <s v="Contusión"/>
    <s v="Caida de mismo nivel"/>
    <s v=" TRABAJADOR TROPIEZA, EN SALA DE MAQUINA CAÍDA DEL MISMO NIVEL CON GOLPE EN SU BRAZO IZQUIERDO CON HERIDA UÑA DEDO MEDIO Y HERIDA LEVE EN SU DEDO ANULAR IZQUIERDO"/>
    <s v="ACCION"/>
    <s v="SI"/>
    <s v="NO"/>
    <s v="CARLOS JIMENEZ"/>
    <s v="HERALDO P"/>
  </r>
  <r>
    <n v="2022"/>
    <s v="MAYO"/>
    <s v="EL PAICO"/>
    <s v="FIGUEROA MONSALVE "/>
    <s v="SORAYA ANDREA"/>
    <s v="FEMENINO"/>
    <s v="26607646-0"/>
    <d v="2013-08-07T00:00:00"/>
    <n v="104"/>
    <d v="2022-05-06T00:00:00"/>
    <s v="ANTIGUO"/>
    <m/>
    <m/>
    <m/>
    <n v="0"/>
    <s v="STP"/>
    <m/>
    <m/>
    <x v="0"/>
    <x v="4"/>
    <s v="OPERARIO"/>
    <s v="DESHUEZADO"/>
    <s v="N/A"/>
    <s v="MAÑANA"/>
    <d v="1899-12-30T08:20:00"/>
    <s v="VIERNES"/>
    <s v="SEMANA 18"/>
    <m/>
    <m/>
    <s v="DANIEL GARRIDO"/>
    <x v="11"/>
    <n v="53"/>
    <x v="1"/>
    <s v="Otro"/>
    <s v="Contusión"/>
    <s v="Caida de mismo nivel"/>
    <s v="TRABAJADORA TRASLADANDO BANDEJAS CON PRODUCTO HACIA EL PALLET, TROPIEZA CON UNA EQUIPO PARA MOVIMIENTO DE CARGA (GRUAS O TRANSPALETAS) QUE SE ENCONTRABA EN UNA POSICIÓN NO ADECUADA, HACIÉNDOLA CAER Y SE GOLPEA TREN INFERIOR"/>
    <s v="ACCION"/>
    <s v="SI"/>
    <s v="NO"/>
    <s v="CARLOS JIMENEZ"/>
    <s v="WLADIMIR CALDERON"/>
  </r>
  <r>
    <n v="2022"/>
    <s v="MAYO"/>
    <s v="EL PAICO"/>
    <s v="OLGUIN GONZALEZ "/>
    <s v="OSCAR HERNAN"/>
    <s v="MASCULINO"/>
    <s v="13558567-K"/>
    <d v="2003-05-23T00:00:00"/>
    <n v="227"/>
    <d v="2022-05-07T00:00:00"/>
    <s v="ANTIGUO"/>
    <m/>
    <m/>
    <m/>
    <n v="0"/>
    <s v="STP"/>
    <m/>
    <m/>
    <x v="4"/>
    <x v="24"/>
    <s v="OPERARIO"/>
    <s v="SALA DE SKAQUINN"/>
    <s v="N/A"/>
    <s v="MAÑANA"/>
    <d v="1899-12-30T06:40:00"/>
    <s v="SABADO"/>
    <s v="SEMANA 18"/>
    <m/>
    <m/>
    <s v="GUILLERMO NARVAEZ"/>
    <x v="30"/>
    <n v="42"/>
    <x v="4"/>
    <s v="Rostro"/>
    <s v="Contusión"/>
    <s v="Golpeado contra"/>
    <s v="TRABAJADOR CUANDO AMARRABA LAS LÁMINAS, GIRAR EN SU MISMO EJE DE IZQUIERDA A DERECHA SE GOLPEA SU LABIO SUPERIOR CON UN FIERRO ESTÁTICO EN LA SALA DE SKAQUINN"/>
    <s v="ACCION"/>
    <s v="SI"/>
    <s v="NO"/>
    <s v="CARLOS JIMENEZ"/>
    <s v="HERALDO P"/>
  </r>
  <r>
    <n v="2022"/>
    <s v="MAYO"/>
    <s v="EL PAICO"/>
    <s v=" COLINA PARDO "/>
    <s v=" ISABEL MARGARITA"/>
    <s v="FEMENINO"/>
    <s v="16615461-8"/>
    <d v="2017-05-29T00:00:00"/>
    <n v="59"/>
    <d v="2022-05-09T00:00:00"/>
    <s v="ANTIGUO"/>
    <m/>
    <m/>
    <m/>
    <n v="0"/>
    <s v="STP"/>
    <m/>
    <m/>
    <x v="0"/>
    <x v="4"/>
    <s v="OPERARIO"/>
    <s v="LINEA PROLIJADO"/>
    <s v="N/A"/>
    <s v="TARDE"/>
    <d v="1899-12-30T20:30:00"/>
    <s v="LUNES"/>
    <s v="SEMANA 19"/>
    <m/>
    <m/>
    <s v="DANIEL GARRIDO"/>
    <x v="11"/>
    <n v="40"/>
    <x v="1"/>
    <s v="Pierna"/>
    <s v="Contusión"/>
    <s v="Caida de mismo nivel"/>
    <s v="TRABAJADORA SUFRE CAÍDA, EN EL ÁREA DE DESHUESADO, LO QUE CONTUSIÓN EN RODILLA IZQUIERDA POR EL PISO RESBALADIZO "/>
    <s v="ACCION"/>
    <s v="SI"/>
    <s v="NO"/>
    <s v="CARLOS JIMENEZ"/>
    <s v="MICHEL SANCHEZ"/>
  </r>
  <r>
    <n v="2022"/>
    <s v="MAYO"/>
    <s v="EL PAICO"/>
    <s v=" MONTERREY CALDERON"/>
    <s v="JUAN VICENTE"/>
    <s v="MASCULINO"/>
    <s v=" 26193561-9"/>
    <d v="2021-12-02T00:00:00"/>
    <n v="5"/>
    <d v="2022-05-09T00:00:00"/>
    <s v="NUEVO"/>
    <d v="2022-05-09T00:00:00"/>
    <d v="2022-05-09T00:00:00"/>
    <m/>
    <n v="0"/>
    <s v="STP"/>
    <m/>
    <m/>
    <x v="2"/>
    <x v="25"/>
    <s v="OPERARIO"/>
    <s v="EVICERADO DE PAVO "/>
    <s v="N/A"/>
    <s v="MAÑANA"/>
    <d v="1899-12-30T05:30:00"/>
    <s v="LUNES"/>
    <s v="SEMANA 19"/>
    <m/>
    <s v="NC-54-22"/>
    <s v="NICOLAS MOYANO"/>
    <x v="2"/>
    <n v="54"/>
    <x v="10"/>
    <s v="Ojos"/>
    <s v="Contusión"/>
    <s v="Proyeccion de particulas"/>
    <s v="TRABAJADOR AL ESTAR EN SU PUESTO DE TRABAJO SUFRE SALPICADURA DE LÍQUIDO EN SU OJO DERECHO "/>
    <s v="CONDICION"/>
    <s v="SI"/>
    <s v="SI"/>
    <s v="CARLOS JIMENEZ"/>
    <s v="MICHEL SANCHEZ"/>
  </r>
  <r>
    <n v="2022"/>
    <s v="MAYO"/>
    <s v="EL PAICO"/>
    <s v="CATALAN ALCAINO"/>
    <s v="ANDREW"/>
    <s v="MASCULINO"/>
    <s v="21173568-6"/>
    <d v="2022-03-15T00:00:00"/>
    <n v="1"/>
    <d v="2022-05-11T00:00:00"/>
    <s v="NUEVO"/>
    <d v="2022-05-11T00:00:00"/>
    <d v="2022-05-21T00:00:00"/>
    <m/>
    <n v="11"/>
    <s v="CTP"/>
    <m/>
    <m/>
    <x v="6"/>
    <x v="26"/>
    <s v="OPERARIO"/>
    <s v="SALA EMPAQUE"/>
    <s v="N/A"/>
    <s v="MAÑANA"/>
    <d v="1899-12-30T09:00:00"/>
    <s v="MIERCOLES"/>
    <s v="SEMANA 19"/>
    <m/>
    <s v="NC-55-22"/>
    <s v="FRANCISCO QUEZADA"/>
    <x v="12"/>
    <n v="18"/>
    <x v="0"/>
    <s v="Manos / dedos"/>
    <s v="Contusión"/>
    <s v="Golpeado contra"/>
    <s v=" TRABAJADOR SE APLASTA EL DEDO ANULAR DERECHO AL DEJAR EL BLOQUE "/>
    <s v="ACCION"/>
    <s v="SI"/>
    <s v="SI"/>
    <s v="CARLOS JIMENEZ"/>
    <s v="HERALDO P"/>
  </r>
  <r>
    <n v="2022"/>
    <s v="MAYO"/>
    <s v="EL PAICO"/>
    <s v="LOYOLA MORALES"/>
    <s v="MARIO"/>
    <s v="MASCULINO"/>
    <s v="14136576-2"/>
    <d v="2018-12-03T00:00:00"/>
    <n v="41"/>
    <d v="2022-05-12T00:00:00"/>
    <s v="ANTIGUO"/>
    <m/>
    <m/>
    <m/>
    <n v="0"/>
    <s v="STP"/>
    <m/>
    <m/>
    <x v="0"/>
    <x v="0"/>
    <s v="OPERARIO"/>
    <s v="PASILLO TROZADO AUTOMATICO"/>
    <s v="N/A"/>
    <s v="TARDE"/>
    <d v="1899-12-30T18:50:00"/>
    <s v="JUEVES"/>
    <s v="SEMANA 19"/>
    <m/>
    <m/>
    <s v="DANIEL GARRIDO"/>
    <x v="0"/>
    <n v="43"/>
    <x v="1"/>
    <s v="Pelvis"/>
    <s v="Contusión"/>
    <s v="Caida de mismo nivel"/>
    <s v="TRABAJADOR VOLVIENDO A SU PUESTO DE TRABAJO RESBALA Y SE GOLPEA COXIS"/>
    <s v="ACCION"/>
    <s v="SI"/>
    <s v="NO"/>
    <s v="CARLOS JIMENEZ"/>
    <s v="CRISTIAN JHON"/>
  </r>
  <r>
    <n v="2022"/>
    <s v="MAYO"/>
    <s v="EL PAICO"/>
    <s v="MAULEN MAULEN "/>
    <s v="ALDO "/>
    <s v="MASCULINO"/>
    <s v="20136430-2"/>
    <d v="2019-10-07T00:00:00"/>
    <n v="31"/>
    <d v="2022-05-13T00:00:00"/>
    <s v="INTERMEDIO"/>
    <d v="2022-05-13T00:00:00"/>
    <d v="2022-05-13T00:00:00"/>
    <m/>
    <n v="0"/>
    <s v="STP"/>
    <m/>
    <m/>
    <x v="4"/>
    <x v="27"/>
    <s v="OPERARIO"/>
    <s v="SALA IQF"/>
    <s v="N/A"/>
    <s v="TARDE"/>
    <d v="1899-12-30T17:50:00"/>
    <s v="VIERNES"/>
    <s v="SEMANA 19"/>
    <m/>
    <s v="NC-49-22"/>
    <s v="GUILLERMO NARVAEZ"/>
    <x v="30"/>
    <n v="23"/>
    <x v="11"/>
    <s v="Pelvis"/>
    <s v="Contusión"/>
    <s v="Golpeado por"/>
    <s v="TRABAJADOR SUFRE CONTUSIÓN EN REGIÓN TESTICULAR, CUANDO COMPAÑERO DE TRABAJO LO GOLPEA ACCIDENTALMENTE CON UN BINS VACÍO, LAS BANDEJAS QUE EL MANIPULABA CAUSARON LA LESIÓN"/>
    <s v="ACCION"/>
    <s v="SI"/>
    <s v="SI"/>
    <s v="CARLOS JIMENEZ"/>
    <s v="MICHEL SANCHEZ"/>
  </r>
  <r>
    <n v="2022"/>
    <s v="MAYO"/>
    <s v="EL PAICO"/>
    <s v="ALARCON RIQUELME "/>
    <s v="GERMAN"/>
    <s v="MASCULINO"/>
    <s v="20871156-3"/>
    <d v="2021-06-23T00:00:00"/>
    <n v="10"/>
    <d v="2022-05-13T00:00:00"/>
    <s v="NUEVO"/>
    <m/>
    <m/>
    <m/>
    <n v="0"/>
    <s v="STP"/>
    <m/>
    <m/>
    <x v="6"/>
    <x v="28"/>
    <s v="OPERARIO"/>
    <s v="CAMARA 305"/>
    <s v="N/A"/>
    <s v="TARDE"/>
    <d v="1899-12-30T15:45:00"/>
    <s v="VIERNES"/>
    <s v="SEMANA 19"/>
    <m/>
    <m/>
    <s v="FRANCISCO QUEZADA"/>
    <x v="26"/>
    <n v="20"/>
    <x v="10"/>
    <s v="Manos / dedos"/>
    <s v="Contusión"/>
    <s v="Golpeado por"/>
    <s v="AL SACAR CAJA QUE SE ENCONTRABA MAL POSICIONADA DESDE EL PALLET, SE CAE Y GOLPEA SU DEDO INDICE DERECHO "/>
    <s v="ACCION"/>
    <s v="SI"/>
    <s v="NO"/>
    <s v="CARLOS JIMENEZ"/>
    <s v="MICHEL SANCHEZ"/>
  </r>
  <r>
    <n v="2022"/>
    <s v="MAYO"/>
    <s v="EL PAICO"/>
    <s v="OBREGON PLAZA"/>
    <s v="ANDREA"/>
    <s v="FEMENINO"/>
    <s v="15866994-3"/>
    <d v="2018-11-05T00:00:00"/>
    <n v="42"/>
    <d v="2022-05-14T00:00:00"/>
    <s v="ANTIGUO"/>
    <m/>
    <m/>
    <m/>
    <n v="0"/>
    <s v="STP"/>
    <m/>
    <m/>
    <x v="0"/>
    <x v="4"/>
    <s v="OPERARIO"/>
    <s v="DESHUEZADO"/>
    <s v="N/A"/>
    <s v="MAÑANA"/>
    <d v="1899-12-30T13:10:00"/>
    <s v="SABADO"/>
    <s v="SEMANA 19"/>
    <m/>
    <m/>
    <s v="DANIEL GARRIDO"/>
    <x v="5"/>
    <n v="37"/>
    <x v="4"/>
    <s v="Pierna"/>
    <s v="Contusión"/>
    <s v="Golpeado contra"/>
    <s v=" REFIERE GOLPE EN RODILLA IZQUIERDA SIN LESIONES VISIBLES QUE SE PROVOCA, AL ESTAR EN LA LÍNEA GOLPEA CON LA ESTRUCTURA Y HOY REFIERE DOLENCIA EN PIERNA IZQ. SIN LESIÓN VISIBLE"/>
    <s v="ACCION"/>
    <s v="SI"/>
    <s v="NO"/>
    <s v="CARLOS JIMENEZ"/>
    <s v="WLADIMIR CALDERON"/>
  </r>
  <r>
    <n v="2022"/>
    <s v="MAYO"/>
    <s v="EL PAICO"/>
    <s v="MIRANDA GOMEZ"/>
    <s v="JOSELIN"/>
    <s v="FEMENINO"/>
    <s v="18487450-4"/>
    <d v="2022-05-09T00:00:00"/>
    <n v="0"/>
    <d v="2022-05-14T00:00:00"/>
    <s v="NUEVO"/>
    <m/>
    <m/>
    <m/>
    <n v="0"/>
    <s v="STP"/>
    <m/>
    <m/>
    <x v="6"/>
    <x v="29"/>
    <s v="OPERARIO"/>
    <s v="PASILLO PRINCIPAL "/>
    <s v="N/A"/>
    <s v="MAÑANA"/>
    <d v="1899-12-30T05:30:00"/>
    <s v="SABADO"/>
    <s v="SEMANA 19"/>
    <m/>
    <m/>
    <s v="FRANCISCO QUEZADA"/>
    <x v="18"/>
    <n v="29"/>
    <x v="1"/>
    <s v="Pie"/>
    <s v="Torsión"/>
    <s v="Caida de mismo nivel"/>
    <s v=" SUFRE CAÍDA A NIVEL CON TORSIÓN DE TOBILLO DERECHO, AL SALIR DEL CAMARÍN EN EL PASILLO PRINCIPAL"/>
    <s v="ACCION"/>
    <s v="SI"/>
    <s v="NO"/>
    <s v="CARLOS JIMENEZ"/>
    <s v="WLADIMIR CALDERON"/>
  </r>
  <r>
    <n v="2022"/>
    <s v="MAYO"/>
    <s v="EL PAICO"/>
    <s v="MUÑOZ PLAZA"/>
    <s v="FRANCO"/>
    <s v="MASCULINO"/>
    <s v="20424770-6"/>
    <d v="2021-02-09T00:00:00"/>
    <n v="15"/>
    <d v="2022-05-16T00:00:00"/>
    <s v="NUEVO"/>
    <m/>
    <m/>
    <m/>
    <n v="0"/>
    <s v="STP"/>
    <m/>
    <m/>
    <x v="0"/>
    <x v="0"/>
    <s v="OPERARIO"/>
    <s v="AUTOMATICO"/>
    <s v="N/A"/>
    <s v="TARDE"/>
    <d v="1899-12-30T16:35:00"/>
    <s v="LUNES"/>
    <s v="SEMANA 20"/>
    <m/>
    <m/>
    <s v="DANIEL GARRIDO"/>
    <x v="5"/>
    <n v="21"/>
    <x v="10"/>
    <s v="Ojos"/>
    <s v="Contusión"/>
    <s v="Proyeccion de particulas"/>
    <s v="TRABAJADOR REFIERE PROYECCIÓN DE ÁCIDO PERACÉTICO EN OJO DERECHO, AL ESTAR CERRANDO UN BINS "/>
    <s v="ACCION"/>
    <s v="SI"/>
    <s v="NO"/>
    <s v="CARLOS JIMENEZ"/>
    <s v="CRISTIAN JHON"/>
  </r>
  <r>
    <n v="2022"/>
    <s v="MAYO"/>
    <s v="EL PAICO"/>
    <s v="SILVA CARREÑO "/>
    <s v="CARLOS"/>
    <s v="MASCULINO"/>
    <s v="17578495-0"/>
    <d v="2019-02-25T00:00:00"/>
    <n v="38"/>
    <d v="2022-05-20T00:00:00"/>
    <s v="ANTIGUO"/>
    <m/>
    <m/>
    <m/>
    <n v="0"/>
    <s v="STP"/>
    <m/>
    <m/>
    <x v="0"/>
    <x v="4"/>
    <s v="OPERARIO"/>
    <s v="PASILLO COSTADO IQF 4"/>
    <s v="N/A"/>
    <s v="MAÑANA"/>
    <d v="1899-12-30T11:50:00"/>
    <s v="VIERNES"/>
    <s v="SEMANA 20"/>
    <m/>
    <m/>
    <s v="DANIEL GARRIDO"/>
    <x v="11"/>
    <n v="31"/>
    <x v="1"/>
    <s v="Multiples"/>
    <s v="Contusión"/>
    <s v="Caida de mismo nivel"/>
    <s v="TRABAJADOR IBA CAMINANDO HACIA OFICINA DE TROZADO DE POLLO Y RESBALA EN EL PASILLO, EL CUAL TIENE HIELO Y PROVOCÓ LA CAÍDA"/>
    <s v="ACCION"/>
    <s v="SI"/>
    <s v="NO"/>
    <s v="CARLOS JIMENEZ"/>
    <s v="CRISTIAN JHON"/>
  </r>
  <r>
    <n v="2022"/>
    <s v="MAYO"/>
    <s v="EL PAICO"/>
    <s v="TRONCOSO CACERES"/>
    <s v="CAROL "/>
    <s v="FEMENINO"/>
    <s v="16291541-K"/>
    <d v="2012-05-07T00:00:00"/>
    <n v="120"/>
    <d v="2022-05-24T00:00:00"/>
    <s v="ANTIGUO"/>
    <d v="2022-05-25T00:00:00"/>
    <d v="2022-05-25T00:00:00"/>
    <m/>
    <n v="0"/>
    <s v="STP"/>
    <m/>
    <m/>
    <x v="0"/>
    <x v="4"/>
    <s v="OPERARIO"/>
    <s v="CASINO"/>
    <s v="N/A"/>
    <s v="MAÑANA"/>
    <d v="1899-12-30T13:05:00"/>
    <s v="MARTES"/>
    <s v="SEMANA 21"/>
    <m/>
    <s v="NC-57-22"/>
    <s v="DANIEL GARRIDO"/>
    <x v="31"/>
    <n v="36"/>
    <x v="4"/>
    <s v="Manos / dedos"/>
    <s v="Contusión"/>
    <s v="Golpeado contra"/>
    <s v="TRABAJADORA SALIENDO DE COLACIÓN, QUERIENDO SACAR ALCOHOL GEL, NO ALCANZO EL DISPENSADOR Y SU MANO PASO DE LARGO GOLPEÁNDOSE CON EL BORDE DE LA PUERTA"/>
    <s v="ACCION"/>
    <s v="SI"/>
    <s v="SI"/>
    <s v="NICOLAS GOMEZ "/>
    <s v="CRISTIAN JHON"/>
  </r>
  <r>
    <n v="2022"/>
    <s v="MAYO"/>
    <s v="EL PAICO"/>
    <s v="LARA SOTO "/>
    <s v="EDITH"/>
    <s v="FEMENINO"/>
    <s v="16670482-0"/>
    <d v="2020-01-13T00:00:00"/>
    <n v="28"/>
    <d v="2022-05-26T00:00:00"/>
    <s v="INTERMEDIO"/>
    <m/>
    <m/>
    <m/>
    <n v="0"/>
    <s v="STP"/>
    <s v="LGF"/>
    <s v="LGF2"/>
    <x v="1"/>
    <x v="30"/>
    <s v="OPERARIO"/>
    <s v="CHILLER DE AGUA N°2"/>
    <s v="CHILLER"/>
    <s v="NOCHE"/>
    <d v="1899-12-30T01:20:00"/>
    <s v="JUEVES"/>
    <s v="SEMANA 21"/>
    <m/>
    <m/>
    <s v="SERGIO AQUEVEQUE"/>
    <x v="32"/>
    <n v="34"/>
    <x v="4"/>
    <s v="Brazo"/>
    <s v="Atrición"/>
    <s v="Atrapamiento"/>
    <s v="SUFRE ATRICIÓN DE ANTEBRAZO DERECHO MIENTRAS REALIZABA LIMPIEZA DE CHILLER DE AGUA, PRESIONANDO LA PARTE AFECTADA CON EL BORDE DEL CHILLER Y LA ASPA QUE SE ENCONTRABA EN MOVIMIENTO. "/>
    <s v="ACCION"/>
    <s v="SI"/>
    <s v="NO"/>
    <s v="CARLOS JIMENEZ"/>
    <s v="MICHEL SANCHEZ"/>
  </r>
  <r>
    <n v="2022"/>
    <s v="MAYO"/>
    <s v="EL PAICO"/>
    <s v="CACERES JEREZ"/>
    <s v="NICOLAS"/>
    <s v="MASCULINO"/>
    <s v="20137719-6"/>
    <d v="2019-03-04T00:00:00"/>
    <n v="38"/>
    <d v="2022-05-30T00:00:00"/>
    <s v="ANTIGUO"/>
    <d v="2022-05-31T00:00:00"/>
    <d v="2022-06-03T00:00:00"/>
    <m/>
    <n v="4"/>
    <s v="CTP"/>
    <m/>
    <m/>
    <x v="9"/>
    <x v="31"/>
    <s v="OPERARIO"/>
    <s v="BODEGA 3"/>
    <s v="N/A"/>
    <s v="TARDE"/>
    <d v="1899-12-30T23:30:00"/>
    <s v="LUNES"/>
    <s v="SEMANA 22"/>
    <m/>
    <s v="NC-59-22"/>
    <s v="BORIS PONCE "/>
    <x v="33"/>
    <n v="22"/>
    <x v="1"/>
    <s v="Manos / dedos"/>
    <s v="Torsión"/>
    <s v="Golpeado por"/>
    <s v=" TRABAJADOR AL TRATAR DE GIRAR EN PALLET, PIERDE EL EQUILIBRIO LO QUE LE PROVOCA UNA CAÍDA Y SUFRE TORSIÓN Y GOLPE EN SU DEDO ÍNDICE "/>
    <s v="ACCION"/>
    <s v="SI"/>
    <s v="SI"/>
    <s v="NICOLAS GOMEZ "/>
    <s v="HERALDO P"/>
  </r>
  <r>
    <n v="2022"/>
    <s v="JUNIO"/>
    <s v="EL PAICO"/>
    <s v=" CARRASCO CACERES"/>
    <s v="VICTOR ALFONSO"/>
    <s v="MASCULINO"/>
    <s v="16985231-6"/>
    <d v="2008-07-18T00:00:00"/>
    <n v="166"/>
    <d v="2022-06-01T00:00:00"/>
    <s v="ANTIGUO"/>
    <d v="2022-06-01T00:00:00"/>
    <d v="2022-06-10T00:00:00"/>
    <m/>
    <n v="10"/>
    <s v="CTP"/>
    <m/>
    <m/>
    <x v="0"/>
    <x v="0"/>
    <s v="OPERARIO"/>
    <s v="PASILLO IQF 4"/>
    <s v="N/A"/>
    <s v="MAÑANA"/>
    <d v="1899-12-30T07:00:00"/>
    <s v="MIERCOLES"/>
    <s v="SEMANA 22"/>
    <m/>
    <s v="NC-63-22"/>
    <s v="DANIEL GARRIDO"/>
    <x v="0"/>
    <n v="33"/>
    <x v="1"/>
    <s v="Tronco"/>
    <s v="Contusión"/>
    <s v="Caida de mismo nivel"/>
    <s v="TRABAJADOR CAMINABA HACIA LA OFICINA DE TROZADO DE POLLO A BUSCAR ETIQUETAS Y RESBALA POR EL HIELO EN EL PASILLO DEL IQF 4, GOLPEÁNDOSE LA ESPALDA POR EL LADO DERECHO "/>
    <s v="ACCION"/>
    <s v="SI"/>
    <s v="SI"/>
    <s v="NICOLAS GOMEZ "/>
    <s v="CRISTIAN JHON"/>
  </r>
  <r>
    <n v="2022"/>
    <s v="JUNIO"/>
    <s v="EL PAICO"/>
    <s v=" SALGADO SILVA"/>
    <s v="JOSE AGUSTIN"/>
    <s v="MASCULINO"/>
    <s v="15355520-6"/>
    <d v="2020-05-20T00:00:00"/>
    <n v="24"/>
    <d v="2022-06-06T00:00:00"/>
    <s v="INTERMEDIO"/>
    <d v="2022-06-06T00:00:00"/>
    <d v="2022-06-06T00:00:00"/>
    <m/>
    <n v="0"/>
    <s v="STP"/>
    <s v="LGF"/>
    <s v="LGF 7"/>
    <x v="2"/>
    <x v="32"/>
    <s v="OPERARIO"/>
    <s v="ESCALDADORA DE PATA DE POLLO"/>
    <s v="PELADORA DE GARRAS"/>
    <s v="MAÑANA"/>
    <d v="1899-12-30T06:40:00"/>
    <s v="LUNES"/>
    <s v="SEMANA 23"/>
    <m/>
    <s v="NC-68-23"/>
    <s v="NICOLAS MOYANO"/>
    <x v="2"/>
    <n v="39"/>
    <x v="4"/>
    <s v="Manos / dedos"/>
    <s v="Herida cortante"/>
    <s v="Contacto con cuerpo cortante"/>
    <s v=" TRABAJADOR SUFRE HERIDA CORTANTE EN SU DEDO PULGAR IZQUIERDO, CUANDO ABRIÓ LA TAPA DE LA PELADERA DE GARRAS PARA REVISAR LA CORREA Y EVITAR QUE ESTA SE APAGARA"/>
    <s v="ACCION"/>
    <s v="SI"/>
    <s v="SI"/>
    <s v="NICOLAS GOMEZ "/>
    <s v="MICHEL SANCHEZ"/>
  </r>
  <r>
    <n v="2022"/>
    <s v="JUNIO"/>
    <s v="EL PAICO"/>
    <s v=" TORO OROZCO"/>
    <s v="GIANINA DEL CARMEN"/>
    <s v="FEMENINO"/>
    <s v=" 17518601-8"/>
    <d v="2019-01-14T00:00:00"/>
    <n v="40"/>
    <d v="2022-06-08T00:00:00"/>
    <s v="ANTIGUO"/>
    <m/>
    <m/>
    <m/>
    <n v="0"/>
    <s v="STP"/>
    <s v="LGF"/>
    <s v="LGF 5"/>
    <x v="1"/>
    <x v="1"/>
    <s v="OPERARIO"/>
    <s v="IQF"/>
    <s v="N/A"/>
    <s v="NOCHE"/>
    <d v="1899-12-30T01:30:00"/>
    <s v="MIERCOLES"/>
    <s v="SEMANA 23"/>
    <m/>
    <m/>
    <s v="CARLOS JIMENEZ"/>
    <x v="29"/>
    <n v="32"/>
    <x v="3"/>
    <s v="Otro"/>
    <s v="Otros"/>
    <s v="Exposicion a humo y gases"/>
    <s v=" TRABAJADORA REFIERE MOLESTIAS RESPIRATORIAS POR EXPOSICIÓN A QUÍMICOS EN EL AMBIENTE MIENTRAS REALIZADA SUS LABORES EN SALA DE IQF"/>
    <s v="CONDICION"/>
    <s v="SI"/>
    <s v="NO"/>
    <s v="NICOLAS GOMEZ "/>
    <s v="WLADIMIR CALDERON"/>
  </r>
  <r>
    <n v="2022"/>
    <s v="JUNIO"/>
    <s v="EL PAICO"/>
    <s v=" NAVARRO GONZALEZ"/>
    <s v="XIMENA ANDREA"/>
    <s v="FEMENINO"/>
    <s v=" 16266713-0"/>
    <d v="2016-12-05T00:00:00"/>
    <n v="66"/>
    <d v="2022-06-08T00:00:00"/>
    <s v="ANTIGUO"/>
    <m/>
    <m/>
    <m/>
    <n v="0"/>
    <s v="STP"/>
    <s v="LGF"/>
    <s v="LGF 5"/>
    <x v="1"/>
    <x v="1"/>
    <s v="OPERARIO"/>
    <s v="ISHIDA"/>
    <s v="N/A"/>
    <s v="NOCHE"/>
    <d v="1899-12-30T01:30:00"/>
    <s v="MIERCOLES"/>
    <s v="SEMANA 23"/>
    <m/>
    <m/>
    <s v="CARLOS JIMENEZ"/>
    <x v="29"/>
    <n v="37"/>
    <x v="3"/>
    <s v="Otro"/>
    <s v="Otros"/>
    <s v="Exposicion a humo y gases"/>
    <s v=" TRABAJADORA REFIERE MOLESTIAS RESPIRATORIAS POR EXPOSICIÓN A QUÍMICOS EN EL AMBIENTE MIENTRAS REALIZADA SUS LABORES EN SALA DE ISHIDA"/>
    <s v="CONDICION"/>
    <s v="SI"/>
    <s v="NO"/>
    <s v="NICOLAS GOMEZ "/>
    <s v="WLADIMIR CALDERON"/>
  </r>
  <r>
    <n v="2022"/>
    <s v="JUNIO"/>
    <s v="EL PAICO"/>
    <s v=" MANZO FUENTES"/>
    <s v="BESSIE SORAYA"/>
    <s v="FEMENINO"/>
    <s v=" 11228319-6"/>
    <d v="1992-07-14T00:00:00"/>
    <n v="358"/>
    <d v="2022-06-09T00:00:00"/>
    <s v="ANTIGUO"/>
    <m/>
    <m/>
    <m/>
    <n v="0"/>
    <s v="STP"/>
    <m/>
    <m/>
    <x v="3"/>
    <x v="3"/>
    <s v="OPERARIO"/>
    <s v="TROZADO DE PAVO"/>
    <s v="N/A"/>
    <s v="MAÑANA"/>
    <d v="1899-12-30T08:20:00"/>
    <s v="JUEVES"/>
    <s v="SEMANA 23"/>
    <m/>
    <m/>
    <s v="GUILLERMO NARVAEZ"/>
    <x v="34"/>
    <n v="52"/>
    <x v="10"/>
    <s v="Ojos"/>
    <s v="Otros"/>
    <s v="Proyeccion de particulas"/>
    <s v=" TRABAJADORA EN LÍNEA DE TROZADO DE PAVO, SUFRE LA PROYECCIÓN DE PARTÍCULAS LLEGANDO A SU OJO DERECHO, PROVOCANDO UNA PEQUEÑA IRRITACIÓN "/>
    <s v="ACCION"/>
    <s v="SI"/>
    <s v="NO"/>
    <s v="NICOLAS GOMEZ "/>
    <s v="CRISTIAN JHON"/>
  </r>
  <r>
    <n v="2022"/>
    <s v="JUNIO"/>
    <s v="EL PAICO"/>
    <s v=" PEREZ MUNOZ"/>
    <s v="GUILLERMO ORLANDO"/>
    <s v="MASCULINO"/>
    <s v=" 11697702-8"/>
    <d v="2022-03-16T00:00:00"/>
    <n v="2"/>
    <d v="2022-06-09T00:00:00"/>
    <s v="NUEVO"/>
    <m/>
    <m/>
    <m/>
    <n v="0"/>
    <s v="STP"/>
    <m/>
    <m/>
    <x v="2"/>
    <x v="32"/>
    <s v="OPERARIO"/>
    <s v="SALA EVICERADO"/>
    <s v="N/A"/>
    <s v="MAÑANA"/>
    <d v="1899-12-30T07:35:00"/>
    <s v="JUEVES"/>
    <s v="SEMANA 23"/>
    <m/>
    <m/>
    <s v="NICOLAS MOYANO"/>
    <x v="2"/>
    <n v="50"/>
    <x v="1"/>
    <s v="Pierna"/>
    <s v="Contusión"/>
    <s v="Caida de distinto nivel"/>
    <s v=" TRABAJADOR ESTANDO EN UNA TARIMA DE AGACHA A RECOGER UNA BANDEJA, PIERDE EL EQUILIBRIO Y SUFRE UNA CAÍDA DE DISTINTO NIVEL, GOLPEANDO SU PIERNA Y BAZO "/>
    <s v="ACCION"/>
    <s v="SI"/>
    <s v="NO"/>
    <s v="NICOLAS GOMEZ "/>
    <s v="CRISTIAN JHON"/>
  </r>
  <r>
    <n v="2022"/>
    <s v="JUNIO"/>
    <s v="EL PAICO"/>
    <s v=" CAMPOS CHAPARRO"/>
    <s v="MAXIMO ALEXIS"/>
    <s v="MASCULINO"/>
    <s v=" 13900492-2"/>
    <d v="2019-01-02T00:00:00"/>
    <n v="41"/>
    <d v="2022-06-09T00:00:00"/>
    <s v="ANTIGUO"/>
    <m/>
    <m/>
    <m/>
    <n v="0"/>
    <s v="STP"/>
    <m/>
    <m/>
    <x v="4"/>
    <x v="5"/>
    <s v="SUPERVISOR"/>
    <s v="CALIBRADO"/>
    <s v="N/A"/>
    <s v="TARDE"/>
    <d v="1899-12-30T12:30:00"/>
    <s v="JUEVES"/>
    <s v="SEMANA 23"/>
    <m/>
    <m/>
    <s v="GUILLERMO NARVAEZ"/>
    <x v="29"/>
    <n v="41"/>
    <x v="0"/>
    <s v="Manos / dedos"/>
    <s v="Contusión"/>
    <s v="Golpeado por"/>
    <s v=" TRABAJADOR AL ESTAR RECOGIENDO UNA BOBINA DE FILM ESTA SE RESBALA Y GOLPEA SU DEDO MEDIO DE LA MANO IZQUIERDA "/>
    <s v="ACCION"/>
    <s v="SI"/>
    <s v="NO"/>
    <s v="NICOLAS GOMEZ "/>
    <s v="CRISTIAN JHON"/>
  </r>
  <r>
    <n v="2022"/>
    <s v="JUNIO"/>
    <s v="EL PAICO"/>
    <s v=" LOYOLA DIAZ"/>
    <s v="HERNAN TOMAS"/>
    <s v="MASCULINO"/>
    <s v=" 19923996-1"/>
    <d v="2018-08-06T00:00:00"/>
    <n v="46"/>
    <d v="2022-06-14T00:00:00"/>
    <s v="ANTIGUO"/>
    <m/>
    <m/>
    <m/>
    <n v="0"/>
    <s v="STP"/>
    <s v="LGF"/>
    <s v="LGF2"/>
    <x v="1"/>
    <x v="1"/>
    <s v="OPERARIO"/>
    <s v="EVISCERADO"/>
    <s v="MAQUINA BUCHERA "/>
    <s v="NOCHE"/>
    <d v="1899-12-30T00:35:00"/>
    <s v="MARTES"/>
    <s v="SEMANA 24"/>
    <m/>
    <m/>
    <s v="CARLOS JIMENEZ"/>
    <x v="14"/>
    <n v="24"/>
    <x v="7"/>
    <s v="Manos / dedos"/>
    <s v="Atrición"/>
    <s v="Atrapamiento"/>
    <s v=" TRABAJADOR AL ESTAR HACIENDO ASEO EN MAQUINA BUCHERA DE EVISCERADO DE POLLO, CUANDO UN CUERPO ENGANCHA LA CAPA ARRASTRANDO SU MANO Y ATRAPÁNDOLE LA MUÑECA DERECHA EN EL PILAR DE LA MAQUINA "/>
    <s v="ACCION"/>
    <s v="SI"/>
    <s v="NO"/>
    <s v="NICOLAS GOMEZ "/>
    <s v="CRISTIAN JHON"/>
  </r>
  <r>
    <n v="2022"/>
    <s v="JUNIO"/>
    <s v="EL PAICO"/>
    <s v="QUINONES CAMPOS"/>
    <s v="TANIA SHATILA"/>
    <s v="FEMENINO"/>
    <s v="15357030-2"/>
    <d v="2022-02-07T00:00:00"/>
    <n v="4"/>
    <d v="2022-06-16T00:00:00"/>
    <s v="NUEVO"/>
    <d v="2022-06-17T00:00:00"/>
    <d v="2022-07-14T00:00:00"/>
    <m/>
    <n v="28"/>
    <s v="CTP"/>
    <m/>
    <m/>
    <x v="6"/>
    <x v="33"/>
    <s v="OPERARIO"/>
    <s v="SALA DESPACHO FIGRORIFICO"/>
    <s v="N/A"/>
    <s v="TARDE"/>
    <d v="1899-12-30T12:00:00"/>
    <s v="JUEVES"/>
    <s v="SEMANA 24"/>
    <m/>
    <s v="NC-70-22"/>
    <s v="FRANCISCO QUEZADA"/>
    <x v="12"/>
    <n v="39"/>
    <x v="1"/>
    <s v="Multiples"/>
    <s v="Contusión"/>
    <s v="Caida de mismo nivel"/>
    <s v="TRABAJADORA, AL ESTAR LIMPIANDO MUEBLE EM LA SALA DE DESPACHO DE FRIGORÍFICO, SE RESBALA Y SE GOLPEA EN SU ROSTRO, CODO DERECHO Y ZONA LUMBAR"/>
    <s v="ACCION"/>
    <s v="NO"/>
    <s v="SI"/>
    <s v="NICOLAS GOMEZ "/>
    <s v="HERALDO P"/>
  </r>
  <r>
    <n v="2022"/>
    <s v="JUNIO"/>
    <s v="EL PAICO"/>
    <s v=" RIVAS GALARCE"/>
    <s v="FRANCISCO JAVIER"/>
    <s v="MASCULINO"/>
    <s v=" 15884378-1"/>
    <d v="2013-03-07T00:00:00"/>
    <n v="111"/>
    <d v="2022-06-17T00:00:00"/>
    <s v="ANTIGUO"/>
    <m/>
    <m/>
    <m/>
    <n v="0"/>
    <s v="STP"/>
    <m/>
    <m/>
    <x v="4"/>
    <x v="5"/>
    <s v="OPERARIO"/>
    <s v="CALIBRADO"/>
    <s v="N/A"/>
    <s v="MAÑANA"/>
    <d v="1899-12-30T09:10:00"/>
    <s v="VIERNES"/>
    <s v="SEMANA 24"/>
    <m/>
    <m/>
    <s v="GUILLERMO NARVAEZ"/>
    <x v="15"/>
    <n v="37"/>
    <x v="14"/>
    <s v="Rostro"/>
    <s v="Herida cortante"/>
    <s v="Golpeado contra"/>
    <s v=" TRABAJADOR AL ESTAR SACANDO EL CAPACHO ATASCADO PARA VACIARLO, EJERCIÓ MUCHA FUERZA Y ESTE GOLPEO SU NARIZ, HACIENDO UN PEQUEÑO CORTE. "/>
    <s v="ACCION"/>
    <s v="SI"/>
    <s v="NO"/>
    <s v="NICOLAS GOMEZ "/>
    <s v="CRISTIAN JHON"/>
  </r>
  <r>
    <n v="2022"/>
    <s v="JUNIO"/>
    <s v="EL PAICO"/>
    <s v=" VARGAS ROJAS"/>
    <s v="TOMAS ALFREDO"/>
    <s v="MASCULINO"/>
    <s v=" 21171568-5"/>
    <d v="2021-09-14T00:00:00"/>
    <n v="9"/>
    <d v="2022-06-21T00:00:00"/>
    <s v="NUEVO"/>
    <m/>
    <m/>
    <m/>
    <n v="0"/>
    <s v="STP"/>
    <m/>
    <m/>
    <x v="4"/>
    <x v="5"/>
    <s v="OPERARIO"/>
    <s v="IQF"/>
    <s v="SUPER CONTACT"/>
    <s v="TARDE"/>
    <d v="1899-12-30T12:30:00"/>
    <s v="MARTES"/>
    <s v="SEMANA 25"/>
    <m/>
    <m/>
    <s v="GUILLERMO NARVAEZ"/>
    <x v="8"/>
    <n v="19"/>
    <x v="7"/>
    <s v="Manos / dedos"/>
    <s v="Contusión"/>
    <s v="Golpeado por"/>
    <s v=" TRABAJADOR AL ESTAR DESARMANDO EL SUPER CONTACT, PARA DEJAR DE OCUPARLO. SACA EL RODILLO Y LO DEJA EN UN SOPORTE, QUEDA MAL PUESTO Y LE CAE EN LOS DEDOS "/>
    <s v="ACCION"/>
    <s v="SI"/>
    <s v="NO"/>
    <s v="NICOLAS GOMEZ "/>
    <s v="CRISTIAN JHON"/>
  </r>
  <r>
    <n v="2022"/>
    <s v="JUNIO"/>
    <s v="EL PAICO"/>
    <s v="RIVEROS RIVEROS"/>
    <s v="FRANCISCO ADRIAN"/>
    <s v="MASCULINO"/>
    <s v="17986835-0"/>
    <d v="2020-05-28T00:00:00"/>
    <n v="24"/>
    <d v="2022-06-24T00:00:00"/>
    <s v="INTERMEDIO"/>
    <m/>
    <m/>
    <m/>
    <n v="0"/>
    <s v="STP"/>
    <m/>
    <m/>
    <x v="4"/>
    <x v="6"/>
    <s v="OPERARIO"/>
    <s v="IQF 4"/>
    <s v="N/A"/>
    <s v="TARDE"/>
    <d v="1899-12-30T17:00:00"/>
    <s v="VIERNES"/>
    <s v="SEMANA 25"/>
    <m/>
    <m/>
    <s v="GUILLERMO NARVAEZ"/>
    <x v="30"/>
    <n v="30"/>
    <x v="0"/>
    <s v="Manos / dedos"/>
    <s v="Contusión"/>
    <s v="Golpeado contra"/>
    <s v="TRABAJADOR SUFRE GOLPE EN SU MANO DERECHA CON BINS, EMPUJADO POR TRANSPALETA ELÉCTRICA, CUANDO BAJABA BINS DEL VOLTEADOR "/>
    <s v="ACCION"/>
    <s v="SI"/>
    <s v="NO"/>
    <s v="NICOLAS GOMEZ "/>
    <s v="HERALDO P"/>
  </r>
  <r>
    <n v="2022"/>
    <s v="JUNIO"/>
    <s v="EL PAICO"/>
    <s v=" NUNEZ MENA"/>
    <s v="FRANCISCO IGNACIO"/>
    <s v="MASCULINO"/>
    <s v=" 19421104-K"/>
    <d v="2021-02-09T00:00:00"/>
    <n v="16"/>
    <d v="2022-06-25T00:00:00"/>
    <s v="NUEVO"/>
    <m/>
    <m/>
    <m/>
    <n v="0"/>
    <s v="STP"/>
    <m/>
    <m/>
    <x v="10"/>
    <x v="34"/>
    <s v="OPERARIO"/>
    <s v="BAÑO"/>
    <s v="N/A"/>
    <s v="MAÑANA"/>
    <d v="1899-12-30T10:00:00"/>
    <s v="SABADO"/>
    <s v="SEMANA 25"/>
    <m/>
    <m/>
    <s v="GUILLERMO NARVAEZ"/>
    <x v="6"/>
    <n v="26"/>
    <x v="14"/>
    <s v="Manos / dedos"/>
    <s v="Otros"/>
    <s v="Otros"/>
    <s v=" TRABAJADOR EL PEDIR EL ZIPER SE CORTA LA UÑA DEL DEDO ÍNDICE DE LA MANO DERECHA CON LA ARGOLLA "/>
    <s v="ACCION"/>
    <s v="NO"/>
    <s v="NO"/>
    <s v="NICOLAS GOMEZ "/>
    <s v="CRISTIAN JHON"/>
  </r>
  <r>
    <n v="2022"/>
    <s v="JUNIO"/>
    <s v="EL PAICO"/>
    <s v=" FUENTES ARENAS"/>
    <s v="MAURICIO IGNACIO"/>
    <s v="MASCULINO"/>
    <s v=" 18061498-2"/>
    <d v="2019-06-03T00:00:00"/>
    <n v="36"/>
    <d v="2022-06-28T00:00:00"/>
    <s v="INTERMEDIO"/>
    <m/>
    <m/>
    <m/>
    <s v=" "/>
    <s v="STP"/>
    <m/>
    <m/>
    <x v="5"/>
    <x v="35"/>
    <s v="ELECTRICO"/>
    <s v="TROZADO AUTOMATICO"/>
    <s v="MOTOR"/>
    <s v="TARDE"/>
    <d v="1899-12-30T19:30:00"/>
    <s v="MARTES"/>
    <s v="SEMANA 26"/>
    <m/>
    <m/>
    <s v="VICTOR GOMEZ"/>
    <x v="35"/>
    <n v="30"/>
    <x v="0"/>
    <s v="Manos / dedos"/>
    <s v="Contusión"/>
    <s v="Golpeado por"/>
    <s v=" TRABAJADOR AL ESTAR ARMANDO EL MOTOR PASA LAS HERRAMIENTAS POR DEBAJO DE ESTE Y EL MOTOR CAE 30 CMS APROX. GOLPEANDO AMBAS MANOS, QUEDANDO AFECTADA SU MANO IZQUIERDA"/>
    <s v="ACCION"/>
    <s v="SI"/>
    <s v="NO"/>
    <s v="NICOLAS GOMEZ "/>
    <s v="HERALDO P"/>
  </r>
  <r>
    <n v="2022"/>
    <s v="JUNIO"/>
    <s v="EL PAICO"/>
    <s v=" CASTRO MARTINEZ"/>
    <s v="MATIAS ALEJANDRO"/>
    <s v="MASCULINO"/>
    <s v=" 19068208-0"/>
    <d v="2013-08-07T00:00:00"/>
    <n v="106"/>
    <d v="2022-06-29T00:00:00"/>
    <s v="ANTIGUO"/>
    <m/>
    <m/>
    <m/>
    <n v="0"/>
    <s v="STP"/>
    <s v="LGF"/>
    <s v="LGF 7"/>
    <x v="0"/>
    <x v="0"/>
    <s v="ELECTRICO"/>
    <s v="TROZADO AUTOMATICO"/>
    <s v="MAQUINA CORTADORA DE RABADILLAS"/>
    <s v="TARDE"/>
    <d v="1899-12-30T16:00:00"/>
    <s v="MIERCOLES"/>
    <s v="SEMANA 26"/>
    <m/>
    <m/>
    <s v="DANIEL GARRIDO"/>
    <x v="13"/>
    <n v="27"/>
    <x v="7"/>
    <s v="Manos / dedos"/>
    <s v="Herida cortante"/>
    <s v="Contacto con cuerpo cortante"/>
    <s v=" TRABAJADOR AL ESTAR HACIENDO UN AJUSTE A LA MAQUINA CORTADORA DE RABADILLAS SOBRE UN PISO, ESTE SE CORRE Y AL TRATAR DE AFIRMARSE SE CORTA CON UNO DE LOS CUCHILLOS DE LA MAQUINA "/>
    <s v="ACCION"/>
    <s v="SI"/>
    <s v="NO"/>
    <s v="NICOLAS GOMEZ "/>
    <s v="CRISTIAN JHON"/>
  </r>
  <r>
    <n v="2022"/>
    <s v="JUNIO"/>
    <s v="EL PAICO"/>
    <s v=" CATALAN CASTILLO"/>
    <s v="BENJAMIN WILLIAMS"/>
    <s v="MASCULINO"/>
    <s v=" 14312051-1"/>
    <d v="2013-06-18T00:00:00"/>
    <n v="108"/>
    <d v="2022-06-30T00:00:00"/>
    <s v="ANTIGUO"/>
    <m/>
    <m/>
    <m/>
    <n v="0"/>
    <s v="STP"/>
    <s v="LGF"/>
    <s v="LGF2"/>
    <x v="7"/>
    <x v="36"/>
    <s v="OPERARIO MAQUINA"/>
    <s v="ISHIDA"/>
    <s v="EQUIPO PARA MOVIMIENTO DE CARGA (GRUAS O TRANSPALETAS)"/>
    <s v="TARDE"/>
    <d v="1899-12-30T20:15:00"/>
    <s v="JUEVES"/>
    <s v="SEMENA 26"/>
    <m/>
    <m/>
    <s v="OCTAVIO MUÑOZ"/>
    <x v="36"/>
    <n v="46"/>
    <x v="13"/>
    <s v="Manos / dedos"/>
    <s v="Atrición"/>
    <s v="Atrapamiento"/>
    <s v=" TRABAJADOR SUFRE ATRICIÓN DE DEDO ANULAR IZQUIERDO CON TRANSPALETA EN MAL ESTADO, OPERADA POR COMPAÑERO DE TRABAJO"/>
    <s v="ACCION"/>
    <s v="SI"/>
    <s v="NO"/>
    <s v="NICOLAS GOMEZ "/>
    <s v="MICHEL SANCHEZ"/>
  </r>
  <r>
    <n v="2022"/>
    <s v="JUNIO"/>
    <s v="EL PAICO"/>
    <s v=" QUINTANILLA REYES"/>
    <s v="ESTEBAN ALEJANDRO"/>
    <s v="MASCULINO"/>
    <s v=" 20123998-2"/>
    <d v="2018-03-19T00:00:00"/>
    <n v="51"/>
    <d v="2022-06-30T00:00:00"/>
    <s v="ANTIGUO"/>
    <m/>
    <m/>
    <m/>
    <n v="0"/>
    <s v="STP"/>
    <m/>
    <m/>
    <x v="8"/>
    <x v="20"/>
    <s v="MONITOR"/>
    <s v="CONGELADOR IQF 1"/>
    <s v="LINEA IQF (CINTAS, CONGELADORES, INYECTORAS)"/>
    <s v="NOCHE"/>
    <d v="1899-12-30T03:08:00"/>
    <s v="JUEVES"/>
    <s v="SEMANA 26"/>
    <m/>
    <m/>
    <s v="JAIME JORQUERA"/>
    <x v="27"/>
    <n v="23"/>
    <x v="7"/>
    <s v="Manos / dedos"/>
    <s v="Herida cortante"/>
    <s v="Contacto con cuerpo punzante"/>
    <s v=" EL TRABAJADOR AL ESTAR REVISANDO LA CINTA DEL CONGELADOR SE ENTIERRA UNA ESQUIRLA METÁLICA EN EL DEDO MEÑIQUE DE LA MANO DERECHA "/>
    <s v="ACCION"/>
    <s v="SI"/>
    <s v="NO"/>
    <s v="NICOLAS GOMEZ "/>
    <s v="CRISTIAN JHON"/>
  </r>
  <r>
    <n v="2022"/>
    <s v="JULIO"/>
    <s v="EL PAICO"/>
    <s v="COLINA PARDO"/>
    <s v="ISABEL MARGARITA"/>
    <s v="FEMENINO"/>
    <s v=" 16615461-8"/>
    <d v="2017-05-29T00:00:00"/>
    <n v="61"/>
    <d v="2022-07-03T00:00:00"/>
    <s v="ANTIGUO"/>
    <m/>
    <m/>
    <m/>
    <n v="0"/>
    <s v="STP"/>
    <m/>
    <m/>
    <x v="0"/>
    <x v="4"/>
    <s v="OPERARIO"/>
    <s v="DESHUEZADO"/>
    <s v="N/A"/>
    <s v="MAÑANA"/>
    <d v="1899-12-30T07:10:00"/>
    <s v="DOMINGO"/>
    <s v="SEMANA 26"/>
    <m/>
    <m/>
    <s v="DANIEL GARRIDO"/>
    <x v="11"/>
    <n v="40"/>
    <x v="1"/>
    <s v="Cabeza"/>
    <s v="Contusión"/>
    <s v="Caida de mismo nivel"/>
    <s v=" TRABAJADOR SUFRE CAÍDA DEL MISMO NIVEL, AL RESBALAR CAYENDO AL SUELO CON GOLPE EN SU CABEZA , CARA OCCIPITAL"/>
    <s v="ACCION"/>
    <s v="SI"/>
    <s v="NO"/>
    <s v="NICOLAS GOMEZ "/>
    <s v="HERALDO P"/>
  </r>
  <r>
    <n v="2022"/>
    <s v="JULIO"/>
    <s v="EL PAICO"/>
    <s v="ARMIJO CORDERO"/>
    <s v="FRANCISCO EDUARDO"/>
    <s v="MASCULINO"/>
    <s v="7885635-1"/>
    <d v="2004-09-22T00:00:00"/>
    <n v="213"/>
    <d v="2022-07-04T00:00:00"/>
    <s v="ANTIGUO"/>
    <m/>
    <m/>
    <m/>
    <n v="0"/>
    <s v="STP"/>
    <m/>
    <m/>
    <x v="3"/>
    <x v="3"/>
    <s v="OPERARIO"/>
    <s v="CASINO"/>
    <s v="N/A"/>
    <s v="MAÑANA"/>
    <d v="1899-12-30T09:15:00"/>
    <s v="LUNES"/>
    <s v="SEMANA 27"/>
    <m/>
    <m/>
    <s v="GUILLERMO NARVAEZ"/>
    <x v="34"/>
    <n v="63"/>
    <x v="14"/>
    <s v="Otro"/>
    <s v="Otros"/>
    <s v="Otros"/>
    <s v="TRABAJADOR SUFRE ROTURA DE PRÓTESIS DENTAL, AL COMER EN CASINO DE EMPRESA"/>
    <s v="ACCION"/>
    <s v="NO"/>
    <s v="NO"/>
    <s v="NICOLAS GOMEZ "/>
    <s v="MICHEL SANCHEZ"/>
  </r>
  <r>
    <n v="2022"/>
    <s v="JULIO"/>
    <s v="EL PAICO"/>
    <s v="ERAZO BARTUCEVIC"/>
    <s v="ELIZABETH DEL PILAR"/>
    <s v="FEMENINO"/>
    <s v=" 9635745-1"/>
    <d v="2012-05-02T00:00:00"/>
    <n v="122"/>
    <d v="2022-07-07T00:00:00"/>
    <s v="ANTIGUO"/>
    <m/>
    <m/>
    <m/>
    <n v="0"/>
    <s v="STP"/>
    <m/>
    <m/>
    <x v="4"/>
    <x v="37"/>
    <s v="OPERARIO"/>
    <s v="PASILLO IQF "/>
    <s v="N/A"/>
    <s v="TARDE"/>
    <d v="1899-12-30T15:15:00"/>
    <s v="JUEVES"/>
    <s v="SEMANA 27"/>
    <m/>
    <s v="NC-78-22"/>
    <s v="GUILLERMO NARVAEZ"/>
    <x v="30"/>
    <n v="60"/>
    <x v="1"/>
    <s v="Pelvis"/>
    <s v="Contusión"/>
    <s v="Caida de mismo nivel"/>
    <s v=" TRABAJADOR AL CAMINAR POR EL PASILLO DEL IQF PISA UNA ALA MEDIA Y SUFRE UNA CAÍDA AL MISMO NIVEL "/>
    <s v="ACCION"/>
    <s v="SI"/>
    <s v="SI"/>
    <s v="NICOLAS GOMEZ "/>
    <s v="CRISTIAN JHON"/>
  </r>
  <r>
    <n v="2022"/>
    <s v="JULIO"/>
    <s v="EL PAICO"/>
    <s v="CUEVAS VIDAL"/>
    <s v="VICTOR MANUEL"/>
    <s v="MASCULINO"/>
    <s v=" 9164248-4"/>
    <d v="2018-02-05T00:00:00"/>
    <n v="53"/>
    <d v="2022-07-07T00:00:00"/>
    <s v="ANTIGUO"/>
    <m/>
    <m/>
    <m/>
    <m/>
    <s v="STP"/>
    <m/>
    <m/>
    <x v="1"/>
    <x v="1"/>
    <s v="OPERARIO"/>
    <s v="FILTRO SANITARIO "/>
    <s v="N/A"/>
    <s v="MAÑANA"/>
    <d v="1899-12-30T05:15:00"/>
    <s v="JUEVES"/>
    <s v="SEMANA 27"/>
    <m/>
    <m/>
    <s v="CARLOS JIMENEZ"/>
    <x v="1"/>
    <n v="61"/>
    <x v="1"/>
    <s v="Pierna"/>
    <s v="Torsión"/>
    <s v="Caida de mismo nivel"/>
    <s v=" EL TRABAJADOR SALIR POR EL FILTRO SANITARIO GIRA Y SE DOBLA LA RODILLA "/>
    <s v="ACCION"/>
    <s v="SI"/>
    <s v="NO"/>
    <s v="NICOLAS GOMEZ "/>
    <s v="CRISTIAN JHON"/>
  </r>
  <r>
    <n v="2022"/>
    <s v="JULIO"/>
    <s v="EL PAICO"/>
    <s v="VERGARA MILLALONCO"/>
    <s v="ESTRELLA DEL CARMEN"/>
    <s v="FEMENINO"/>
    <s v=" 10716133-3"/>
    <d v="2016-12-19T00:00:00"/>
    <n v="66"/>
    <d v="2022-07-08T00:00:00"/>
    <s v="ANTIGUO"/>
    <m/>
    <m/>
    <m/>
    <n v="0"/>
    <s v="STP"/>
    <m/>
    <m/>
    <x v="0"/>
    <x v="4"/>
    <s v="OPERARIO"/>
    <s v="DESHUEZADO"/>
    <s v="N/A"/>
    <s v="TARDE"/>
    <d v="1899-12-30T17:30:00"/>
    <s v="VIERNES"/>
    <s v="SEMANA 27"/>
    <m/>
    <m/>
    <s v="DANIEL GARRIDO"/>
    <x v="11"/>
    <n v="52"/>
    <x v="14"/>
    <s v="Brazo"/>
    <s v="Otros"/>
    <s v="Otros"/>
    <s v="TRABAJADORA REFIERE DOLOR EN EL HOMBRO DERECHO, UN TIRÓN AL REALIZAR MAL UN MOVIMIENTO CUANDO ESTABA RECOGIENDO PRODUCTO DEL PISO"/>
    <s v="ACCION"/>
    <s v="SI"/>
    <s v="NO"/>
    <s v="NICOLAS GOMEZ "/>
    <s v="MICHEL SANCHEZ"/>
  </r>
  <r>
    <n v="2022"/>
    <s v="JULIO"/>
    <s v="EL PAICO"/>
    <s v="GALLEGUILLOS GAETE"/>
    <s v="GILLIAN ANTONELLA"/>
    <s v="FEMENINO"/>
    <s v=" 21173854-5"/>
    <d v="2022-06-22T00:00:00"/>
    <n v="0"/>
    <d v="2022-07-08T00:00:00"/>
    <s v="NUEVO"/>
    <m/>
    <m/>
    <m/>
    <n v="11"/>
    <s v="CTP"/>
    <m/>
    <m/>
    <x v="4"/>
    <x v="38"/>
    <s v="OPERARIO"/>
    <s v="LINEA IQF 4"/>
    <s v="LINEA IQF (CINTAS, CONGELADORES, INYECTORAS)"/>
    <s v="MAÑANA"/>
    <d v="1899-12-30T11:50:00"/>
    <s v="VIERNES"/>
    <s v="SEMANA 27"/>
    <m/>
    <s v="NC-75-22"/>
    <s v="GUILLERMO NARVAEZ"/>
    <x v="8"/>
    <n v="19"/>
    <x v="7"/>
    <s v="Manos / dedos"/>
    <s v="Contusión"/>
    <s v="Golpeado contra"/>
    <s v="TRABAJADORA AL TRATAR DE DISMINUIR LA CAÍDA DE LA TAPA DEL CAPACHO SE GOLPEA LA MANO DERECHA CON SOPORTE TECNIL (ESTRUCTURA METÁLICA)"/>
    <s v="ACCION"/>
    <s v="SI"/>
    <s v="SI"/>
    <s v="NICOLAS GOMEZ "/>
    <s v="MICHEL SANCHEZ"/>
  </r>
  <r>
    <n v="2022"/>
    <s v="JULIO"/>
    <s v="EL PAICO"/>
    <s v=" LEANDRE "/>
    <s v=" MARIE DAYANA"/>
    <s v="FEMENINO"/>
    <s v=" 25613814-K"/>
    <d v="2022-01-06T00:00:00"/>
    <n v="6"/>
    <d v="2022-07-09T00:00:00"/>
    <s v="NUEVO"/>
    <m/>
    <m/>
    <m/>
    <n v="0"/>
    <s v="STP"/>
    <s v="LGF"/>
    <s v="LGF 4"/>
    <x v="0"/>
    <x v="0"/>
    <s v="OPERARIO"/>
    <s v="AUTOMATICO"/>
    <s v="EQUIPO PARA MOVIMIENTO DE CARGA (GRUAS O TRANSPALETAS)"/>
    <s v="MAÑANA"/>
    <d v="1899-12-30T14:10:00"/>
    <s v="SABADO"/>
    <s v="SEMANA 27"/>
    <m/>
    <s v="NC-79-22"/>
    <s v="DANIEL GARRIDO"/>
    <x v="13"/>
    <n v="33"/>
    <x v="13"/>
    <s v="Cabeza"/>
    <s v="Contusión"/>
    <s v="Caida de mismo nivel"/>
    <s v=" TRABAJADORA SUFRE CAÍDA MISMO NIVEL AL SER PASADA A LLEVAR POR EQUIPO PARA MOVIMIENTO DE CARGA (GRUAS O TRANSPALETAS), AL ESTAR TRABAJADO EN LA LÍNEA "/>
    <s v="ACCION"/>
    <s v="SI"/>
    <s v="SI"/>
    <s v="NICOLAS GOMEZ "/>
    <s v="WLADIMIR CALDERON"/>
  </r>
  <r>
    <n v="2022"/>
    <s v="JULIO"/>
    <s v="EL PAICO"/>
    <s v=" CACERES CONTRERAS"/>
    <s v="DAMIAN ESTEBAN"/>
    <s v="MASCULINO"/>
    <s v=" 20712243-2"/>
    <d v="2022-04-04T00:00:00"/>
    <n v="3"/>
    <d v="2022-07-10T00:00:00"/>
    <s v="NUEVO"/>
    <m/>
    <m/>
    <m/>
    <n v="0"/>
    <s v="STP"/>
    <m/>
    <m/>
    <x v="4"/>
    <x v="38"/>
    <s v="OPERARIO"/>
    <s v="CAMARINES HOMBRES"/>
    <s v="N/A"/>
    <s v="MAÑANA"/>
    <d v="1899-12-30T06:00:00"/>
    <s v="DOMINGO"/>
    <s v="SEMANA 27"/>
    <m/>
    <m/>
    <s v="GUILLERMO NARVAEZ"/>
    <x v="15"/>
    <n v="21"/>
    <x v="14"/>
    <s v="Espalda"/>
    <s v="Otros"/>
    <s v="Otros"/>
    <s v=" TRABAJADOR AL ESTAR CAMBIÁNDOSE DE ROPA PARA INGRESAR AL TURNO, SUFRE UN TIRÓN EN LA ZONA DORSAL LUMBAR"/>
    <s v="ACCION"/>
    <s v="NO"/>
    <s v="NO"/>
    <s v="NICOLAS GOMEZ "/>
    <s v="MICHEL SANCHEZ"/>
  </r>
  <r>
    <n v="2022"/>
    <s v="JULIO"/>
    <s v="EL PAICO"/>
    <s v=" ESPINOZA PADILLA"/>
    <s v="PAULINA ANDREA"/>
    <s v="FEMENINO"/>
    <s v=" 17133880-8"/>
    <d v="2022-06-14T00:00:00"/>
    <n v="0"/>
    <d v="2022-07-12T00:00:00"/>
    <s v="NUEVO"/>
    <m/>
    <m/>
    <m/>
    <n v="0"/>
    <s v="STP"/>
    <s v="LGF"/>
    <s v="LGF2"/>
    <x v="4"/>
    <x v="38"/>
    <s v="OPERARIO"/>
    <s v="IQF"/>
    <s v="SELLADORA"/>
    <s v="TARDE"/>
    <d v="1899-12-30T18:20:00"/>
    <s v="MARTES"/>
    <s v="SEMANA 28"/>
    <m/>
    <m/>
    <s v="GUILLERMO NARVAEZ"/>
    <x v="6"/>
    <n v="34"/>
    <x v="7"/>
    <s v="Manos / dedos"/>
    <s v="Atrición"/>
    <s v="Atrapamiento"/>
    <s v="TRABAJADORA SUFRE ATRAPAMIENTO DE SUS DEDOS MEDIO Y ANULAR CON LA MAQUINA SELLADORA AL ACOMODAR UN BOLSA, Y LA MAQUINA BAJA DE FORMA BRUSCA "/>
    <s v="ACCION"/>
    <s v="SI"/>
    <s v="NO"/>
    <s v="NICOLAS GOMEZ "/>
    <s v="MICHEL SANCHEZ"/>
  </r>
  <r>
    <n v="2022"/>
    <s v="JULIO"/>
    <s v="EL PAICO"/>
    <s v="VIDAL VERA"/>
    <s v="ALEXANDRA"/>
    <s v="FEMENINO"/>
    <s v="20237738-2"/>
    <d v="2022-06-17T00:00:00"/>
    <n v="0"/>
    <d v="2022-07-14T00:00:00"/>
    <s v="NUEVO"/>
    <m/>
    <m/>
    <m/>
    <n v="0"/>
    <s v="STP"/>
    <s v="LGF"/>
    <s v="LGF 4"/>
    <x v="0"/>
    <x v="0"/>
    <s v="OPERARIO"/>
    <s v="AUTOMATICO"/>
    <s v="EQUIPO PARA MOVIMIENTO DE CARGA (GRUAS O TRANSPALETAS)"/>
    <s v="TARDE"/>
    <d v="1899-12-30T15:20:00"/>
    <s v="JUEVES"/>
    <s v="SEMANA 28"/>
    <m/>
    <m/>
    <s v="DANIEL GARRIDO"/>
    <x v="13"/>
    <n v="23"/>
    <x v="13"/>
    <s v="Pierna"/>
    <s v="Contusión"/>
    <s v="Golpeado por"/>
    <s v=" TRABAJADORA SUFRE GOLPE EN SU PIERNA DERECHA CON EQUIPO PARA MOVIMIENTO DE CARGA (GRUAS O TRANSPALETAS) Y BINS, MIENTRAS ETIQUETABA PRODUCTO EN SU PUESTO DE TRABAJO "/>
    <s v="ACCION"/>
    <s v="SI"/>
    <s v="NO"/>
    <s v="NICOLAS GOMEZ "/>
    <s v="HERALDO P"/>
  </r>
  <r>
    <n v="2022"/>
    <s v="JULIO"/>
    <s v="EL PAICO"/>
    <s v="SANCHEZ VEAS "/>
    <s v="JANATHAM"/>
    <s v="MASCULINO"/>
    <s v="18213427-9"/>
    <d v="2014-05-05T00:00:00"/>
    <n v="98"/>
    <d v="2022-07-15T00:00:00"/>
    <s v="ANTIGUO"/>
    <m/>
    <m/>
    <m/>
    <n v="0"/>
    <s v="STP"/>
    <m/>
    <m/>
    <x v="3"/>
    <x v="3"/>
    <s v="OPERARIO"/>
    <s v="TROZADO DE PAVO"/>
    <s v="MAQUINA METALQUIMIA"/>
    <s v="MAÑANA"/>
    <d v="1899-12-30T05:55:00"/>
    <s v="VIERNES"/>
    <s v="SEMANA 28"/>
    <m/>
    <m/>
    <s v="GUILLERMO NARVAEZ"/>
    <x v="34"/>
    <n v="29"/>
    <x v="7"/>
    <s v="Manos / dedos"/>
    <s v="Herida cortante"/>
    <s v="Contacto con cuerpo cortante"/>
    <s v=" TRABAJADOR AL ESTAR CAMBIANDO UNA AGUJA DE LA MAQUINA INYECTORA, Y AL HACER FUERZA PARA RETIRARLA SUBRE UN CORTE SUPERFICIAL EN EL DEDO LA AGUJA "/>
    <s v="ACCION"/>
    <s v="SI"/>
    <s v="NO"/>
    <s v="NICOLAS GOMEZ "/>
    <s v="CRISTIAN JHON"/>
  </r>
  <r>
    <n v="2022"/>
    <s v="JULIO"/>
    <s v="EL PAICO"/>
    <s v="CORTES SANCHEZ"/>
    <s v="LUIS"/>
    <s v="MASCULINO"/>
    <s v="13237357-4"/>
    <d v="2022-07-11T00:00:00"/>
    <n v="0"/>
    <d v="2022-07-15T00:00:00"/>
    <s v="NUEVO"/>
    <m/>
    <m/>
    <m/>
    <n v="0"/>
    <s v="STP"/>
    <m/>
    <m/>
    <x v="7"/>
    <x v="11"/>
    <s v="OPERARIO"/>
    <s v="REPORTE DE CAJAS"/>
    <s v="N/A"/>
    <s v="MAÑANA"/>
    <d v="1899-12-30T05:55:00"/>
    <s v="VIERNES"/>
    <s v="SEMANA 28"/>
    <m/>
    <m/>
    <s v="OCTAVIO MUÑOZ"/>
    <x v="18"/>
    <s v=" "/>
    <x v="8"/>
    <s v="Manos / dedos"/>
    <s v="Herida cortante"/>
    <s v="Contacto con cuerpo cortante"/>
    <s v="TRABAJADOR SUBRE CORTE SUPERFICAL AL ESTAR MOVIENDO UN PALETT"/>
    <s v="ACCION"/>
    <s v="SI"/>
    <s v="NO"/>
    <s v="NICOLAS GOMEZ "/>
    <s v="CRISTIAN JHON"/>
  </r>
  <r>
    <n v="2022"/>
    <s v="JULIO"/>
    <s v="EL PAICO"/>
    <s v="BARRIA ANTILEF"/>
    <s v="ERWIN IVAN"/>
    <s v="MASCULINO"/>
    <s v="10818928-2"/>
    <d v="1994-10-06T00:00:00"/>
    <n v="333"/>
    <d v="2022-07-20T00:00:00"/>
    <s v="ANTIGUO"/>
    <m/>
    <m/>
    <m/>
    <n v="0"/>
    <s v="STP"/>
    <s v="LGF"/>
    <s v="LGF 5"/>
    <x v="2"/>
    <x v="39"/>
    <s v="OPERARIO"/>
    <s v="FAENA"/>
    <s v="N/A"/>
    <s v="TARDE"/>
    <d v="1899-12-30T14:00:00"/>
    <s v="MIERCOLES"/>
    <s v="SEMANA 29"/>
    <m/>
    <s v="NC-80-22"/>
    <s v="NICOLAS MOYANO"/>
    <x v="7"/>
    <n v="54"/>
    <x v="3"/>
    <s v="Otro"/>
    <s v="Otros"/>
    <s v="Exposicion a humo y gases"/>
    <s v="TRABAJADOR REFIERE DISNEA Y DOLOR PRECORDIAL AL COLGAR POLLOS, DEBIDO AL OLOR QUE PRODUCE EL ÁCIDO PERACÉTICO QUE USAN EN LOS PRODUCTOS"/>
    <s v="CONDICION"/>
    <s v="SI"/>
    <s v="SI"/>
    <s v="NICOLAS GOMEZ "/>
    <s v="MICHEL SANCHEZ"/>
  </r>
  <r>
    <n v="2022"/>
    <s v="JULIO"/>
    <s v="EL PAICO"/>
    <s v="RAUDENLIN"/>
    <s v="JOSEPH"/>
    <s v="MASCULINO"/>
    <s v="26927919-2"/>
    <d v="2022-03-04T00:00:00"/>
    <n v="4"/>
    <d v="2022-07-20T00:00:00"/>
    <s v="NUEVO"/>
    <m/>
    <m/>
    <m/>
    <n v="0"/>
    <s v="STP"/>
    <m/>
    <m/>
    <x v="0"/>
    <x v="0"/>
    <s v="OPERARIO"/>
    <s v="AUTOMATICO"/>
    <s v="N/A"/>
    <s v="TARDE"/>
    <d v="1899-12-30T17:00:00"/>
    <s v="MIERCOLES"/>
    <s v="SEMANA 29"/>
    <m/>
    <m/>
    <s v="DANIEL GARRIDO"/>
    <x v="0"/>
    <n v="36"/>
    <x v="4"/>
    <s v="Brazo"/>
    <s v="Contusión"/>
    <s v="Golpeado por"/>
    <s v="TRABAJADOR SUFRE UNA CONTUSIÓN EN EL BRAZO IZQUIERDO CUANDO SE CAE LA PARTE SUPERIOR DEL GANCHO DE LA LÍNEA DE TROZADO AUTOMÁTICO "/>
    <s v="CONDICION"/>
    <s v="SI"/>
    <s v="NO"/>
    <s v="NICOLAS GOMEZ "/>
    <s v="MICHEL SANCHEZ"/>
  </r>
  <r>
    <n v="2022"/>
    <s v="JULIO"/>
    <s v="EL PAICO"/>
    <s v="CARVAJAL"/>
    <s v="WILSO"/>
    <s v="MASCULINO"/>
    <s v="18477754-4"/>
    <d v="2022-01-10T00:00:00"/>
    <n v="6"/>
    <d v="2022-07-26T00:00:00"/>
    <s v="NUEVO"/>
    <m/>
    <m/>
    <m/>
    <n v="0"/>
    <s v="STP"/>
    <m/>
    <m/>
    <x v="6"/>
    <x v="33"/>
    <s v="OPERARIO"/>
    <s v="CAMARA FRIGORIFICO"/>
    <s v="N/A"/>
    <s v="MAÑANA"/>
    <d v="1899-12-30T14:15:00"/>
    <s v="MARTES"/>
    <s v="SEMANA 30"/>
    <m/>
    <m/>
    <m/>
    <x v="37"/>
    <n v="29"/>
    <x v="14"/>
    <s v="Ojos"/>
    <s v="Otros"/>
    <s v="Proyeccion de particulas"/>
    <s v="TRABAJADOR MIENTRAS COLOCABA FILM MIRA HACIA ARRIBA Y SIENTE QUE CAE ALGO DENTRO DE SU OJO"/>
    <s v="ACCION"/>
    <s v="SI"/>
    <s v="NO"/>
    <s v="NICOLAS GOMEZ "/>
    <s v="GABRIELA CABEZAS"/>
  </r>
  <r>
    <n v="2022"/>
    <s v="JULIO"/>
    <s v="EL PAICO"/>
    <s v="Mancilla Vasquez"/>
    <s v="Carolina"/>
    <s v="FEMENINO"/>
    <s v="14046319-1"/>
    <d v="2020-01-27T00:00:00"/>
    <n v="30"/>
    <d v="2022-07-27T00:00:00"/>
    <s v="INTERMEDIO"/>
    <m/>
    <m/>
    <m/>
    <n v="0"/>
    <s v="STP"/>
    <m/>
    <m/>
    <x v="7"/>
    <x v="40"/>
    <s v="OPERARIO"/>
    <s v="ISHIDA"/>
    <s v="N/A"/>
    <s v="TARDE"/>
    <d v="1899-12-30T20:00:00"/>
    <s v="MIERCOLES"/>
    <s v="SEMANA 30"/>
    <m/>
    <m/>
    <s v="OCTAVIO MUÑOZ"/>
    <x v="36"/>
    <n v="43"/>
    <x v="14"/>
    <s v="Brazo"/>
    <s v="Otros"/>
    <s v="Otros"/>
    <s v="TRABAJADORA PRESENTA DOLENCIA EN HOMBRO DERECHO POR MOVIMIENTO REPETITIVO "/>
    <s v="ACCION"/>
    <s v="SI"/>
    <s v="NO"/>
    <s v="NICOLAS GOMEZ "/>
    <s v="WLADIMIR CALDERON"/>
  </r>
  <r>
    <n v="2022"/>
    <s v="JULIO"/>
    <s v="EL PAICO"/>
    <s v="EPUL"/>
    <s v="GERMAN"/>
    <s v="MASCULINO"/>
    <s v="11665422-9"/>
    <d v="2019-01-21T00:00:00"/>
    <n v="42"/>
    <d v="2022-07-27T00:00:00"/>
    <s v="ANTIGUO"/>
    <m/>
    <m/>
    <m/>
    <n v="0"/>
    <s v="STP"/>
    <m/>
    <m/>
    <x v="4"/>
    <x v="38"/>
    <s v="OPERARIO"/>
    <s v="SALIDA IQF 4"/>
    <s v="EQUIPO PARA MOVIMIENTO DE CARGA (GRUAS O TRANSPALETAS)"/>
    <s v="MAÑANA"/>
    <d v="1899-12-30T10:50:00"/>
    <s v="MIERCOLES"/>
    <s v="SEMANA 30"/>
    <m/>
    <m/>
    <s v="GUILLERMO NARVAEZ"/>
    <x v="30"/>
    <n v="52"/>
    <x v="4"/>
    <s v="Brazo"/>
    <s v="Contusión"/>
    <s v="Caida de mismo nivel"/>
    <s v="TRABAJADOR VENIA MOVILIZANDO TRASPALETA Y AL SALIR  DE IQF 4 SE GOLPEA LA RUEDA CON TUBO DE SEGURIDAD QUE ESTABA SALIDO DE SU POSICION , CAYENDO DE LADO GOLPEANDO SU CODO IZQUIERDO."/>
    <s v="CONDICION"/>
    <s v="SI"/>
    <s v="NO"/>
    <s v="NICOLAS GOMEZ "/>
    <s v="WLADIMIR CALDERON"/>
  </r>
  <r>
    <n v="2022"/>
    <s v="JULIO"/>
    <s v="EL PAICO"/>
    <s v="SAAVEDRA "/>
    <s v="FRANCISCO"/>
    <s v="MASCULINO"/>
    <s v="16576716-0"/>
    <d v="2018-05-14T00:00:00"/>
    <n v="50"/>
    <d v="2022-07-28T00:00:00"/>
    <s v="ANTIGUO"/>
    <m/>
    <m/>
    <m/>
    <n v="0"/>
    <s v="STP"/>
    <m/>
    <m/>
    <x v="0"/>
    <x v="41"/>
    <s v="OPERARIO"/>
    <s v="AUTOMATICO"/>
    <s v="N/A"/>
    <s v="TARDE"/>
    <d v="1899-12-30T23:35:00"/>
    <s v="JUEVES"/>
    <s v="SEMANA 30"/>
    <m/>
    <m/>
    <s v="DANIEL GARRIDO"/>
    <x v="13"/>
    <n v="35"/>
    <x v="14"/>
    <s v="Pie"/>
    <s v="Otros"/>
    <s v="Golpeado por"/>
    <s v="DEJANDO BINS EN UNA PESA, SE ACERCA A ROMANERO A RECIBIR TICKET Y AL MOMENTO DE GIRAR SE GOLPEA EN LA PARTE POSTERIOR DEL PIE DERECHO"/>
    <s v="ACCION"/>
    <s v="SI"/>
    <s v="NO"/>
    <s v="NICOLAS GOMEZ "/>
    <s v="MICHEL SANCHEZ"/>
  </r>
  <r>
    <n v="2022"/>
    <s v="JULIO"/>
    <s v="EL PAICO"/>
    <s v="JARA"/>
    <s v="LUIS"/>
    <s v="MASCULINO"/>
    <s v="10173545-1"/>
    <d v="2003-02-01T00:00:00"/>
    <n v="233"/>
    <d v="2022-07-29T00:00:00"/>
    <s v="ANTIGUO"/>
    <m/>
    <m/>
    <m/>
    <n v="0"/>
    <s v="STP"/>
    <m/>
    <m/>
    <x v="0"/>
    <x v="4"/>
    <s v="OPERARIO"/>
    <s v="DESHUEZADO"/>
    <s v="N/A"/>
    <s v="TARDE"/>
    <d v="1899-12-30T16:00:00"/>
    <s v="VIERNES"/>
    <s v="SEMANA 30"/>
    <m/>
    <m/>
    <s v="DANIEL GARRIDO"/>
    <x v="31"/>
    <n v="56"/>
    <x v="14"/>
    <s v="Brazo"/>
    <s v="Otros"/>
    <s v="Otros"/>
    <s v="TRABAJADOR PRESENTA DOLENCIA EN SU HOMBRO, INDICANDO QUE SE DEBE A SU PUESTO DE TRABAJO ACTUAL QUE ES PROLIJADO DE PECHUGA."/>
    <s v="ACCION"/>
    <s v="SI"/>
    <s v="NO"/>
    <s v="NICOLAS GOMEZ "/>
    <s v="WLADIMIR CALDERON"/>
  </r>
  <r>
    <n v="2022"/>
    <s v="AGOSTO"/>
    <s v="EL PAICO"/>
    <s v="VERA"/>
    <s v="ARNALDO"/>
    <s v="MASCULINO"/>
    <s v="14046525-9"/>
    <d v="2003-02-11T00:00:00"/>
    <n v="233"/>
    <d v="2022-07-31T00:00:00"/>
    <s v="ANTIGUO"/>
    <m/>
    <m/>
    <m/>
    <n v="0"/>
    <s v="STP"/>
    <m/>
    <m/>
    <x v="0"/>
    <x v="41"/>
    <s v="OPERARIO"/>
    <s v="AUTOMATICO"/>
    <s v="BUJE AGRIPADO"/>
    <s v="MAÑANA"/>
    <d v="1899-12-30T10:45:00"/>
    <s v="DOMINGO"/>
    <s v="SEMANO 30"/>
    <m/>
    <s v="NC-82-22"/>
    <s v="DANIEL GARRIDO"/>
    <x v="13"/>
    <n v="41"/>
    <x v="7"/>
    <s v="Rostro"/>
    <s v="Herida cortante"/>
    <s v="Golpeado por"/>
    <s v="TRABAJADOR SE ENCONTRABA CAMBIADO BUJES DE MOTOR EN SALA DE TROZADO AUTOMATICO, EL TRABAJADOR AFECTADO JUNTO A UN COMPAÑERO COMIENZAN A GOLPEAR LOS BUJES YA QUE SE ENCONTRABAN AGRIPADOS POR ENDE MUY APRETADOS, MIENTRAS REALIZABAN ESA MANIOBRA UNA LLAVE QUE SE ENCONTRABA SUJEANDO LOS BUJES MIENTRAS LOS GOLPEABAN SE SOLTO GOLPEANDO SU CEJA DERECHA PRODUCIENDO UNA HERIDA CORTANTE. "/>
    <s v="ACCION"/>
    <s v="NO"/>
    <s v="SI"/>
    <s v="NICOLAS GOMEZ "/>
    <s v="MICHEL SANCHEZ"/>
  </r>
  <r>
    <n v="2022"/>
    <s v="AGOSTO"/>
    <s v="EL PAICO"/>
    <s v=" BLANC"/>
    <s v="MIKERSON"/>
    <s v="MASCULINO"/>
    <s v=" 26233294-2"/>
    <d v="2022-01-24T00:00:00"/>
    <n v="6"/>
    <d v="2022-08-02T00:00:00"/>
    <s v="NUEVO"/>
    <m/>
    <m/>
    <m/>
    <n v="0"/>
    <s v="STP"/>
    <m/>
    <m/>
    <x v="0"/>
    <x v="41"/>
    <s v="OPERARIO"/>
    <s v="AUTOMATICO"/>
    <s v="N/A"/>
    <s v="NOCHE"/>
    <d v="1899-12-30T22:04:00"/>
    <s v="MARTES"/>
    <s v="SEMANA 31"/>
    <m/>
    <m/>
    <s v="DANIEL GARRIDO"/>
    <x v="0"/>
    <n v="28"/>
    <x v="14"/>
    <s v="Manos / dedos"/>
    <s v="Herida cortante"/>
    <s v="Contacto con cuerpo cortante"/>
    <s v=" TRABAJADOR AL ESTAR ACOMODANDO PRODUCTO EN EL BINS SUFRE UNA HERIDA CORTANTE EN SU DEDO PULGAR IZQUIERDO CON UNA TAPA METÁLICA "/>
    <s v="ACCION"/>
    <s v="SI"/>
    <s v="NO"/>
    <s v="NICOLAS GOMEZ "/>
    <s v="WLADIMIR CALDERON"/>
  </r>
  <r>
    <n v="2022"/>
    <s v="AGOSTO"/>
    <s v="EL PAICO"/>
    <s v="JARA PINTO "/>
    <s v="JUAN ANGEL "/>
    <s v="MASCULINO"/>
    <s v=" 8574412-7"/>
    <d v="2005-07-20T00:00:00"/>
    <n v="204"/>
    <d v="2022-08-05T00:00:00"/>
    <s v="ANTIGUO"/>
    <m/>
    <m/>
    <m/>
    <s v=" "/>
    <s v="CTP"/>
    <m/>
    <m/>
    <x v="0"/>
    <x v="4"/>
    <s v="OPERARIO"/>
    <s v="DESHUEZADO"/>
    <s v="HQ"/>
    <m/>
    <m/>
    <s v="VIERNES"/>
    <s v="SEMANA 31"/>
    <m/>
    <s v="NC-83-22"/>
    <s v="DANIEL GARRIDO"/>
    <x v="31"/>
    <n v="62"/>
    <x v="4"/>
    <s v="Manos / dedos"/>
    <s v="Herida cortante"/>
    <s v="Contacto con cuerpo cortante"/>
    <s v=" TRABAJADOR AL ESTAR RECOGIENDO PRODUCTO, PIERDE EL EQUILIBRIO Y SE AFIRMA DE BANDEJA METÁLICA, QUE ESTABA ROTA Y SE PRODUCE UN CORTE PROFUNDO EN SU MANO"/>
    <s v="CONDICION"/>
    <s v="SI"/>
    <s v="SI"/>
    <s v="NICOLAS GOMEZ "/>
    <s v="MICHEL SANCHEZ"/>
  </r>
  <r>
    <n v="2022"/>
    <s v="AGOSTO"/>
    <s v="EL PAICO"/>
    <s v="MIRANDA MEDINA"/>
    <s v="ANDRES"/>
    <s v="MASCULINO"/>
    <s v="9125540-5"/>
    <d v="2022-05-23T00:00:00"/>
    <n v="3"/>
    <d v="2022-08-26T00:00:00"/>
    <s v="NUEVO"/>
    <d v="2022-08-29T00:00:00"/>
    <m/>
    <m/>
    <s v=" "/>
    <s v="CTP"/>
    <m/>
    <m/>
    <x v="4"/>
    <x v="5"/>
    <s v="OPERARIO"/>
    <s v="CALIBRADO"/>
    <s v="N/A"/>
    <s v="TARDE"/>
    <d v="1899-12-30T23:25:00"/>
    <s v="VIERNES"/>
    <s v="SEMANA 34"/>
    <m/>
    <s v="NC-91-22"/>
    <s v="GUILLERMO NARVAEZ"/>
    <x v="6"/>
    <n v="44"/>
    <x v="14"/>
    <s v="Pierna"/>
    <s v="Fractura"/>
    <s v="Caida de mismo nivel"/>
    <s v="TRABAJADOR SE ENCONTRABA TRASLADANDO PRODUCTO Y TROPIEZA CON BOLSA QUE SE RESBALA CON BOLSA QUE SE ENCONTRABA EN EL SUELO."/>
    <s v="CONDICION"/>
    <s v="SI"/>
    <s v="SI"/>
    <s v="NICOLAS GOMEZ "/>
    <s v="WLADIMIR CALDERON"/>
  </r>
  <r>
    <n v="2022"/>
    <s v="AGOSTO"/>
    <s v="EL PAICO"/>
    <s v="SEPULVEDA SOTO"/>
    <s v="NELLY"/>
    <s v="FEMENINO"/>
    <s v="9455533-7"/>
    <d v="2019-12-09T00:00:00"/>
    <n v="32"/>
    <d v="2022-08-26T00:00:00"/>
    <s v="INTERMEDIO"/>
    <d v="2022-08-26T00:00:00"/>
    <m/>
    <m/>
    <s v=" "/>
    <s v="CTP"/>
    <m/>
    <m/>
    <x v="1"/>
    <x v="30"/>
    <s v="OPERARIO"/>
    <s v="RECEPCION AVE VIVA, PAVO"/>
    <s v="N/A"/>
    <s v="MAÑANA"/>
    <d v="1899-12-30T09:55:00"/>
    <s v="VIERNES"/>
    <s v="SEMANA 34"/>
    <m/>
    <s v="NC-92-22"/>
    <s v="CARLOS JIMENEZ"/>
    <x v="38"/>
    <n v="57"/>
    <x v="14"/>
    <s v="Brazo"/>
    <s v="Fractura"/>
    <s v="Caida de distinto nivel"/>
    <s v="TRABAJADORA ESTABA ESPERANDO A SU COMPAÑERA EN LA RECPECION DE AVE VIVA, PAVO, AL GIRAR POR EL ANDEN NO SE FIJA EN DESNIVEL PISANDO EN FALSO LO QUE PRODUJO LA CAIDA OLPENADO SU BRAZO DERECHO Y COSTADO DERECHO CON LATA GUIA"/>
    <s v="ACCION"/>
    <s v="NO"/>
    <s v="SI"/>
    <s v="NICOLAS GOMEZ "/>
    <s v="WLADIMIR CALDERON"/>
  </r>
  <r>
    <n v="2022"/>
    <s v="SEPTIEMBRE"/>
    <s v="EL PAICO"/>
    <s v="SANTIS"/>
    <s v="GONZALO"/>
    <s v="MASCULINO"/>
    <s v="20137874-5"/>
    <d v="2022-03-03T00:00:00"/>
    <n v="5"/>
    <d v="2022-09-01T00:00:00"/>
    <s v="NUEVO"/>
    <d v="2022-09-01T00:00:00"/>
    <s v="01-092022"/>
    <m/>
    <n v="0"/>
    <s v="STP"/>
    <m/>
    <m/>
    <x v="2"/>
    <x v="39"/>
    <s v="OPERARIO"/>
    <s v="COLGADO DE POLLO"/>
    <s v="N/A"/>
    <s v="MAÑANA"/>
    <d v="1899-12-30T05:45:00"/>
    <s v="JUEVES"/>
    <s v="SEMANA 35"/>
    <m/>
    <s v="NC-111-22"/>
    <s v="NICOLAS MOYANO"/>
    <x v="16"/>
    <n v="22"/>
    <x v="0"/>
    <s v="Manos / dedos"/>
    <s v="Otros"/>
    <s v="Otros"/>
    <s v="TRABAJADOR SE ENCONTRABA EN LINEA DE DESAPILADO DE JABAS Y REFIERE HABERSE EGANCHADO SU DEDO VIENDOSE AFECTADA SU UÑA EN DEDO INDICE DE MANO DERECHA"/>
    <s v="ACCION"/>
    <s v="SI"/>
    <s v="SI"/>
    <s v="NICOLAS GOMEZ "/>
    <s v="WLADIMIR CALDERON"/>
  </r>
  <r>
    <n v="2022"/>
    <s v="SEPTIEMBRE"/>
    <s v="EL PAICO"/>
    <s v="TORO CANIULAO"/>
    <s v="JUAN"/>
    <s v="MASCULINO"/>
    <s v=" 20464275-3"/>
    <d v="2020-06-16T00:00:00"/>
    <n v="26"/>
    <d v="2022-09-07T00:00:00"/>
    <s v="INTERMEDIO"/>
    <d v="2022-09-07T00:00:00"/>
    <m/>
    <m/>
    <s v=" "/>
    <s v="CTP"/>
    <s v="LGF"/>
    <s v="LGF 2-LGF 7"/>
    <x v="4"/>
    <x v="38"/>
    <s v="OPERARIO"/>
    <s v="INYECTORA IQF 4"/>
    <s v="LINEA IQF (CINTAS, CONGELADORES, INYECTORAS)"/>
    <s v="TARDE"/>
    <s v="18-40"/>
    <s v="MIERCOLES"/>
    <s v="SEMANA 36"/>
    <m/>
    <s v="NC-94-22"/>
    <s v="GUILLERMO NARVAEZ"/>
    <x v="8"/>
    <n v="22"/>
    <x v="7"/>
    <s v="Brazo"/>
    <s v="Atrición"/>
    <s v="Atrapamiento"/>
    <s v="TRABAJADOR SE ENCONTRABA OPERANO MAQUINA INYECTORA DE IQF 4, AL VER ACUMULACION DE PRODUCTO EL TRABAJADOR DECIDE ABRIR LAS PUERTAS DE LA INYECTORA PARA RETIRAR EL PRODUCTO SIN HABER DETENIDO LA MAQUINA, EN ESE MOMENTO EL TRABAJADOR SUFRE ATRICCION DE SU DEDO INDICE, AFECTANDO SU FALANJE DISTAL SUPERIOR DERECHA. "/>
    <s v="ACCION"/>
    <s v="SI"/>
    <s v="SI"/>
    <s v="NICOLAS GOMEZ "/>
    <s v="WLADIMIR CALDERON"/>
  </r>
  <r>
    <n v="2022"/>
    <s v="SEPTIEMBRE"/>
    <s v="EL PAICO"/>
    <s v="ARAYA MOYANO"/>
    <s v="MARIA INES"/>
    <s v="FEMENINO"/>
    <s v="10999607-6"/>
    <d v="2014-11-10T00:00:00"/>
    <n v="93"/>
    <d v="2022-09-09T00:00:00"/>
    <s v="ANTIGUO"/>
    <d v="2022-09-12T00:00:00"/>
    <d v="2022-09-13T00:00:00"/>
    <m/>
    <n v="4"/>
    <s v="CTP"/>
    <s v="LGF"/>
    <s v="LGF 8"/>
    <x v="1"/>
    <x v="42"/>
    <s v="OPERARIO"/>
    <s v="CHILLER DE AIRE"/>
    <s v="MANGUERA MEZCLADOR"/>
    <s v="NOCHE"/>
    <d v="1899-12-30T03:30:00"/>
    <s v="VIERNES"/>
    <s v="SEMANA 36"/>
    <m/>
    <s v="NC-99-22"/>
    <s v="CARLOS JIMENEZ"/>
    <x v="14"/>
    <n v="56"/>
    <x v="14"/>
    <s v="Tronco"/>
    <s v="Contusión"/>
    <s v="Golpeado por"/>
    <s v="TRABAJADORA SE ENCONTRABA ENSEÑANDOLE A UN COMPAÑERO DE TRABAJO A REALIZAR EL ASEO PR OPERACIONAL EN SECTOR CHILLER DE AGUA, AL MOMENTO QUE SE CORTA EL AGUA DEL MEZCLADRO Y SE CORTA EL AGUA, SALIO VAPOR DE LA MANGUERA EXPLOTANDO O GOLPEANDO EL PECHO DE LA COLABORADORA."/>
    <s v="CONDICION"/>
    <s v="SI"/>
    <s v="SI"/>
    <s v="NICOLAS GOMEZ "/>
    <s v="GABRIELA CABEZAS"/>
  </r>
  <r>
    <n v="2022"/>
    <s v="SEPTIEMBRE"/>
    <s v="EL PAICO"/>
    <s v="JOSEPH"/>
    <s v="NATALIE"/>
    <s v="FEMENINO"/>
    <s v="27024170-0"/>
    <d v="2021-12-21T00:00:00"/>
    <n v="8"/>
    <d v="2022-09-10T00:00:00"/>
    <s v="NUEVO"/>
    <s v="10-09-2022"/>
    <s v="11-09-2022"/>
    <m/>
    <s v=" "/>
    <s v="STP"/>
    <m/>
    <m/>
    <x v="4"/>
    <x v="5"/>
    <s v="OPERARIO"/>
    <s v="CALIBRADO"/>
    <s v="N/A"/>
    <s v="MAÑANA"/>
    <d v="1899-12-30T09:30:00"/>
    <s v="SABADO"/>
    <s v="SEMANA 36"/>
    <m/>
    <m/>
    <s v="GUILLERMO NARVAEZ"/>
    <x v="15"/>
    <n v="29"/>
    <x v="10"/>
    <s v="Cabeza"/>
    <s v="Contusión"/>
    <s v="Golpeado por"/>
    <s v="TRABAJADORA SE ENCONTRABA EN EMBOLSADORA, AL PRESIONAR CON EL PIE PARA QUE LA BOLSA DE ABRA Y PUDIESE CAER PRODUCTO GONGELADO ESTE CAE GOLPEANDO ZONA FRONTAL IZQUIERDA DE LA CABEZA"/>
    <s v="ACCION"/>
    <s v="SI"/>
    <s v="NO"/>
    <s v="NICOLAS GOMEZ "/>
    <s v="MICHEL SANCHEZ"/>
  </r>
  <r>
    <n v="2022"/>
    <s v="SEPTIEMBRE"/>
    <s v="EL PAICO"/>
    <s v="GONZALEZ VERGARA"/>
    <s v="VALESKA"/>
    <s v="FEMENINO"/>
    <s v="21168581-6"/>
    <d v="2022-06-14T00:00:00"/>
    <n v="2"/>
    <d v="2022-09-13T00:00:00"/>
    <s v="NUEVO"/>
    <d v="2022-09-13T00:00:00"/>
    <d v="2022-09-13T00:00:00"/>
    <m/>
    <s v=" "/>
    <s v="STP"/>
    <m/>
    <m/>
    <x v="4"/>
    <x v="5"/>
    <s v="OPERARIO"/>
    <s v="CALIBRADO"/>
    <s v="N/A"/>
    <s v="TARDE"/>
    <d v="1899-12-30T23:46:00"/>
    <s v="MARTES"/>
    <s v="SEMANA 37"/>
    <m/>
    <m/>
    <s v="GUILLERMO NARVAEZ"/>
    <x v="15"/>
    <n v="19"/>
    <x v="10"/>
    <s v="Tronco"/>
    <s v="Contusión"/>
    <s v="Golpeado por"/>
    <s v="TRABAJADORA SE ENCONTRABA EN EMBOLSADORA, AL PRESIONAR CON EL PIE PARA QUE LA MAQUINA SE DETUVIESE SE PROYECTA PRODUCTO CONGELADO GOLPENADO SU TORAX"/>
    <s v="ACCION"/>
    <s v="SI"/>
    <s v="NO"/>
    <s v="NICOLAS GOMEZ "/>
    <s v="CRISTIAN JHON"/>
  </r>
  <r>
    <n v="2022"/>
    <s v="SEPTIEMBRE"/>
    <s v="EL PAICO"/>
    <s v="NAVARRETE CARDENAS"/>
    <s v="CATALINA DEL PILAR"/>
    <s v="FEMENINO"/>
    <s v="14621196-3"/>
    <d v="2020-01-06T00:00:00"/>
    <n v="32"/>
    <d v="2022-09-21T00:00:00"/>
    <s v="INTERMEDIO"/>
    <d v="2022-09-22T00:00:00"/>
    <d v="2022-09-22T00:00:00"/>
    <m/>
    <s v=" "/>
    <s v="STP"/>
    <m/>
    <m/>
    <x v="0"/>
    <x v="4"/>
    <s v="OPERARIO"/>
    <s v="DESHUEZADO"/>
    <s v="N/A"/>
    <s v="TARDE"/>
    <d v="1899-12-30T19:00:00"/>
    <s v="MIERCOLES"/>
    <s v="SEMANA 38"/>
    <m/>
    <s v="NC-100-22"/>
    <s v="DANIEL GARRIDO"/>
    <x v="31"/>
    <n v="41"/>
    <x v="0"/>
    <s v="Manos / dedos"/>
    <s v="Torsión"/>
    <s v="Atrapamiento"/>
    <s v="TRABAJADORA SE ENCONTRA DESEMPEÑANDOSE EN DESHUEZADO, AL MOMENTO DE IR A VACIAR LA BANDEJA CON PRODUCTO SE ENREDO SU DEDO ANULAR PRODUCTO DEL GUANTE Y LA BANDEJA LO QUE PRODUJO UNA TOSION EN LA PARTE MENCIONADA"/>
    <s v="ACCION"/>
    <s v="SI"/>
    <s v="SI"/>
    <s v="NICOLAS GOMEZ "/>
    <s v="MICHEL SANCHEZ"/>
  </r>
  <r>
    <n v="2022"/>
    <s v="SEPTIEMBRE"/>
    <s v="EL PAICO"/>
    <s v="FEBRES PEREZ"/>
    <s v="EUGENIO ANDRES"/>
    <s v="MASCULINO"/>
    <s v="15097360-0"/>
    <d v="2006-08-01T00:00:00"/>
    <n v="193"/>
    <d v="2022-09-21T00:00:00"/>
    <s v="ANTIGUO"/>
    <s v="21-09-2022"/>
    <s v="21-09-2022"/>
    <m/>
    <s v=" "/>
    <s v="STP"/>
    <s v="LGF"/>
    <s v="LGF 4 "/>
    <x v="4"/>
    <x v="38"/>
    <s v="OPERARIO"/>
    <s v="IQF"/>
    <s v="EQUIPO PARA MOVIMIENTO DE CARGA (GRUAS O TRANSPALETAS)"/>
    <s v="MAÑANA"/>
    <d v="1899-12-30T14:05:00"/>
    <s v="MIERCOLES"/>
    <s v="SEMANA 38"/>
    <m/>
    <m/>
    <s v="GUILLERMO NARVAEZ"/>
    <x v="30"/>
    <n v="42"/>
    <x v="7"/>
    <s v="Pie"/>
    <s v="Contusión"/>
    <s v="Golpeado por"/>
    <s v="TRABAJADOR SE ENCONTRABA CARGADO PRODUCTO AL MONTACARGA AL PERCATARSE QUE VENIA UNA EQUIPO PARA MOVIMIENTO DE CARGA (GRUAS O TRANSPALETAS) SE HACE A UN LADO, EL OPERARIO DE ESTA TRASPALETA PIERDE EL CONTROL Y GOPEA LA TRASPALETA QUE SE ENCONTRABA A UN COSTADO DEL TRABAJADOR, ESTA TERMINA GOLPEANDO SU PIERNA DERECHA"/>
    <s v="ACCION"/>
    <s v="SI"/>
    <s v="NO"/>
    <s v="NICOLAS GOMEZ "/>
    <s v="CRISTIAN JHON"/>
  </r>
  <r>
    <n v="2022"/>
    <s v="SEPTIEMBRE"/>
    <s v="EL PAICO"/>
    <s v="AHUMADA MARTINEZ"/>
    <s v="FERNANDO"/>
    <s v="MASCULINO"/>
    <s v="62127724-4"/>
    <d v="2014-04-28T00:00:00"/>
    <n v="100"/>
    <d v="2022-09-21T00:00:00"/>
    <s v="ANTIGUO"/>
    <s v="21-09-2022"/>
    <s v="21-09-2022"/>
    <m/>
    <s v=" "/>
    <s v="STP"/>
    <m/>
    <m/>
    <x v="1"/>
    <x v="1"/>
    <s v="OPERARIO"/>
    <s v="PASILLO SAG"/>
    <s v="N/A"/>
    <s v="TARDE"/>
    <d v="1899-12-30T17:05:00"/>
    <s v="MIERCOLES"/>
    <s v="SEMANA 38"/>
    <m/>
    <m/>
    <s v="CARLOS JIMENEZ"/>
    <x v="1"/>
    <n v="69"/>
    <x v="14"/>
    <s v="Espalda"/>
    <s v="Otros"/>
    <s v="Caida de mismo nivel"/>
    <s v="TRABAJADOR SE ENCONTRABA TRANSITANDO POR PASILLO SAG CUANDO SE LE CAEN LOS AUDIFONOS Y AL QUERER RECOGERLOS LOS PISA CAYENDO DE ESPALDA GOLPEANDOSE LA ESPALDA ."/>
    <s v="ACCION"/>
    <s v="NO"/>
    <s v="NO"/>
    <s v="NICOLAS GOMEZ "/>
    <s v="CRISTIAN JHON"/>
  </r>
  <r>
    <n v="2022"/>
    <s v="OCTUBRE"/>
    <s v="EL PAICO"/>
    <s v="RICHARD CHARLES"/>
    <s v="JOHN"/>
    <s v="MASCULINO"/>
    <s v="26235243-9"/>
    <d v="2018-08-20T00:00:00"/>
    <n v="49"/>
    <d v="2022-10-04T00:00:00"/>
    <s v="ANTIGUO"/>
    <d v="2022-10-04T00:00:00"/>
    <d v="2022-10-05T00:00:00"/>
    <m/>
    <s v=" "/>
    <s v="CTP"/>
    <s v="LGF"/>
    <m/>
    <x v="2"/>
    <x v="32"/>
    <s v="OPERARIO"/>
    <s v="EVISCERADO"/>
    <s v="VENTILADOR"/>
    <s v="TARDE"/>
    <d v="1899-12-30T15:50:00"/>
    <s v="MARTES"/>
    <s v="SEMANA 40"/>
    <m/>
    <s v="NC-104-22"/>
    <s v="NICOLAS MOYANO"/>
    <x v="29"/>
    <n v="27"/>
    <x v="7"/>
    <s v="Manos / dedos"/>
    <s v="Herida cortante"/>
    <s v="Contacto con cuerpo cortante"/>
    <s v="TRABAJADOR SE ENCONTRABA ACOMODANDO UNA BOLSA QUE HABIA SIDO INSTALADA EN UN VENTILADOR FUNCIONANDO, ESTO SE HACIA YA QUE LOS VENTILADORES DE LA SALA NO CONTABAN CON INSTERRUPTORES INDEPENDIENTES AL MOMENTO DE ACOMODAR LA BOLSA  EL TRABAJAOR INTRODUCE SUS DEDOS POR UN ESPACIO ENTRE LA REJILLA, EN ESE MOMENTO LAS ASPAS ATRAPAN SU MANO Y CORTAN SU DEDO MEDIO Y ANULAR"/>
    <s v="ACCION"/>
    <s v="NO"/>
    <s v="SI"/>
    <s v="NICOLAS GOMEZ "/>
    <s v="MICHEL SANCHEZ"/>
  </r>
  <r>
    <n v="2022"/>
    <s v="OCTUBRE"/>
    <s v="EL PAICO"/>
    <s v="ORTEGA ESPINOZA"/>
    <s v="DANIELA CAROLINA"/>
    <s v="FEMENINO"/>
    <s v="19411324-2"/>
    <d v="2020-02-03T00:00:00"/>
    <n v="32"/>
    <d v="2022-10-06T00:00:00"/>
    <s v="INTERMEDIO"/>
    <s v="12-10-2022"/>
    <s v="13-10-2022"/>
    <m/>
    <m/>
    <s v="STP"/>
    <m/>
    <m/>
    <x v="2"/>
    <x v="43"/>
    <s v="OPERARIO"/>
    <s v="DESHUESADO"/>
    <s v="N/A"/>
    <s v="TARDE"/>
    <d v="1899-12-30T22:00:00"/>
    <s v="MARTES"/>
    <s v="SEMANA 41"/>
    <m/>
    <m/>
    <s v="NICOLAS MOYANO"/>
    <x v="31"/>
    <n v="32"/>
    <x v="14"/>
    <s v="Pierna"/>
    <s v="Contusión"/>
    <s v="Golpeado por"/>
    <s v="CONSULTA POR MOLESTIA EN REGION LATERAL DE PIERNA DERECHA PRODUCTO DE CONTUSION DEL DIA 06/10"/>
    <s v="CONDICION"/>
    <s v="SI"/>
    <s v="NO"/>
    <s v="NICOLAS GOMEZ "/>
    <m/>
  </r>
  <r>
    <n v="2022"/>
    <s v="OCTUBRE"/>
    <s v="EL PAICO"/>
    <s v="SAGREDO FROST"/>
    <s v="CARLOS"/>
    <s v="MASCULINO"/>
    <s v="18598241-6"/>
    <d v="2013-05-02T00:00:00"/>
    <n v="113"/>
    <d v="2022-10-07T00:00:00"/>
    <s v="ANTIGUO"/>
    <d v="2022-10-07T00:00:00"/>
    <d v="2022-10-07T00:00:00"/>
    <m/>
    <s v=" "/>
    <s v="STP"/>
    <m/>
    <m/>
    <x v="6"/>
    <x v="33"/>
    <s v="OPERARIO"/>
    <s v="ESTACIONAMIENTO"/>
    <s v="N/A"/>
    <s v="MAÑANA"/>
    <d v="1899-12-30T05:24:00"/>
    <s v="VIERNES"/>
    <s v="SEMANA 40"/>
    <m/>
    <s v="NC-112-22"/>
    <s v="FRANCISCO QUEZADA"/>
    <x v="37"/>
    <n v="29"/>
    <x v="14"/>
    <s v="Pie"/>
    <s v="Torsión"/>
    <s v="Caida de distinto nivel"/>
    <s v="TRABAJADOR ESTABA BAJANDO DE TRANSPORTE DE LA PLANTA, AL PISAR, ESTE PISA MAL Y SE TUERCE EL PIE DERECHO A NIVEL DEL TOBILLO"/>
    <s v="ACCION"/>
    <s v="NO"/>
    <s v="SI"/>
    <s v="NICOLAS GOMEZ "/>
    <s v="GABRIELA CABEZAS"/>
  </r>
  <r>
    <n v="2022"/>
    <s v="OCTUBRE"/>
    <s v="EL PAICO"/>
    <s v="SANTIS RAMIREZ"/>
    <s v="JANIS"/>
    <s v="FEMENINO"/>
    <s v="19858836-9"/>
    <d v="2021-05-10T00:00:00"/>
    <n v="17"/>
    <d v="2022-10-14T00:00:00"/>
    <s v="NUEVO"/>
    <d v="2022-10-14T00:00:00"/>
    <s v="14-10-2022"/>
    <m/>
    <s v=" "/>
    <s v="CTP"/>
    <m/>
    <m/>
    <x v="0"/>
    <x v="4"/>
    <s v="OPERARIO"/>
    <s v="SALA DE PROCEDIEMIENTOS"/>
    <s v="N/A"/>
    <s v="TARDE"/>
    <d v="1899-12-30T18:45:00"/>
    <s v="VIERNES"/>
    <s v="SEMANA 41"/>
    <m/>
    <s v="N° 115-22"/>
    <s v="DANIEL GARRIDO"/>
    <x v="0"/>
    <n v="24"/>
    <x v="14"/>
    <s v="Ojos"/>
    <s v="Contusión"/>
    <s v="Golpeado por"/>
    <s v="TRABAJADOR AL MOMENTO DE RECOGER UN PRODUCTO DEL SUELO EN SALA DE PROCEDIMIENTOS (LINEA ISHIDA) CAE UN PRODUCTO DE LA LINEA EN LA CARA, ESPECIFICAMENTE EN EL OJO IZQUERDO, EL CUAL PRODUJO UNA IRRITACION E INCHAZON EN LA ZONA AFECTADA."/>
    <s v="CONDICION"/>
    <s v="SI"/>
    <s v="SI"/>
    <s v="ALAN CARRASCO"/>
    <s v="GABRIELA CABEZAS"/>
  </r>
  <r>
    <n v="2022"/>
    <s v="OCTUBRE"/>
    <s v="EL PAICO"/>
    <s v="BRAVO OSORIO"/>
    <s v="DAMARIS"/>
    <s v="FEMENINO"/>
    <s v=" 18834922-6"/>
    <d v="2022-08-08T00:00:00"/>
    <n v="2"/>
    <d v="2022-10-17T00:00:00"/>
    <s v="NUEVO"/>
    <s v="17-10-2022"/>
    <d v="2022-10-17T00:00:00"/>
    <m/>
    <s v=" "/>
    <s v="STP"/>
    <s v="LGF"/>
    <s v="LGF 2-LGF 7"/>
    <x v="4"/>
    <x v="5"/>
    <s v="OPERARIO"/>
    <s v="LINEA ENZUNCHADORA MOSCA"/>
    <s v="LINEA ENZUNCHADORA MOSCA"/>
    <s v="TARDE"/>
    <d v="1899-12-30T18:15:00"/>
    <s v="LUNES"/>
    <s v="SEMANA 42"/>
    <m/>
    <m/>
    <s v="GUILLERMO NARVAEZ"/>
    <x v="6"/>
    <n v="28"/>
    <x v="7"/>
    <s v="Manos / dedos"/>
    <s v="Atrición"/>
    <s v="Atrapamiento"/>
    <s v="Trabajadora sufra atrición en línea de alimentación pacmac, su trabajo consta de traspasar manualmente las cajas desde la línea de alimentación hacia la línea de enzunchadora, en ese momento la trabajadora introduce dedo medio superior izquierdo de manera involuntaria en el espacio existente entre la línea y la estructura de la cinta produciéndole corte en parte del cuerpo mencionada. "/>
    <s v="ACCION"/>
    <s v="SI"/>
    <s v="NO"/>
    <s v="NICOLAS GOMEZ "/>
    <s v="WLADIMIR CALDERON"/>
  </r>
  <r>
    <n v="2022"/>
    <s v="OCTUBRE"/>
    <s v="EL PAICO"/>
    <s v="BENJAMIN CHARLOTIN"/>
    <s v="MANITHE"/>
    <s v="FEMENINO"/>
    <s v="26361757-6"/>
    <d v="2022-01-06T00:00:00"/>
    <n v="9"/>
    <d v="2022-10-17T00:00:00"/>
    <s v="NUEVO"/>
    <d v="2022-10-18T00:00:00"/>
    <m/>
    <m/>
    <m/>
    <s v="CTP"/>
    <m/>
    <m/>
    <x v="1"/>
    <x v="44"/>
    <s v="OPERARIO"/>
    <s v="T. AUTOMATICO"/>
    <s v="EQUIPO PARA MOVIMIENTO DE CARGA (GRUAS O TRANSPALETAS)"/>
    <s v="NOCHE"/>
    <d v="1899-12-30T22:45:00"/>
    <s v="LUNES"/>
    <s v="SEMANA 42"/>
    <m/>
    <s v="N° 121-22"/>
    <s v="CARLOS JIMENEZ"/>
    <x v="39"/>
    <n v="46"/>
    <x v="7"/>
    <s v="Espalda"/>
    <s v="Contusión"/>
    <s v="Golpeado por"/>
    <s v="AL ESTAR HACIENDO ASEO ES GOLPEADA CON UNA TRASPALETA CON BANDEJAS "/>
    <s v="CONDICION"/>
    <s v="SI"/>
    <s v="SI"/>
    <s v="NICOLAS GOMEZ "/>
    <s v="WLADIMIR CALDERON"/>
  </r>
  <r>
    <n v="2022"/>
    <s v="OCTUBRE"/>
    <s v="EL PAICO"/>
    <s v="CALDERON"/>
    <s v="JAIME"/>
    <s v="FEMENINO"/>
    <s v="13558440-1"/>
    <d v="2002-04-17T00:00:00"/>
    <n v="246"/>
    <d v="2022-10-18T00:00:00"/>
    <s v="ANTIGUO"/>
    <m/>
    <m/>
    <m/>
    <m/>
    <s v="STP"/>
    <m/>
    <m/>
    <x v="0"/>
    <x v="41"/>
    <s v="OPERARIO"/>
    <s v="T.AUTOMATICO"/>
    <s v="GANCHOS DE COLGADO"/>
    <s v="TARDE"/>
    <d v="1899-12-30T21:30:00"/>
    <s v="MARTES"/>
    <s v="SEMANA 42"/>
    <m/>
    <m/>
    <s v="DANIEL GARRIDO"/>
    <x v="13"/>
    <n v="43"/>
    <x v="0"/>
    <s v="Brazo"/>
    <s v="Contusión"/>
    <s v="Golpeado por"/>
    <s v="TRABAJADOR REFIERE GOLPE EN HOMBRE PRODUCTO DE LA CAIDA DE UN GANCHO AL SACAR UN BINS EN SALA DE TROZADO UTOMATICO."/>
    <s v="CONDICION"/>
    <s v="SI"/>
    <s v="NO"/>
    <s v="NICOLAS GOMEZ"/>
    <s v="GABRIELA CABEZAS"/>
  </r>
  <r>
    <n v="2022"/>
    <s v="OCTUBRE"/>
    <s v="EL PAICO "/>
    <s v="CHARLES"/>
    <s v="OLY"/>
    <s v="MASCULINO"/>
    <s v="25968215-0"/>
    <d v="2021-08-11T00:00:00"/>
    <n v="14"/>
    <d v="2022-10-18T00:00:00"/>
    <s v="NUEVO"/>
    <m/>
    <m/>
    <m/>
    <m/>
    <s v="STP"/>
    <m/>
    <m/>
    <x v="0"/>
    <x v="41"/>
    <s v="OPERARIO"/>
    <s v="T.AUTOMATICO"/>
    <s v="N/A"/>
    <s v="TARDE"/>
    <d v="1899-12-30T17:00:00"/>
    <s v="MARTES"/>
    <s v="SEMANA 42"/>
    <m/>
    <m/>
    <s v="DANIEL GARRIDO"/>
    <x v="13"/>
    <n v="50"/>
    <x v="10"/>
    <s v="Ojos"/>
    <s v="Otros"/>
    <s v="Proyeccion de particulas"/>
    <s v="EL TRABAJADOR SE ENCONTRABA MANIPULANDO PRODUCTO EN LA LINEA DE AUTOMATICO, PRODUCTO DEL COLGADO Y TROZADO EN LINEAS AREAS LE CAE LIQUIDO EN LOS OJOS"/>
    <s v="CONDICION"/>
    <s v="SI"/>
    <s v="NO"/>
    <s v="NICOLAS GOMEZ"/>
    <s v="GABRIELA CABEZAS"/>
  </r>
  <r>
    <n v="2022"/>
    <s v="OCTUBRE"/>
    <s v="EL PAICO"/>
    <s v="PEREZ AGUIRRE"/>
    <s v="CHRISTOPHER "/>
    <s v="MASCULINO"/>
    <s v="18079969-9"/>
    <d v="2020-11-09T00:00:00"/>
    <n v="23"/>
    <d v="2022-10-20T00:00:00"/>
    <s v="INTERMEDIO"/>
    <m/>
    <m/>
    <m/>
    <m/>
    <s v="CTP"/>
    <m/>
    <m/>
    <x v="0"/>
    <x v="41"/>
    <s v="OPERARIO"/>
    <s v="MULTICANCHA"/>
    <s v="N/A"/>
    <s v="TARDE"/>
    <d v="1899-12-30T16:45:00"/>
    <s v="JUEVES"/>
    <s v="SEMANA 42"/>
    <m/>
    <s v="N° 122-22"/>
    <s v="DANIEL GARRIDO"/>
    <x v="0"/>
    <n v="30"/>
    <x v="14"/>
    <s v="Pierna"/>
    <s v="Contusión"/>
    <s v="Golpeado contra"/>
    <s v="TRABAJADOR PRESENTA CONTUSION EN REGION TIBIAL DERECHA POR PATADA EN PARTIDO DE FUTBOL ORGANIZADO POR LA EMPRESA"/>
    <s v="ACCION"/>
    <s v="NO"/>
    <s v="SI"/>
    <s v="NICOLAS GOMEZ"/>
    <s v="MICHEL SANCHEZ"/>
  </r>
  <r>
    <n v="2022"/>
    <s v="OCTUBRE"/>
    <s v="EL PAICO"/>
    <s v="GONZALEZ CABELLO"/>
    <s v="LETICIA"/>
    <s v="FEMENINO"/>
    <s v="17397627-5"/>
    <d v="2017-08-07T00:00:00"/>
    <n v="62"/>
    <d v="2022-10-20T00:00:00"/>
    <s v="ANTIGUO"/>
    <m/>
    <m/>
    <m/>
    <m/>
    <s v="STP"/>
    <m/>
    <m/>
    <x v="1"/>
    <x v="42"/>
    <s v="OPERARIO"/>
    <s v="PULPA"/>
    <s v="N/A"/>
    <s v="NOCHE"/>
    <d v="1899-12-30T03:00:00"/>
    <s v="MIERCOLES"/>
    <s v="SEMANA 42"/>
    <m/>
    <m/>
    <s v="CARLOS JIMENEZ"/>
    <x v="14"/>
    <n v="33"/>
    <x v="0"/>
    <s v="Brazo"/>
    <s v="Contusión"/>
    <s v="Caida de mismo nivel"/>
    <s v="TRABAJADORA REFIERE CAIDA A NIVEL AL LLEVAR UNA MANGUERA LA PSA Y CAE SOBRE LAS BARRERAS DE CONTENSION GONPEANDOSE BRAZO Y MUÑECA DERECHA."/>
    <s v="CONDICION"/>
    <s v="SI"/>
    <s v="NO"/>
    <s v="NICOLAS GOMEZ"/>
    <s v="CRISTIAN JHON"/>
  </r>
  <r>
    <n v="2022"/>
    <s v="OCTUBRE"/>
    <s v="EL PAICO"/>
    <s v="ATABALES MORALES"/>
    <s v="MANUEL"/>
    <s v="MASCULINO"/>
    <s v="15405907-5"/>
    <d v="2022-07-12T00:00:00"/>
    <n v="3"/>
    <d v="2022-10-20T00:00:00"/>
    <s v="NUEVO"/>
    <m/>
    <m/>
    <m/>
    <m/>
    <s v="STP"/>
    <m/>
    <m/>
    <x v="0"/>
    <x v="4"/>
    <s v="OPERARIO"/>
    <s v="PASILLO CAMARA 208"/>
    <s v="N/A"/>
    <s v="TARDE "/>
    <d v="1899-12-30T20:30:00"/>
    <s v="JUEVES"/>
    <s v="SEMANA 42"/>
    <m/>
    <m/>
    <s v="DANIEL GARRIDO"/>
    <x v="31"/>
    <n v="40"/>
    <x v="4"/>
    <s v="Pie"/>
    <s v="Torsión"/>
    <s v="Otros"/>
    <s v="TRABAJADOR SUFRE TORSION DE TOBILLO DERECHO LUGO DE PISAR REJILLA QUE SE ENCONTRABA SUELTA FUERA DE CAMARA 208 AL MOVILIZAR UN BINS "/>
    <s v="CONDICION"/>
    <s v="SI"/>
    <s v="NO"/>
    <s v="NICOLAS GOMEZ"/>
    <s v="MICHEL SANCHEZ"/>
  </r>
  <r>
    <n v="2022"/>
    <s v="OCTUBRE"/>
    <s v="EL PAICO"/>
    <s v="ZUÑIGA"/>
    <s v="DAVID"/>
    <s v="MASCULINO"/>
    <s v="18920912-6"/>
    <d v="2022-09-12T00:00:00"/>
    <n v="1"/>
    <d v="2022-10-22T00:00:00"/>
    <s v="NUEVO"/>
    <d v="2022-10-24T00:00:00"/>
    <d v="2022-10-26T00:00:00"/>
    <m/>
    <n v="3"/>
    <s v="CTP"/>
    <m/>
    <m/>
    <x v="1"/>
    <x v="45"/>
    <s v="OPERARIO"/>
    <s v="ACOPIO DE BANDEJAS"/>
    <s v="N/A"/>
    <s v="TARDE"/>
    <d v="1899-12-30T16:30:00"/>
    <s v="SABADO"/>
    <s v="SEMANA 42"/>
    <m/>
    <s v="N° 123-22 "/>
    <s v="CARLOS JIMENEZ"/>
    <x v="1"/>
    <n v="28"/>
    <x v="0"/>
    <s v="Rostro"/>
    <s v="Herida cortante"/>
    <s v="Golpeado por"/>
    <s v="TRABAJADOR SUFRE HERIDA CORTANTE POR LA CAIDA DE UNA BANDEJA ROTA SOBRE SU CABEZA "/>
    <s v="ACCION"/>
    <s v="SI"/>
    <s v="SI"/>
    <s v="NICOLAS GOMEZ "/>
    <s v="GABRIELA CABEZAS"/>
  </r>
  <r>
    <n v="2022"/>
    <s v="OCTUBRE"/>
    <s v="EL PAICO"/>
    <s v="BRAVO CARBRERO"/>
    <s v="DANIEL "/>
    <s v="MASCULINO"/>
    <s v="7909217-7"/>
    <d v="2005-03-22T00:00:00"/>
    <n v="211"/>
    <d v="2022-10-27T00:00:00"/>
    <s v="ANTIGUO"/>
    <m/>
    <m/>
    <m/>
    <m/>
    <s v="STP"/>
    <m/>
    <m/>
    <x v="1"/>
    <x v="46"/>
    <s v="OPERARIO"/>
    <s v="EVICERADO"/>
    <s v="N/A"/>
    <s v="TARDE"/>
    <d v="1899-12-30T16:45:00"/>
    <s v="JUVES"/>
    <s v="SEMANA 43"/>
    <m/>
    <m/>
    <s v="CARLOS JIMENEZ"/>
    <x v="1"/>
    <n v="65"/>
    <x v="14"/>
    <s v="Espalda"/>
    <s v="Contusión"/>
    <s v="Caida de mismo nivel"/>
    <s v="AL ESTAR HACIENDO ASEO EN EVICERADO, EL TRABAJADOR RESBALA, TENIENDO UNA CONTUSION EN LA ESPALDA"/>
    <s v="CONDICION "/>
    <s v="SI"/>
    <s v="NO"/>
    <s v="ALAN CARRASCO"/>
    <s v="CRISTINA JOHN "/>
  </r>
  <r>
    <n v="2022"/>
    <s v="OCTUBRE"/>
    <s v="EL PAICO"/>
    <s v="MANRRIQUEZ GARCIA"/>
    <s v="JOSEPH"/>
    <s v="MASCULINO"/>
    <s v="20663031-0"/>
    <d v="2019-12-16T00:00:00"/>
    <n v="34"/>
    <d v="2022-10-28T00:00:00"/>
    <s v="INTERMEDIO"/>
    <m/>
    <m/>
    <m/>
    <m/>
    <s v="STP"/>
    <s v="LGF"/>
    <m/>
    <x v="4"/>
    <x v="47"/>
    <s v="OPERARIO"/>
    <s v="PASILLO CAMARA 208"/>
    <s v="EQUIPO PARA MOVIMIENTO DE CARGA (GRUAS O TRANSPALETAS)"/>
    <s v="MAÑANA"/>
    <d v="1899-12-30T05:15:00"/>
    <s v="VIERNES"/>
    <s v="SEMANA 43"/>
    <m/>
    <m/>
    <s v="DANIEL GARRIDO"/>
    <x v="37"/>
    <n v="22"/>
    <x v="15"/>
    <s v="Multiples"/>
    <s v="Contusión"/>
    <s v="Golpeado contra"/>
    <s v="EN PASILLO HACIA CAMARA 208 SE PRODUCE CHOQUE CON EQUIPO PARA MOVIMIENTO DE CARGA (GRUAS O TRANSPALETAS) Y CON LA FUERZA DEL CHOQUE SE GOLPEA CON VARANDA DE LA MQUINA "/>
    <s v="ACCION"/>
    <s v="SI"/>
    <s v="NO"/>
    <s v="NICOLAS GOMEZ"/>
    <s v="Michelle Sanchez "/>
  </r>
  <r>
    <n v="2022"/>
    <s v="NOVIEMBRE"/>
    <s v="EL PAICO"/>
    <s v="CONTANZO CIFUENTES"/>
    <s v="GERARDO"/>
    <s v="MASCULINO"/>
    <s v="9955135-6"/>
    <d v="2022-03-16T00:00:00"/>
    <n v="7"/>
    <d v="2022-11-02T00:00:00"/>
    <s v="NUEVO"/>
    <m/>
    <m/>
    <m/>
    <m/>
    <s v="STP"/>
    <m/>
    <m/>
    <x v="4"/>
    <x v="38"/>
    <s v="OPERARIO"/>
    <s v="IQF 1"/>
    <s v="N/A"/>
    <s v="MAÑANA"/>
    <d v="1899-12-30T11:40:00"/>
    <s v="MIERCOLES"/>
    <s v="SEMANA 44"/>
    <m/>
    <m/>
    <s v="GUILLERMO NARVAEZ"/>
    <x v="40"/>
    <n v="57"/>
    <x v="14"/>
    <s v="Rostro"/>
    <s v="Herida cortante"/>
    <s v="Otros"/>
    <s v="TRABAJADOR SUFRE HERIDA CORTANTE EN FRENTE AL ACOMODARSE LOS FONOS"/>
    <s v="ACCION"/>
    <s v="SI"/>
    <s v="NO"/>
    <s v="NICOLAS GOMEZ"/>
    <s v="WLADIMIR CALDERON"/>
  </r>
  <r>
    <n v="2022"/>
    <s v="NOVIEMBRE"/>
    <s v="EL PAICO"/>
    <s v="VERA VERA"/>
    <s v="LUIS"/>
    <s v="MASCULINO"/>
    <s v="11231428-8"/>
    <d v="1993-11-23T00:00:00"/>
    <n v="347"/>
    <d v="2022-11-03T00:00:00"/>
    <s v="ANTIGUO"/>
    <d v="2022-11-04T00:00:00"/>
    <m/>
    <m/>
    <n v="9"/>
    <s v="CTP"/>
    <s v="LGF"/>
    <s v="LGF 4"/>
    <x v="4"/>
    <x v="5"/>
    <s v="OPERARIO"/>
    <s v="PASILLO C"/>
    <s v="EQUIPO PARA MOVIMIENTO DE CARGA (GRUAS O TRANSPALETAS)"/>
    <s v="TARDE"/>
    <d v="1899-12-30T21:33:00"/>
    <s v="JUEVES"/>
    <s v="SEMANA 44"/>
    <m/>
    <s v="N° 124-22"/>
    <s v="GUILLERMO NARVAEZ"/>
    <x v="8"/>
    <n v="54"/>
    <x v="13"/>
    <s v="Pie"/>
    <s v="Fractura"/>
    <s v="Golpeado por"/>
    <s v="TRABAJADOR SE ENCONTRABA DEJANDO FILM EN PASILLO C, POR UN COSTADO PASA UN MOVILIZADOR DE PP CON PALLET DE PRODUCTO FRESCO, A CAUSA DEL POCO ESPACIO EN EL PASILLO EL MOVILIZADOR GOLPEA TRANSPALTA MANUAL LA CUAL IMPACTA AL COLABORADOR EN EL TOBILLO. "/>
    <s v="ACCION"/>
    <s v="SI"/>
    <s v="SI"/>
    <s v="NICOLAS GOMEZ"/>
    <s v="GABRIELA CABEZAS"/>
  </r>
  <r>
    <n v="2022"/>
    <s v="NOVIEMBRE"/>
    <s v="EL PAICO"/>
    <s v=" CANTILLANA CARDENA"/>
    <s v="ACLICIO "/>
    <s v="MASCULINO"/>
    <s v=" 9868246-5"/>
    <d v="2019-06-24T00:00:00"/>
    <n v="40"/>
    <d v="2022-11-05T00:00:00"/>
    <s v="ANTIGUO"/>
    <m/>
    <m/>
    <m/>
    <s v=" "/>
    <s v="STP"/>
    <m/>
    <m/>
    <x v="7"/>
    <x v="48"/>
    <s v="OPERARIO"/>
    <s v="P. POSTERIORES"/>
    <s v="N/A"/>
    <s v="MAÑANA"/>
    <d v="1899-12-30T14:00:00"/>
    <s v="SABADO"/>
    <s v="SEMANA 44"/>
    <m/>
    <m/>
    <s v="OCTAVIO MUÑOZ"/>
    <x v="41"/>
    <n v="59"/>
    <x v="5"/>
    <s v="Pierna"/>
    <s v="Contusión"/>
    <s v="Golpeado por"/>
    <s v=" AL VACIAR BANDEJAS, UNA DE ESTAS SE RESBALA Y CAE SOBRE SU RODILLA IZQUERDA."/>
    <s v="ACCION"/>
    <s v="SI"/>
    <s v="NO"/>
    <s v="ALAN CARRASCO"/>
    <s v="Michelle Sanchez "/>
  </r>
  <r>
    <n v="2022"/>
    <s v="NOVIEMBRE"/>
    <s v="EL PAICO"/>
    <s v="REYES MORENO"/>
    <s v="RODRIGO "/>
    <s v="MASCULINO"/>
    <s v="14140258-7"/>
    <d v="2017-04-03T00:00:00"/>
    <n v="67"/>
    <d v="2022-11-05T00:00:00"/>
    <s v="ANTIGUO"/>
    <m/>
    <m/>
    <m/>
    <m/>
    <s v="STP"/>
    <m/>
    <m/>
    <x v="1"/>
    <x v="49"/>
    <s v="OPERARIO"/>
    <s v="TRAYECTO"/>
    <s v="N/A"/>
    <s v="TARDE"/>
    <d v="1899-12-30T20:15:00"/>
    <s v="SABADO"/>
    <s v="SEMANA 45"/>
    <m/>
    <m/>
    <s v="CARLOS JIMENEZ"/>
    <x v="20"/>
    <n v="41"/>
    <x v="16"/>
    <m/>
    <s v=" "/>
    <m/>
    <s v="TRABAJADOR AL TRASLADARSE DE SU DOMICILIO A LUGAR DE TRABAJO, SUFRE HERIDAS CORTANTES EN ZONA PLANTAR PIE IZQUIERDO, EN VIA PUBLICA, AVENIDA LOS LIBERTADORES CERCA DE LA RED."/>
    <s v="CONDICION"/>
    <s v="NO"/>
    <s v="NO"/>
    <s v="ALAN CARRASCO"/>
    <s v="Michelle Sanchez "/>
  </r>
  <r>
    <n v="2022"/>
    <s v="NOVIEMBRE"/>
    <s v="EL PAICO"/>
    <s v="GOMEZ VASQUEZ"/>
    <s v="SEBASTIAN "/>
    <s v="MASCULINO"/>
    <s v="20138626-8 "/>
    <d v="2022-08-08T00:00:00"/>
    <n v="2"/>
    <d v="2022-11-07T00:00:00"/>
    <s v="NUEVO"/>
    <d v="2022-11-08T00:00:00"/>
    <m/>
    <m/>
    <n v="0"/>
    <s v="STP"/>
    <m/>
    <m/>
    <x v="4"/>
    <x v="5"/>
    <s v="OPERARIO"/>
    <s v="CALIBRADO"/>
    <s v="N/A"/>
    <s v="TARDE"/>
    <d v="1899-12-30T17:50:00"/>
    <s v="LUNES"/>
    <s v="SEMANA 45"/>
    <m/>
    <m/>
    <s v="GUILLERMO NARVAEZ"/>
    <x v="15"/>
    <n v="24"/>
    <x v="14"/>
    <s v="Cabeza"/>
    <s v="Contusión"/>
    <s v="Caida de mismo nivel"/>
    <s v="TRABAJADOR TRANSPORTANTO TAPAS DE CAJA RESBALA PISANDO UN CARTON, SUFRIENDO UN GOLPE EN LA CABEZA Y ESPALDA  "/>
    <s v="CONDICION"/>
    <s v="SI"/>
    <s v="SI"/>
    <s v="ALAN CARRASCO"/>
    <s v="GABRIELA CABEZAS"/>
  </r>
  <r>
    <n v="2022"/>
    <s v="NOVIEMBRE"/>
    <s v="EL PAICO"/>
    <s v="QUEZADA GUERRERO"/>
    <s v="JUAN"/>
    <s v="MASCULINO"/>
    <s v="10653499-3"/>
    <d v="2019-07-22T00:00:00"/>
    <n v="39"/>
    <d v="2022-11-07T00:00:00"/>
    <s v="ANTIGUO"/>
    <d v="2022-11-07T00:00:00"/>
    <m/>
    <m/>
    <s v=" "/>
    <s v="STP"/>
    <m/>
    <m/>
    <x v="0"/>
    <x v="4"/>
    <s v="OPERARIO"/>
    <s v="PAÑOL"/>
    <s v="N/A"/>
    <s v="TARDE"/>
    <d v="1899-12-30T16:33:00"/>
    <s v="LUNES"/>
    <s v="SEMANA 45"/>
    <m/>
    <m/>
    <s v="DANIEL GARRIDO"/>
    <x v="31"/>
    <n v="50"/>
    <x v="12"/>
    <s v="Rostro"/>
    <s v="Herida cortante"/>
    <s v="Golpeado por"/>
    <s v="TRABAJADOR ESTABA RETIRANDO IMPLEMETOS EN PAÑOL, AL MONETO DE GIRAR RECIBE UN GOLPE POR BARRE AGUA POR ACCIDENTES, PRODUCIENDOLE UN CORTE EN EL POMULO IZQUERDO"/>
    <s v="ACCION"/>
    <s v="SI"/>
    <s v="NO"/>
    <s v="ALAN CARRASCO"/>
    <s v="GABRIELA CABEZAS"/>
  </r>
  <r>
    <n v="2022"/>
    <s v="NOVIEMBRE"/>
    <s v="EL PAICO"/>
    <s v="CATALAN ALCAINO"/>
    <s v="ANDREW"/>
    <s v="MASCULINO"/>
    <s v="21173568-6"/>
    <d v="2022-03-15T00:00:00"/>
    <n v="7"/>
    <d v="2022-11-08T00:00:00"/>
    <s v="NUEVO"/>
    <m/>
    <m/>
    <m/>
    <s v=" "/>
    <s v="STP"/>
    <m/>
    <m/>
    <x v="6"/>
    <x v="29"/>
    <s v="OPERARIO"/>
    <s v="FRIGORIFICO"/>
    <s v="N/A"/>
    <s v="TARDE"/>
    <d v="1899-12-30T17:05:00"/>
    <s v="MARTES"/>
    <s v="SEMANA 45"/>
    <m/>
    <m/>
    <s v="FRANCISCO QUEZADA"/>
    <x v="12"/>
    <n v="19"/>
    <x v="5"/>
    <s v="Manos / dedos"/>
    <s v="Otros"/>
    <s v="Sobreesfuerzo"/>
    <s v="TRABAJADOR AL LEVANTAR UN CAJA, SUFRE TIRON EN ANTEBRAZO IZQUEDO "/>
    <s v="ACCION"/>
    <s v="SI"/>
    <s v="NO"/>
    <s v="ALAN CARRASCO"/>
    <s v="CRISTIAN JHON"/>
  </r>
  <r>
    <n v="2022"/>
    <s v="NOVIEMBRE"/>
    <s v="EL PAICO"/>
    <s v="BARRAZA PERALTA"/>
    <s v="ISABEL MARGARITA"/>
    <s v="FEMENINO"/>
    <s v="9683999-5"/>
    <d v="2013-11-18T00:00:00"/>
    <n v="107"/>
    <d v="2022-11-08T00:00:00"/>
    <s v="ANTIGUO"/>
    <d v="2022-11-09T00:00:00"/>
    <d v="2022-11-10T00:00:00"/>
    <d v="2022-11-11T00:00:00"/>
    <n v="9"/>
    <s v="CTP"/>
    <s v="LGF"/>
    <s v="LGF 4 "/>
    <x v="1"/>
    <x v="30"/>
    <s v="OPERARIO"/>
    <s v="PASILLO IQF 4"/>
    <s v="EQUIPO PARA MOVIMIENTO DE CARGA (GRUAS O TRANSPALETAS)"/>
    <s v="TARDE"/>
    <d v="1899-12-30T16:50:00"/>
    <s v="MARTES"/>
    <s v="SEMANA 45"/>
    <m/>
    <s v="N° 129-22 "/>
    <s v="CARLOS JIMENEZ"/>
    <x v="1"/>
    <n v="58"/>
    <x v="13"/>
    <s v="Rostro"/>
    <s v="Contusión"/>
    <s v="Golpeado por"/>
    <s v="AL ESTAR HACIENDO ASEO UN TRABAJADOR EN UNA TRASPALETA LA GOLPEA POR DETRÁS CON UN BINS EN EL COXIS CAYENDO DE CARA EN UNA ESTRUCTURA METALICA DE UNA MAQUINA"/>
    <s v="ACCION"/>
    <s v="SI"/>
    <s v="SI"/>
    <s v="ALAN CARRASCO"/>
    <s v="CRISTIAN JHON"/>
  </r>
  <r>
    <n v="2022"/>
    <s v="NOVIEMBRE"/>
    <s v="EL PAICO"/>
    <s v="AGUIRRE ESTAY"/>
    <s v="NICOLAS "/>
    <s v="MASCULINO"/>
    <s v="19924313-6"/>
    <d v="2022-02-15T00:00:00"/>
    <n v="8"/>
    <d v="2022-11-08T00:00:00"/>
    <s v="NUEVO"/>
    <d v="2022-11-09T00:00:00"/>
    <m/>
    <m/>
    <n v="0"/>
    <s v="STP"/>
    <m/>
    <m/>
    <x v="0"/>
    <x v="4"/>
    <s v="OPERARIO"/>
    <s v="DESHUESADO"/>
    <s v="N/A"/>
    <s v="TARDE"/>
    <d v="1899-12-30T20:30:00"/>
    <s v="MARTES"/>
    <s v="SEMANA 45"/>
    <m/>
    <s v="N° 132-22"/>
    <s v="DANIEL GARRIDO"/>
    <x v="31"/>
    <n v="24"/>
    <x v="12"/>
    <s v="Rostro"/>
    <s v="Herida cortante"/>
    <s v="Golpeado por"/>
    <s v="TRABAJADOR AL TOMAR RASTRILLO HUMEDO HACE PALANCA EN EL BINS Y SE RESBALA MANGO DEL RASTRILLO, GOLPEANDOLO EN EL ROSTRO (NARIZ) PRODUCIENDO UNA HERIRA CORTANTES "/>
    <s v="ACCION"/>
    <s v="SI"/>
    <s v="SI"/>
    <s v="ALAN CARRASCO"/>
    <s v="CRISTIAN JHON"/>
  </r>
  <r>
    <n v="2022"/>
    <s v="NOVIEMBRE"/>
    <s v="EL PAICO"/>
    <s v=" MENDEZ DEL CASTILLO"/>
    <s v="DANIELA "/>
    <s v="FEMENINO"/>
    <s v=" 15822820-3"/>
    <d v="2021-01-25T00:00:00"/>
    <n v="21"/>
    <d v="2022-11-09T00:00:00"/>
    <s v="INTERMEDIO"/>
    <m/>
    <m/>
    <m/>
    <s v=" "/>
    <s v="STP"/>
    <m/>
    <m/>
    <x v="0"/>
    <x v="0"/>
    <s v="OPERARIO"/>
    <s v="T. AUTOMATICO"/>
    <s v="N/A"/>
    <s v="TARDE"/>
    <d v="1899-12-30T21:00:00"/>
    <s v="JUEVES"/>
    <s v="SEMANA 45"/>
    <m/>
    <m/>
    <s v="DANIEL GARRIDO"/>
    <x v="0"/>
    <n v="37"/>
    <x v="14"/>
    <s v="Cabeza"/>
    <s v="Contusión"/>
    <s v="Golpeado por"/>
    <s v=" TRABAJADOR SUFRE CONTUSION EN REGION PARIETAL IZQUIERDA DEL CRANEO CON PRODUCTO (PECHUGA) QUE CAE DESDE LINEA, AL CORTAR ALAS EN MESA DE TRABAJO, CAE PRODUCTO SOBRE SU CABEZA EN AUTOMATICO, TROZADO DE POLLO"/>
    <s v="CONDICION "/>
    <s v="SI"/>
    <s v="NO"/>
    <s v="ALAN CARRASCO"/>
    <s v="Michelle Sanchez "/>
  </r>
  <r>
    <n v="2022"/>
    <s v="NOVIEMBRE"/>
    <s v="EL PAICO"/>
    <s v="MEJIAS BASTIDAS"/>
    <s v="MAURO ESTEBAN"/>
    <s v="MASCULINO"/>
    <s v="17567967-7"/>
    <d v="2019-07-29T00:00:00"/>
    <n v="39"/>
    <d v="2022-11-09T00:00:00"/>
    <s v="ANTIGUO"/>
    <d v="2022-11-09T00:00:00"/>
    <m/>
    <m/>
    <n v="0"/>
    <s v="STP"/>
    <m/>
    <m/>
    <x v="6"/>
    <x v="29"/>
    <s v="OPERARIO"/>
    <s v="SALA DE BATERIAS"/>
    <s v="N/A"/>
    <s v="MAÑANA"/>
    <d v="1899-12-30T12:20:00"/>
    <s v="MIERCOLES"/>
    <s v="SEMANA 45"/>
    <m/>
    <s v="NC-131-22"/>
    <s v="FRACISCO QUEZADA"/>
    <x v="37"/>
    <n v="32"/>
    <x v="14"/>
    <s v="Manos / dedos"/>
    <s v="Contusión"/>
    <s v="Golpeado por"/>
    <s v="TRABAJADOR SUFRE CONTUSION EN FALANGE PROXIMAL DEL DEDO INDICE IZQUIERDO AL CAMBIAR TAPA DE BATERIA DE TRASPALETA, EN SALA DE BATERIAS "/>
    <s v="ACCION"/>
    <s v="SI"/>
    <s v="SI"/>
    <s v="ALAN CARRASCO"/>
    <s v="Michelle Sanchez "/>
  </r>
  <r>
    <n v="2022"/>
    <s v="NOVIEMBRE"/>
    <s v="EL PAICO"/>
    <s v="AGUILERA SERRANO"/>
    <s v="MARITZA"/>
    <s v="FEMENINO"/>
    <s v="12859577-5"/>
    <d v="2016-12-16T00:00:00"/>
    <n v="70"/>
    <d v="2022-11-09T00:00:00"/>
    <s v="ANTIGUO"/>
    <m/>
    <m/>
    <m/>
    <m/>
    <s v="STP"/>
    <m/>
    <m/>
    <x v="7"/>
    <x v="48"/>
    <s v="OPERARIO"/>
    <s v="REPORTE DE CAJAS"/>
    <s v="N/A"/>
    <s v="MAÑANA"/>
    <d v="1899-12-30T07:15:00"/>
    <s v="JUEVES"/>
    <s v="SEMANA 45"/>
    <m/>
    <m/>
    <s v="OCTAVIO MUÑOZ"/>
    <x v="21"/>
    <n v="47"/>
    <x v="14"/>
    <s v="Rostro"/>
    <s v="Contusión"/>
    <s v="Golpeado por"/>
    <s v="TRABAJDORA SUFRE CONTUSION EN POMULO IZQUIERDO, AL ESTAR ORDENANDO TAPAS EN ESTANTE EN REPORTE DE CAJAS, LINEA CONGELADOS  "/>
    <s v="CONDICION"/>
    <s v="SI"/>
    <s v="NO"/>
    <s v="ALAN CARRASCO"/>
    <s v="Michelle Sanchez "/>
  </r>
  <r>
    <n v="2022"/>
    <s v="NOVIEMBRE"/>
    <s v="EL PAICO"/>
    <s v="  DARIUS"/>
    <s v="OLSON "/>
    <s v="MASCULINO"/>
    <s v="26368007-3 "/>
    <d v="2018-08-20T00:00:00"/>
    <n v="50"/>
    <d v="2022-11-09T00:00:00"/>
    <s v="ANTIGUO"/>
    <m/>
    <m/>
    <m/>
    <s v=" "/>
    <s v="STP"/>
    <m/>
    <m/>
    <x v="0"/>
    <x v="0"/>
    <s v="OPERARIO"/>
    <s v="T. AUTOMATICO"/>
    <s v="N/A"/>
    <s v="TARDE"/>
    <d v="1899-12-30T22:40:00"/>
    <s v="MIERCOLES"/>
    <s v="SEMANA 45"/>
    <m/>
    <m/>
    <s v="DANIEL GARRIDO"/>
    <x v="0"/>
    <n v="33"/>
    <x v="1"/>
    <s v="Brazo"/>
    <s v="Contusión"/>
    <s v="Caida de mismo nivel"/>
    <s v="TRABAJADOR SUFRE CAIDA A MISMO NIVEL MAS CONTUSION EN HOMBRO IZQUIERDO AL RESBALAR CON CUERO DE POLLO QUE DE ENCONTRABA EN EL SUELO, AL SACAR UN BINS VACIO, SE RESBALA Y SUFRE CAIDA EN AUTOMATICO, TROZADO DE POLLO"/>
    <s v="CONDICION"/>
    <s v="SI"/>
    <s v="NO"/>
    <s v="ALAN CARRASCO"/>
    <s v="Michelle Sanchez "/>
  </r>
  <r>
    <n v="2022"/>
    <s v="NOVIEMBRE"/>
    <s v="EL PAICO"/>
    <s v="GOMEZ RIVERA"/>
    <s v="SIMON "/>
    <s v="MASCULINO"/>
    <s v="20973779-5 "/>
    <d v="2022-11-07T00:00:00"/>
    <n v="0"/>
    <d v="2022-11-09T00:00:00"/>
    <s v="NUEVO"/>
    <s v="                                                                "/>
    <m/>
    <m/>
    <s v=" "/>
    <s v="STP"/>
    <m/>
    <m/>
    <x v="0"/>
    <x v="4"/>
    <s v="OPERARIO"/>
    <s v="DESHUESADO"/>
    <s v="N/A"/>
    <s v="MAÑANA "/>
    <d v="1899-12-30T13:15:00"/>
    <s v="MIERCOLES"/>
    <s v="SEMANA 45"/>
    <m/>
    <m/>
    <s v="DANIEL GARRIDO "/>
    <x v="11"/>
    <n v="20"/>
    <x v="5"/>
    <s v="Manos / dedos"/>
    <s v="Otros"/>
    <s v="Contacto con cuerpo cortante"/>
    <s v="TRABAJADOR AL ESTAR  MANIPULANDO CAJAS CON ALAS DE POLLO, SIENTE SENSACION PULSATIL EN DEDO INDICE IZQUIERDO, EN AREA DE DESHUESADO "/>
    <s v="ACCION"/>
    <s v="SI"/>
    <s v="NO"/>
    <s v="ALAN CARRASCO"/>
    <s v="Michelle Sanchez "/>
  </r>
  <r>
    <n v="2022"/>
    <s v="NOVIEMBRE"/>
    <s v="EL PAICO"/>
    <s v="ORTIZ GONZALEZ"/>
    <s v="AUGUSTO"/>
    <s v="MASCULINO"/>
    <s v="15532741-3"/>
    <d v="2022-07-25T00:00:00"/>
    <n v="3"/>
    <d v="2022-11-10T00:00:00"/>
    <s v="NUEVO"/>
    <d v="2022-11-10T00:00:00"/>
    <m/>
    <m/>
    <n v="8"/>
    <s v="CTP"/>
    <m/>
    <m/>
    <x v="7"/>
    <x v="22"/>
    <s v="OPERARIO"/>
    <s v="PULPA"/>
    <s v="N/A"/>
    <s v="MAÑANA"/>
    <d v="1899-12-30T06:50:00"/>
    <s v="JUEVES"/>
    <s v="SEMANA 45"/>
    <m/>
    <s v="NC-128-22"/>
    <s v="OCTAVIO MUÑOZ"/>
    <x v="41"/>
    <n v="40"/>
    <x v="1"/>
    <s v="Manos / dedos"/>
    <s v="Contusión"/>
    <s v="Caida de mismo nivel"/>
    <s v="TRABAJADOR SUFRE CAIDA A NIVEL PRODUCO DE AGUA EN EL PISO AL MOVILIZAR UN BINS, TRABAJADOR RESBALA, CAE Y APOYA TODO SU PESO SOBRE SU MANO DERECHA"/>
    <s v="CONDICION"/>
    <s v="SI"/>
    <s v="SI"/>
    <s v="NICOLAS GOMEZ"/>
    <s v="WLADIMIR CALDERON"/>
  </r>
  <r>
    <n v="2022"/>
    <s v="ENERO"/>
    <s v="EL PAICO"/>
    <s v="ASTORGA"/>
    <s v="RAFAEL "/>
    <s v="MASCULINO"/>
    <s v=" 14007893-K"/>
    <d v="1981-08-16T00:00:00"/>
    <n v="494"/>
    <d v="2022-11-10T00:00:00"/>
    <s v="ANTIGUO"/>
    <m/>
    <m/>
    <m/>
    <n v="0"/>
    <s v="STP"/>
    <m/>
    <m/>
    <x v="0"/>
    <x v="4"/>
    <s v="SUPERVISOR"/>
    <s v="DESHUEZADO"/>
    <s v="N/A"/>
    <s v="TARDE"/>
    <d v="1899-12-30T19:30:00"/>
    <s v="LUNES"/>
    <s v="SEMANA 02"/>
    <m/>
    <m/>
    <s v="DANIEL GARRIDO"/>
    <x v="5"/>
    <n v="40"/>
    <x v="10"/>
    <s v="Pie"/>
    <s v="Contusión"/>
    <s v="Caida de mismo nivel"/>
    <s v=" A pisar un trozo de cuero de pollo que se encontraba en el piso, sufre caída a mismo nivel mas contusión en rodilla izquierda. Se observa leve aumento de volumen, sin disfunción en la movilidad."/>
    <s v="CONDICION"/>
    <s v="NO"/>
    <s v="NO"/>
    <s v="PEDRO MOREIRA"/>
    <s v="MICHEL SANCHEZ"/>
  </r>
  <r>
    <n v="2022"/>
    <s v="NOVIEMBRE"/>
    <s v="EL PAICO"/>
    <s v="RUIZ GOMEZ"/>
    <s v="SERGIO"/>
    <s v="MASCULINO"/>
    <s v="7133688-3 "/>
    <d v="2009-02-05T00:00:00"/>
    <n v="165"/>
    <d v="2022-11-10T00:00:00"/>
    <s v="ANTIGUO"/>
    <m/>
    <m/>
    <m/>
    <s v=" "/>
    <s v="STP"/>
    <m/>
    <m/>
    <x v="1"/>
    <x v="0"/>
    <s v="OPERARIO"/>
    <s v="T. AUTOMATICO"/>
    <s v="N/A"/>
    <s v="TARDE"/>
    <d v="1899-12-30T23:45:00"/>
    <s v="JUEVES"/>
    <s v="SEMANA 45"/>
    <m/>
    <m/>
    <s v="CARLOS JIMENEZ"/>
    <x v="20"/>
    <n v="65"/>
    <x v="1"/>
    <s v="Tronco"/>
    <s v="Contusión"/>
    <s v="Caida de distinto nivel"/>
    <s v=" TRABAJADOR SUFRE CAIDA DE TARIMA DE 1 MT DE ALTURA, GOLPEANDOSE EN REGION LUMBAR , AL PASAR DE LA CINTA A LA TARIMA EN T. AUTOMATICO "/>
    <s v="CONDICION"/>
    <s v="SI"/>
    <s v="NO"/>
    <s v="ALAN CARRASCO"/>
    <s v="WLADIMIR CALDERON"/>
  </r>
  <r>
    <n v="2022"/>
    <s v="NOVIEMBRE"/>
    <s v="EL PAICO"/>
    <s v="ORELLANA RIQUELME "/>
    <s v="ALEXIS"/>
    <s v="MASCULINO"/>
    <s v="20136863-4"/>
    <d v="1999-04-08T00:00:00"/>
    <n v="283"/>
    <d v="2022-11-12T00:00:00"/>
    <s v="ANTIGUO"/>
    <m/>
    <m/>
    <m/>
    <m/>
    <s v="STP"/>
    <s v="LGF"/>
    <s v="LGF 8"/>
    <x v="3"/>
    <x v="50"/>
    <s v="OPERARIO"/>
    <s v="T. PAVO"/>
    <s v="MAQUINA ESCALDADORA"/>
    <s v="MAÑANA"/>
    <d v="1899-12-30T05:30:00"/>
    <s v="SABADO"/>
    <s v="SEMANA 45"/>
    <m/>
    <m/>
    <s v="GUILLERMO NARVAEZ"/>
    <x v="42"/>
    <n v="23"/>
    <x v="14"/>
    <s v="Brazo"/>
    <s v="Quemadura"/>
    <s v="Contacto con temperaturas extremas"/>
    <s v="TRABAJADOR AL SACAR AGUA CALIENTE DE LA MAQUINA ESCALDADORA, SUFRE QUEMADURA DE PRIMER GRADO EN  EL ANTEBRAZO IZQUIERDO, EN MAQUINA ESCALDADORA"/>
    <s v="ACCION"/>
    <s v="SI"/>
    <s v="NO"/>
    <s v="ALAN CARRASCO"/>
    <s v="CRISTIAN JHON"/>
  </r>
  <r>
    <n v="2022"/>
    <s v="NOVIEMBRE "/>
    <s v="MALHUE"/>
    <s v="MARTINEZ GAMBOA"/>
    <s v="RICHARD"/>
    <s v="MASCULINO"/>
    <s v="20870815-5"/>
    <m/>
    <m/>
    <d v="2022-11-15T00:00:00"/>
    <m/>
    <m/>
    <m/>
    <m/>
    <m/>
    <m/>
    <m/>
    <m/>
    <x v="11"/>
    <x v="51"/>
    <m/>
    <m/>
    <m/>
    <m/>
    <m/>
    <m/>
    <m/>
    <m/>
    <m/>
    <m/>
    <x v="37"/>
    <m/>
    <x v="16"/>
    <m/>
    <m/>
    <m/>
    <s v="Refiere quemadura química con detergente clorado en pierna izquierda"/>
    <m/>
    <m/>
    <m/>
    <m/>
    <m/>
  </r>
  <r>
    <n v="2022"/>
    <s v="NOVIEMBRE"/>
    <s v="EL PAICO"/>
    <s v="NORAMBUENA RIOS"/>
    <s v="CAROLA"/>
    <s v="FEMENINO"/>
    <s v="13250517-9 "/>
    <d v="2017-03-25T00:00:00"/>
    <n v="67"/>
    <d v="2022-11-16T00:00:00"/>
    <s v="ANTIGUO"/>
    <m/>
    <m/>
    <m/>
    <s v=" "/>
    <s v="STP"/>
    <m/>
    <m/>
    <x v="0"/>
    <x v="0"/>
    <s v="OPERARIO"/>
    <s v="DESHUESADO"/>
    <s v="MESA DE TRABAJO/TRASPALETA MANUAL "/>
    <s v="TARDE"/>
    <d v="1899-12-30T15:40:00"/>
    <s v="MIERCOLES"/>
    <s v="SEMANA 46"/>
    <m/>
    <m/>
    <s v="DANIEL GARRIDO"/>
    <x v="31"/>
    <n v="44"/>
    <x v="13"/>
    <s v="Tronco"/>
    <s v="Contusión"/>
    <s v="Golpeado por"/>
    <s v=" TRABAJADOR SUFRE GOLPE EN EL ABDOMEN, AL PASAR TRASPALETA MANUAL GOLPEA LA MESA DE TRABAJO, TENIENDO COMO RESULTADO DE REBOTE DEL GOLPE, EN EL AREA DE DESHUESADO"/>
    <s v="CONDICION"/>
    <s v="SI"/>
    <s v="NO"/>
    <s v="ALAN CARRASCO"/>
    <s v="CRISTIAN JHON"/>
  </r>
  <r>
    <n v="2022"/>
    <s v="NOVIEMBRE"/>
    <s v="EL PAICO"/>
    <s v="ATABALES MORALES "/>
    <s v=" MANUEL "/>
    <s v="MASCULINO"/>
    <s v="15405907-5 "/>
    <d v="2022-07-12T00:00:00"/>
    <n v="4"/>
    <d v="2022-11-17T00:00:00"/>
    <s v="NUEVO"/>
    <m/>
    <m/>
    <m/>
    <s v=" "/>
    <s v="STP"/>
    <s v="LGF"/>
    <s v="LGF 4"/>
    <x v="0"/>
    <x v="0"/>
    <s v="OPERARIO"/>
    <s v="ROMANA"/>
    <s v="EQUIPO PARA MOVIMIENTO DE CARGA (GRUAS O TRANSPALETAS)"/>
    <s v="TARDE"/>
    <d v="1899-12-30T22:40:00"/>
    <s v="JUEVES"/>
    <s v="SEMANA 46"/>
    <m/>
    <m/>
    <s v="DANIEL GARRIDO"/>
    <x v="11"/>
    <n v="40"/>
    <x v="13"/>
    <s v="Pierna"/>
    <s v="Contusión"/>
    <s v="Golpeado contra"/>
    <s v="TRABAJADOR DIRIGIENDOSE HACIA ROMANA CON UN BINS CON PRODUCTO PARA PESARLO, SALE DESDE EL T. AUTOMATICO Y COMPAÑERO CON OTRO BINS, NO PUDO FRENAR APRETANDO LA EXTREMIDAD ENTRE LAS DOS ESTRUCTURAS, SUFRIENDO GOLPE EN EXTREMIDAD INFERIOR DERECHA (MUSLO), ENTRE T. AUTOMATICO Y ROMANA . "/>
    <s v="ACCION"/>
    <s v="SI"/>
    <s v="NO"/>
    <s v="ALAN CARRASCO"/>
    <s v="Michelle Sanchez "/>
  </r>
  <r>
    <n v="2022"/>
    <s v="NOVIEMBRE"/>
    <s v="EL PAICO"/>
    <s v=" JEREZ MUGA"/>
    <s v="DANIEL"/>
    <s v="MASCULINO"/>
    <s v="14007926-K "/>
    <d v="2002-08-22T00:00:00"/>
    <n v="242"/>
    <d v="2022-11-18T00:00:00"/>
    <s v="ANTIGUO"/>
    <d v="2022-11-19T00:00:00"/>
    <m/>
    <m/>
    <s v=" "/>
    <s v="STP"/>
    <m/>
    <m/>
    <x v="0"/>
    <x v="0"/>
    <s v="OPERARIO"/>
    <s v="DESHUESADO"/>
    <s v="N/A"/>
    <s v="TARDE"/>
    <d v="1899-12-30T23:15:00"/>
    <s v="VIERNES"/>
    <s v="SEMANA 46"/>
    <m/>
    <m/>
    <s v="DANIEL GARRIDO"/>
    <x v="11"/>
    <n v="41"/>
    <x v="14"/>
    <s v="Manos / dedos"/>
    <s v="Otros"/>
    <s v="Otros"/>
    <s v="TRABAJADOR INGRESA POR DOLOR E INFLAMACION EN DEDO INDICE DERECHO, AL LIMPIAR PECHUGAS EN LINEA DE DESHUESADO."/>
    <s v="ACCION"/>
    <s v="SI"/>
    <s v="NO"/>
    <s v="ALAN CARRASCO"/>
    <s v="Michelle Sanchez "/>
  </r>
  <r>
    <n v="2022"/>
    <s v="NOVIEMBRE"/>
    <s v="EL PAICO"/>
    <s v=" AEDO PALMA"/>
    <s v="ALEXIS"/>
    <s v="MASCULINO"/>
    <s v="14028518-8 "/>
    <d v="2022-11-17T00:00:00"/>
    <n v="0"/>
    <d v="2022-11-21T00:00:00"/>
    <s v="NUEVO"/>
    <m/>
    <m/>
    <m/>
    <s v=" "/>
    <s v="STP"/>
    <m/>
    <m/>
    <x v="0"/>
    <x v="0"/>
    <s v="OPERARIO"/>
    <s v="T. AUTOMATICO"/>
    <s v="N/A"/>
    <s v="MAÑANA"/>
    <d v="1899-12-30T13:15:00"/>
    <s v="LUNES"/>
    <s v="SEMANA 47"/>
    <m/>
    <m/>
    <s v="DANIEL GARRIDO"/>
    <x v="13"/>
    <s v=" "/>
    <x v="5"/>
    <s v="Manos / dedos"/>
    <s v="Torsión"/>
    <s v="Sobreesfuerzo"/>
    <s v=" TRABAJDOR AL TIRAR CAJA CON PRODUCTO SUFRE TORSION DE MUÑECA DERECHA EN T. AUTOMATICO "/>
    <s v="ACCION"/>
    <s v="SI"/>
    <s v="NO"/>
    <s v="ALAN CARRASCO"/>
    <s v="Michelle Sanchez "/>
  </r>
  <r>
    <n v="2022"/>
    <s v="NOVIEMBRE"/>
    <s v="EL PAICO"/>
    <s v=" INFANTE GUTIERREZ"/>
    <s v="TERESA  "/>
    <s v="FEMENINO"/>
    <s v="16795621-1 "/>
    <d v="2014-10-06T00:00:00"/>
    <n v="97"/>
    <d v="2022-11-21T00:00:00"/>
    <s v="ANTIGUO"/>
    <d v="2022-11-22T00:00:00"/>
    <m/>
    <m/>
    <n v="0"/>
    <s v="STP"/>
    <m/>
    <m/>
    <x v="1"/>
    <x v="30"/>
    <s v="OPERARIO"/>
    <s v="METALQUIMIA"/>
    <s v="N/A"/>
    <s v="TARDE"/>
    <d v="1899-12-30T05:00:00"/>
    <s v="LUNES"/>
    <s v="SEMANA 47"/>
    <m/>
    <s v="N° 130-22 "/>
    <s v="CARLOS JIMENEZ"/>
    <x v="43"/>
    <n v="35"/>
    <x v="3"/>
    <s v="Ojos"/>
    <s v="Otros"/>
    <s v="Contacto con sustancias corrosivas"/>
    <s v=" TRABAJADOR AL REALIZAR LIMPIEZA EN MAQUINA METALQUIMIA DE T. DE PAVO,  ENTRA LIQUIDO AL OJO IZQUERDO MIENTRAS REALIZABA LA LABOR."/>
    <s v="ACCION"/>
    <s v="SI"/>
    <s v="SI"/>
    <s v="ALAN CARRASCO"/>
    <s v="Michelle Sanchez "/>
  </r>
  <r>
    <n v="2022"/>
    <s v="NOVIEMBRE"/>
    <s v="EL PAICO"/>
    <s v="BASAURE CONSTANZO "/>
    <s v="PAOLO "/>
    <s v="MASCULINO"/>
    <s v="18966531-8"/>
    <d v="2022-11-07T00:00:00"/>
    <n v="0"/>
    <d v="2022-11-22T00:00:00"/>
    <s v="NUEVO"/>
    <m/>
    <m/>
    <m/>
    <s v=" "/>
    <s v="STP"/>
    <m/>
    <m/>
    <x v="0"/>
    <x v="0"/>
    <s v="OPERARIO"/>
    <s v="T. AUTOMATICO"/>
    <s v="N/A"/>
    <s v="TARDE"/>
    <d v="1899-12-30T13:25:00"/>
    <s v="MARTES"/>
    <s v="SEMANA 47"/>
    <m/>
    <m/>
    <s v="DANIEL GARRIDO"/>
    <x v="13"/>
    <n v="23"/>
    <x v="14"/>
    <s v="Brazo"/>
    <s v="Contusión"/>
    <s v="Golpeado contra"/>
    <s v=" TRABAJADOR AL REALIZAR CARGA DE CAJAS SE GOLPEA EN ANTEBRAZO CON MESA DE PROLIJADO AL GIRARSE, EN T. AUTOMATICO"/>
    <s v="ACCION"/>
    <s v="SI"/>
    <s v="NO"/>
    <s v="NICOLAS GOMEZ"/>
    <s v="CRISTIAN JHON"/>
  </r>
  <r>
    <n v="2022"/>
    <s v="NOVIEMBRE"/>
    <s v="EL PAICO"/>
    <s v="DONOSO OLGUIN"/>
    <s v="CRISTOPHER"/>
    <s v="MASCULINO"/>
    <s v="18347480-4"/>
    <d v="1993-05-14T00:00:00"/>
    <n v="354"/>
    <d v="2022-11-23T00:00:00"/>
    <s v="ANTIGUO"/>
    <m/>
    <m/>
    <m/>
    <s v=" "/>
    <s v="STP"/>
    <m/>
    <m/>
    <x v="5"/>
    <x v="35"/>
    <s v="OPERARIO"/>
    <s v="DESPLUMADO DE POLLO"/>
    <s v="N/A"/>
    <s v="TARDE"/>
    <d v="1899-12-30T22:30:00"/>
    <s v="MIERCOLES"/>
    <s v="SEMANA 47"/>
    <m/>
    <m/>
    <s v="VICTOR GOMEZ"/>
    <x v="44"/>
    <n v="29"/>
    <x v="3"/>
    <s v="Espalda"/>
    <s v="Quemadura"/>
    <s v="Contacto con sustancias corrosivas"/>
    <s v="TRABAJADOR LE CAE DETERGENTE EN LA ESPALDA, GENERANDO IRRITACION EN LA ZONA, EN EL DESPLUMADO DE POLLO "/>
    <s v="CONDICION"/>
    <s v="SI"/>
    <s v="NO"/>
    <s v="ALAN CARRASCO"/>
    <s v="GABRIELA CABEZAS"/>
  </r>
  <r>
    <n v="2022"/>
    <s v="NOVIEMBRE"/>
    <s v="EL PAICO"/>
    <s v="MUÑOZ GOMEZ"/>
    <s v="KEVIN "/>
    <s v="MASCULINO"/>
    <s v="20973124-K"/>
    <d v="2022-11-06T00:00:00"/>
    <n v="0"/>
    <d v="2022-11-26T00:00:00"/>
    <s v="NUEVO"/>
    <m/>
    <m/>
    <m/>
    <s v=" "/>
    <s v=" "/>
    <m/>
    <m/>
    <x v="0"/>
    <x v="4"/>
    <s v="OPERARIO"/>
    <s v="DESHUESADO"/>
    <s v="N/A"/>
    <s v="MAÑANA"/>
    <d v="1899-12-30T05:00:00"/>
    <s v="SABADO"/>
    <s v="SEMANA 47"/>
    <m/>
    <m/>
    <s v="DANIEL GARRIDO"/>
    <x v="11"/>
    <s v=" "/>
    <x v="5"/>
    <s v="Manos / dedos"/>
    <s v="Otros"/>
    <s v="Sobreesfuerzo"/>
    <s v="TRABAJDOR AL LEVANTAR CAJAS SIENTE TIRON EN MUÑECA DERECHA, DONDE SE PALETISAN PIELES DE POLLO."/>
    <s v="ACCION"/>
    <s v="SI"/>
    <s v="NO"/>
    <s v="ALAN CARRASCO"/>
    <s v="CRISTIAN JHON"/>
  </r>
  <r>
    <n v="2022"/>
    <s v="NOVIEMBRE"/>
    <s v="EL PAICO"/>
    <s v="  RAMIREZ MORALES"/>
    <s v="CALOLINA "/>
    <s v="FEMENINO"/>
    <s v=" 23587865-8"/>
    <d v="2016-11-28T00:00:00"/>
    <n v="72"/>
    <d v="2022-11-30T00:00:00"/>
    <s v="ANTIGUO"/>
    <m/>
    <m/>
    <m/>
    <s v=" "/>
    <s v=" "/>
    <s v="LGF"/>
    <s v="LGF 4"/>
    <x v="0"/>
    <x v="4"/>
    <s v="OPERARIO"/>
    <s v="DESHUESADO"/>
    <s v="EQUIPO PARA MOVIMIENTO DE CARGA (GRUAS O TRANSPALETAS)"/>
    <s v="TARDE"/>
    <d v="1899-12-30T16:20:00"/>
    <s v="MIERCOLES"/>
    <s v="SEMANA 48"/>
    <m/>
    <m/>
    <s v="DANIEL GARRIDO"/>
    <x v="11"/>
    <n v="40"/>
    <x v="13"/>
    <s v="Pierna"/>
    <s v="Contusión"/>
    <s v="Golpeado por"/>
    <s v="TRABAJADOR  ES IMPACTADA POR TRANSPALETA ELECTRICA CON BINS EN SU PIERNA IZQUERDA, EN CURVA HQ, ESTABA EN ZONA DELIMITADA PARA TRANSITAR, Y AL MOMENTO DE GIRAR ES IMPATADA "/>
    <s v="CONDICION "/>
    <s v="SI"/>
    <s v="NO"/>
    <s v="NICOLAS GOMEZ"/>
    <s v="WLADIMIR CALDERON"/>
  </r>
  <r>
    <n v="2022"/>
    <s v="NOVIEMBRE"/>
    <s v="EL PAICO"/>
    <s v=" HERNANDEZ JARA"/>
    <s v="GUILLERMO SEGUNDO "/>
    <s v="MASCULINO"/>
    <s v=" 9964280-7"/>
    <d v="2006-11-03T00:00:00"/>
    <n v="192"/>
    <d v="2022-11-30T00:00:00"/>
    <s v="ANTIGUO"/>
    <d v="2022-12-01T00:00:00"/>
    <m/>
    <m/>
    <n v="0"/>
    <s v="STP"/>
    <s v="LGF"/>
    <s v="LGF 4"/>
    <x v="4"/>
    <x v="38"/>
    <s v="OPERARIO"/>
    <s v="PASILLO IQF"/>
    <s v="EQUIPO PARA MOVIMIENTO DE CARGA (GRUAS O TRANSPALETAS)"/>
    <s v="TARDE"/>
    <d v="1899-12-30T19:40:00"/>
    <s v="MIRCOLES"/>
    <s v="SEMANA 48"/>
    <m/>
    <s v="NC° 140-22"/>
    <s v="GUILLERMO NARVAEZ"/>
    <x v="6"/>
    <n v="58"/>
    <x v="13"/>
    <s v="Tronco"/>
    <s v="Contusión"/>
    <s v="Golpeado por"/>
    <s v="TRABAJADOR VIENE TRASPORTANDO BINS CON TRASPALETA MANUAL, CIRCULANDO POR PASILLO DE COLGADO DE BANDEJAS DESDE IQF 1 HACIA IQF 4, EN ESE MOMENTO EN CURVA DE HQ, UN OPERADOR DE TRASPALETA ELECTRICA DE TPO, GOLPEA EL BINS DE ADELANTE, PRODUCTO DEL IMPACTO, EMPUJA TRASPALETA MANUAL PRODUCIENDOLE UN GOLPE EN ESPALDA AL TRABAJADOR."/>
    <s v="ACCION"/>
    <s v="SI"/>
    <s v="SI"/>
    <s v="NICOLAS GOMEZ"/>
    <s v="WLADIMIR CALDERON"/>
  </r>
  <r>
    <n v="2022"/>
    <s v="NOVIEMBRE"/>
    <s v="EL PAICO"/>
    <s v="DE LA PARRA"/>
    <s v="IKER"/>
    <s v="MASCULINO"/>
    <s v="24656580-5"/>
    <d v="2022-08-18T00:00:00"/>
    <n v="3"/>
    <d v="2022-11-30T00:00:00"/>
    <s v="NUEVO"/>
    <d v="2022-12-01T00:00:00"/>
    <m/>
    <m/>
    <n v="10"/>
    <s v="CTP"/>
    <m/>
    <m/>
    <x v="0"/>
    <x v="4"/>
    <s v="OPERARIO"/>
    <s v="PASILLO CAMARA 208"/>
    <s v="EQUIPO PARA MOVIMIENTO DE CARGA (GRUAS O TRANSPALETAS)"/>
    <s v="TARDE"/>
    <d v="1899-12-30T15:30:00"/>
    <s v="MIERCOLES"/>
    <s v="SEMANA 48"/>
    <m/>
    <s v="N° 136-22"/>
    <s v="DANIEL GARRIDO"/>
    <x v="11"/>
    <n v="18"/>
    <x v="13"/>
    <s v="Brazo"/>
    <s v="Otros"/>
    <s v="Sobreesfuerzo"/>
    <s v="TRABAJADOR SE ENCONTRABA MOVILIZANDO TRANSPALETA MANUAL POR PASILLO DE CAMARA 208, EN UNA MALA MANIOBRA DONDE SE PIERDE EL CONTROL DE LA TRANSPALETA EL TRABAJADOR REALIZA UN SOBREESFUERZO LO QUE PROVOCA UNA IPER EXTENSION DE LA MUÑACA LO QUE LE PROVOCA UNA PUNTADA Y FUERTE DOLOR EN LA ZONA"/>
    <s v="ACCION"/>
    <s v="SI"/>
    <s v="SI"/>
    <s v="NICOLAS GOMEZ"/>
    <s v="WLADIMIR CALDERON"/>
  </r>
  <r>
    <n v="2022"/>
    <s v="DICIEMBRE"/>
    <s v="EL PAICO"/>
    <s v="SUFRIN"/>
    <s v="JUNIOR"/>
    <s v="MASCULINO"/>
    <s v="26376527-3"/>
    <d v="2022-03-07T00:00:00"/>
    <n v="8"/>
    <d v="2022-12-02T00:00:00"/>
    <s v="NUEVO"/>
    <m/>
    <m/>
    <m/>
    <s v=" "/>
    <s v="STP"/>
    <m/>
    <m/>
    <x v="0"/>
    <x v="4"/>
    <s v="OPERARIO"/>
    <s v="DESHUESADO"/>
    <s v="N/A"/>
    <s v="TARDE"/>
    <d v="1899-12-30T16:50:00"/>
    <s v="VIERNES"/>
    <s v="SEMANA 48"/>
    <m/>
    <m/>
    <s v="DANIEL GARRIDO"/>
    <x v="11"/>
    <n v="29"/>
    <x v="11"/>
    <s v="Brazo"/>
    <s v="Otros"/>
    <s v="Sobreesfuerzo"/>
    <s v="TRABAJADOR SE ENCONTRABA EN SANITIZADO DE PRODUCTO EN LA LINEA DE DESHUESADO, AL MOMENTO DE SACAR UNA DE LAS BANDEJAS QUE SE ENCONTRABA SUMERJIDA ESTA SE RESBALA POR LO QUE AL TRATAR DE QUE NO SE DE VUELTA EL TRABAJADOR REALIZADA UN MOVIMIENTO BRUSCO Y DE SOBREESFUERZO POR LO QUE SIENTE TIRON EN HOMBRO IZQUIERDO."/>
    <s v="ACCION"/>
    <s v="SI"/>
    <s v="NO"/>
    <s v="NICOLAS GOMEZ"/>
    <s v="CRISTIAN JHON"/>
  </r>
  <r>
    <n v="2022"/>
    <s v="DICIEMBRE"/>
    <s v="EL PAICO"/>
    <s v="ROJAS MORALES"/>
    <s v="RAFAELA"/>
    <s v="FEMENINO"/>
    <s v="13772206-2"/>
    <d v="2011-05-02T00:00:00"/>
    <n v="139"/>
    <d v="2022-12-02T00:00:00"/>
    <s v="ANTIGUO"/>
    <m/>
    <m/>
    <m/>
    <s v=" "/>
    <s v="STP"/>
    <m/>
    <m/>
    <x v="2"/>
    <x v="52"/>
    <s v="OPERARIO"/>
    <s v="EVISCERADO DE POLLO"/>
    <s v="LIMPIADORA DE CONTRES"/>
    <s v="TARDE"/>
    <d v="1899-12-30T19:25:00"/>
    <s v="VIERNES"/>
    <s v="SEMANA 48"/>
    <m/>
    <m/>
    <s v="NICOLAS MOYANO"/>
    <x v="29"/>
    <n v="42"/>
    <x v="7"/>
    <s v="Manos / dedos"/>
    <s v="Herida cortante"/>
    <s v="Contacto con cuerpo cortante"/>
    <s v="TRABAJADORA SE ENCONTRABA TRABAJANDO EN MAQUINA LIMPIADORA DE CONTRES, DURANTE EL PROCESO LA TRABAJADORA SE CORTA CON REBARBA SOBRE SALIENTE EN EL BORDE DEL RODILLO"/>
    <s v="CONDICION"/>
    <s v="SI"/>
    <s v="NO"/>
    <s v="NICOLAS GOMEZ"/>
    <s v="CRISTIAN JHON"/>
  </r>
  <r>
    <n v="2022"/>
    <s v="DICIEMBRE"/>
    <s v="EL PAICO"/>
    <s v="CACERES BRAVO"/>
    <s v="LUIS"/>
    <s v="MASCULINO"/>
    <s v="19213174-K"/>
    <d v="2019-01-02T00:00:00"/>
    <n v="47"/>
    <d v="2022-12-03T00:00:00"/>
    <s v="ANTIGUO"/>
    <d v="2022-12-05T00:00:00"/>
    <d v="2022-12-05T00:00:00"/>
    <m/>
    <n v="0"/>
    <s v="STP"/>
    <m/>
    <m/>
    <x v="0"/>
    <x v="4"/>
    <s v="OPERARIO"/>
    <s v="LINEA SANITIZADO DE FILETILLO"/>
    <s v="N/A"/>
    <s v="MAÑANA"/>
    <d v="1899-12-30T12:00:00"/>
    <s v="SABADO"/>
    <s v="SEMANA 48"/>
    <m/>
    <m/>
    <s v="DANIEL GARRIDO"/>
    <x v="31"/>
    <n v="26"/>
    <x v="14"/>
    <s v="Ojos"/>
    <s v="Conjuntivitis"/>
    <s v="Proyeccion de particulas"/>
    <s v="TRABAJADOR SE ENCONTRABA CAMINANDO POR SECTOR DE SANITIZADO DE FILETILLO, EN ESE MOMENTO CAE LIQUIDO AL BINS DE SANITIAZADO Y ESTE SE PROYECTA SOBRE OJO DEL TRABAJADOR PRODUCINDO MOLESTAR"/>
    <s v="CONDICION"/>
    <s v="NO"/>
    <s v="NO"/>
    <s v="ALAN CARRASCO"/>
    <s v="Michelle Sanchez "/>
  </r>
  <r>
    <n v="2022"/>
    <s v="DICIEMBRE"/>
    <s v="EL PAICO"/>
    <s v="GONZALEZ ALFARO"/>
    <s v="ELIZABETH  "/>
    <s v="FEMENINO"/>
    <s v="12314382-5"/>
    <d v="2017-08-16T00:00:00"/>
    <n v="63"/>
    <d v="2022-12-04T00:00:00"/>
    <s v="ANTIGUO"/>
    <m/>
    <m/>
    <m/>
    <m/>
    <s v="STP"/>
    <m/>
    <m/>
    <x v="1"/>
    <x v="53"/>
    <s v="OPERARIO"/>
    <s v="CHILLER DE MENUDENCIA"/>
    <s v="N/A"/>
    <s v="NOCHE"/>
    <d v="1899-12-30T23:00:00"/>
    <s v="DOMINGO"/>
    <s v="SEMANA 48"/>
    <m/>
    <m/>
    <s v="CARLOS JIMENEZ"/>
    <x v="20"/>
    <n v="49"/>
    <x v="14"/>
    <s v="Brazo"/>
    <s v="Contusión"/>
    <s v="Caida de mismo nivel"/>
    <s v="TRABAJADORA SE ENCONTRABA CAMINANDO POR SECTOR CHILLER DE MENUNCIA, AL TRANSITAR TROPIESA CON MANGUERA LO QUE PRODUCE QUE ELLA SUFRA CAIDA A NIVEL GOLPEANDO POMULO IZQUIERDO "/>
    <s v="CONDICION"/>
    <s v="SI"/>
    <s v="NO"/>
    <s v="NICOLAS GOMEZ"/>
    <s v="WLADIMIR CALDERON"/>
  </r>
  <r>
    <n v="2022"/>
    <s v="DICIEMBRE"/>
    <s v="EL PAICO"/>
    <s v="ARTIGAS MARICAN"/>
    <s v="GLADYS"/>
    <s v="FEMENINO"/>
    <s v="12208557-0"/>
    <d v="2022-11-15T00:00:00"/>
    <n v="0"/>
    <d v="2022-12-05T00:00:00"/>
    <s v="NUEVO"/>
    <m/>
    <m/>
    <m/>
    <m/>
    <s v="STP"/>
    <m/>
    <m/>
    <x v="4"/>
    <x v="38"/>
    <s v="OPERARIO"/>
    <s v="CAMARINES"/>
    <s v="N/A"/>
    <s v="MAÑANA"/>
    <d v="1899-12-30T08:45:00"/>
    <s v="LUNES"/>
    <s v="SEMANA 49"/>
    <m/>
    <m/>
    <s v="GUILLERMO NARVAEZ"/>
    <x v="8"/>
    <n v="50"/>
    <x v="14"/>
    <s v="Rostro"/>
    <s v="Otros"/>
    <s v="Otros"/>
    <s v="TRABAJADORA INGRESA A SPA POR UNA PICAZON Y ENROJECIMIENTO EN CUELLO INDICANDO QUE ES PRODUCTO DEL UNIFORME YA QUE ESTO NO LE SUCEDE CON SU ROPA"/>
    <s v="CONDICION"/>
    <s v="NO"/>
    <s v="NO"/>
    <s v="NICOLAS GOMEZ"/>
    <s v="GABRIELA CABEZAS"/>
  </r>
  <r>
    <n v="2022"/>
    <s v="DICIEMBRE"/>
    <s v="EL PAICO"/>
    <s v="HERRERA PARDO"/>
    <s v="ROBERTO "/>
    <s v="MASCULINO"/>
    <s v="13771002-1"/>
    <d v="2000-08-18T00:00:00"/>
    <n v="267"/>
    <d v="2022-12-09T00:00:00"/>
    <s v="ANTIGUO"/>
    <m/>
    <m/>
    <m/>
    <m/>
    <s v="STP"/>
    <m/>
    <m/>
    <x v="2"/>
    <x v="54"/>
    <s v="OPERARIO"/>
    <s v="RECEPCION DE AVES"/>
    <s v="N/A"/>
    <s v="MAÑANA"/>
    <d v="1899-12-30T05:40:00"/>
    <s v="VIERNES"/>
    <s v="SEMANA 49"/>
    <m/>
    <m/>
    <s v="NICOLAS MOYANO"/>
    <x v="16"/>
    <n v="42"/>
    <x v="4"/>
    <s v="Manos / dedos"/>
    <s v="Contusión"/>
    <s v="Golpeado por"/>
    <s v="TRABAJADOR SUFRE GOLPE EN DEDO INDICE DE MANO DERECHO CON PILAR AL ESTAR REVISANDO GANCHOS EN LA LINEA DE GOLGADO, RECEPCION DE AVES"/>
    <s v="ACCION"/>
    <s v="SI"/>
    <s v="NO"/>
    <s v="NICOLAS GOMEZ"/>
    <s v="WLADIMIR CALDERON"/>
  </r>
  <r>
    <n v="2022"/>
    <s v="DICIEMBRE"/>
    <s v="EL PAICO"/>
    <s v="HERNANDEZ"/>
    <s v="JORGE  "/>
    <s v="MASCULINO"/>
    <s v="18487241-2"/>
    <d v="2019-05-22T00:00:00"/>
    <n v="42"/>
    <d v="2022-12-10T00:00:00"/>
    <s v="ANTIGUO"/>
    <m/>
    <m/>
    <m/>
    <s v=" "/>
    <s v="STP"/>
    <m/>
    <m/>
    <x v="7"/>
    <x v="22"/>
    <s v="OPERARIO"/>
    <s v="CONGELADO DE BLOQUES"/>
    <s v="N/A"/>
    <s v="MAÑANA"/>
    <d v="1899-12-30T14:30:00"/>
    <s v="SABADO"/>
    <s v="SEMANA 49"/>
    <m/>
    <m/>
    <s v="OCTAVIO MUÑOZ"/>
    <x v="41"/>
    <n v="29"/>
    <x v="10"/>
    <s v="Manos / dedos"/>
    <s v="Contusión"/>
    <s v="Golpeado por"/>
    <s v="TRABAJADOR SUFRE ATRISION DE DEDO ANULAR IZQUIERDO AL MOMENTO DE  ESTAR DESCARGANDO PLACAS DE PRODUCTO CONGELADO "/>
    <s v="ACCION"/>
    <s v="SI"/>
    <s v="NO"/>
    <s v="NICOLAS GOMEZ"/>
    <s v="CRISTIAN JHON"/>
  </r>
  <r>
    <n v="2022"/>
    <s v="DICIEMBRE"/>
    <s v="EL PAICO"/>
    <s v="PEREZ LAGOS"/>
    <s v="CARLOS "/>
    <s v="MASCULINO"/>
    <s v="21007455-4"/>
    <d v="2021-05-17T00:00:00"/>
    <n v="18"/>
    <d v="2022-12-12T00:00:00"/>
    <s v="NUEVO"/>
    <m/>
    <m/>
    <m/>
    <m/>
    <s v="STP"/>
    <m/>
    <m/>
    <x v="0"/>
    <x v="0"/>
    <s v="OPERARIO"/>
    <s v="T. AUTOMATICO"/>
    <s v="N/A"/>
    <s v="MAÑANA"/>
    <d v="1899-12-30T10:40:00"/>
    <s v="LUNES"/>
    <s v="SEMANA 50"/>
    <m/>
    <m/>
    <s v="DANIEL GARRIDO"/>
    <x v="31"/>
    <n v="20"/>
    <x v="14"/>
    <s v="Manos / dedos"/>
    <s v="Contusión"/>
    <s v="Caida de mismo nivel"/>
    <s v="TRABAJADOR PRESENTA DOLENCIA EN DEDO INDICE DE MANO IZQUIERDA PRODUCTO DE APOYARSE SOBRE SU MANO AL SUFRIR UNA CAIDA A MISMO NIVEL CUANDO ESTABA INGRESANDO A SALA DE TROZADO AUTOMATICO"/>
    <s v="ACCION"/>
    <s v="NO"/>
    <s v="NO"/>
    <s v="NICOLAS GOMEZ"/>
    <s v="WLADIMIR CALDERON"/>
  </r>
  <r>
    <n v="2022"/>
    <s v="DICIEMBRE"/>
    <s v="EL PAICO"/>
    <s v="SANMARTIN ANDRADE"/>
    <s v="JORDAN"/>
    <s v="MASCULINO"/>
    <s v="17631969-0"/>
    <d v="2022-10-17T00:00:00"/>
    <n v="1"/>
    <d v="2022-12-12T00:00:00"/>
    <s v="NUEVO"/>
    <m/>
    <m/>
    <m/>
    <m/>
    <s v="STP"/>
    <s v="LGF"/>
    <s v="LGF 4"/>
    <x v="6"/>
    <x v="33"/>
    <s v="OPERARIO"/>
    <s v="CAMARA"/>
    <s v="EQUIPO PARA MOVIMIENTO DE CARGA (GRUAS O TRANSPALETAS)"/>
    <s v="TARDE"/>
    <d v="1899-12-30T18:45:00"/>
    <s v="LUNES"/>
    <s v="SEMANA 50"/>
    <m/>
    <m/>
    <s v="FRANCISCO QUEZADA"/>
    <x v="45"/>
    <n v="31"/>
    <x v="13"/>
    <s v="Pie"/>
    <s v="Torsión"/>
    <s v="Golpeado por"/>
    <s v="TRABAJADOR SUFRE ATRISION DE SU PIE IZQUIERDA PROBOCADO POR UNA TRANSPALETA ELECTRICA LA CUAL NO SE PERCATA DE QUES ENCUENTRA EL TRABAJADOR EN LA PARTE POSTERIOR DE LOS PALLETS QUE SE DISPONIA A MOVER, POR LO QUE MUEVE UN PALLET LLENO DE PRODUCTO Y OTRO VACIO SIENDO ESTE ULTIMO EL QUE ATRISION PIE DE TRABAJADOR CONTRA ESTRUCTURA METALICA"/>
    <s v="ACCION"/>
    <s v="SI"/>
    <s v="NO"/>
    <s v="NICOLAS GOMEZ"/>
    <s v="WLADIMIR CALDERON"/>
  </r>
  <r>
    <n v="2022"/>
    <s v="DICIEMBRE"/>
    <s v="EL PAICO"/>
    <s v="CARVALLO"/>
    <s v="JOSE "/>
    <s v="MASCULINO"/>
    <s v="15404926-6"/>
    <d v="2005-06-18T00:00:00"/>
    <n v="209"/>
    <d v="2022-12-12T00:00:00"/>
    <s v="ANTIGUO"/>
    <m/>
    <m/>
    <m/>
    <m/>
    <s v="STP"/>
    <m/>
    <m/>
    <x v="0"/>
    <x v="4"/>
    <s v="SUPERVISOR"/>
    <s v="DESHUESADO"/>
    <s v="CUCHILLO"/>
    <s v="TARDE"/>
    <d v="1899-12-30T21:30:00"/>
    <s v="LUNES"/>
    <s v="SEMANA 50"/>
    <m/>
    <m/>
    <s v="DANIEL GARRIDO"/>
    <x v="11"/>
    <n v="40"/>
    <x v="2"/>
    <s v="Manos / dedos"/>
    <s v="Herida cortante"/>
    <s v="Contacto con cuerpo cortante"/>
    <s v="TRABAJADOR INDICA QUE SE ENCONTRABA EN SALA DE DESHUESADO ENSEÑANDO A TRABAJADOR NUEVO EN LINEA DE PROLIJADO, EL MOMENTO DE FINALIZAR EL TRABAJADOR PROCEDE A GUARDAR EL CUCHILLO EN EL ESPACIO DESTINADO EN ESE MOMENTO ESTE RESBALA CON FILO HACIA AFUERA PRODUCIENDO CORTE EN DEDO MEÑIQUE DE MANO IZQUIERDA"/>
    <s v="ACCION"/>
    <s v="SI"/>
    <s v="NO"/>
    <s v="NICOLAS GOMEZ"/>
    <s v="WLADIMIR CALDERON"/>
  </r>
  <r>
    <n v="2022"/>
    <s v="DICIEMBRE"/>
    <s v="EL PAICO"/>
    <s v="MENA DURAN"/>
    <s v="ESTEBAN  "/>
    <s v="MASCULINO"/>
    <s v="17210692-7"/>
    <d v="2021-01-06T00:00:00"/>
    <n v="23"/>
    <d v="2022-12-13T00:00:00"/>
    <s v="INTERMEDIO"/>
    <m/>
    <m/>
    <m/>
    <m/>
    <s v="STP"/>
    <s v="LGF"/>
    <s v="LGF 2 - LGF 7"/>
    <x v="2"/>
    <x v="52"/>
    <s v="OPERARIO"/>
    <s v="EVISCERADO DE POLLO"/>
    <s v="REPASADORA DE CORAZON"/>
    <s v="MAÑANA"/>
    <d v="1899-12-30T12:00:00"/>
    <s v="MARTES"/>
    <s v="SEMANA 50"/>
    <m/>
    <m/>
    <s v="NICOLAS MOYANO"/>
    <x v="7"/>
    <n v="32"/>
    <x v="7"/>
    <s v="Manos / dedos"/>
    <s v="Herida cortante"/>
    <s v="Atrapamiento"/>
    <s v="TRABAJADOR AL PONER TAPA DE MAQUINA  REPASADORA DE CORAZON EN SU LUGAR ESTA SE CAE Y SU MANO SE VA HACIA DENTRO DE LA MAQUINA DONDE ESTA UNA CADENA QUE LE REALIZA UN CORTE EN DEDO INDICE DE MANO DERECHA."/>
    <s v="ACCION"/>
    <s v="SI"/>
    <s v="NO"/>
    <s v="NICOLAS GOMEZ"/>
    <s v="GABRIELA CABEZAS"/>
  </r>
  <r>
    <n v="2022"/>
    <s v="DICIEMBRE"/>
    <s v="EL PAICO"/>
    <s v="GOMEZ JORQUERA"/>
    <s v="JORGE "/>
    <s v="MASCULINO"/>
    <s v="15401311-3"/>
    <d v="2020-12-09T00:00:00"/>
    <n v="24"/>
    <d v="2022-12-13T00:00:00"/>
    <s v="INTERMEDIO"/>
    <m/>
    <m/>
    <m/>
    <m/>
    <s v="STP"/>
    <m/>
    <m/>
    <x v="2"/>
    <x v="52"/>
    <s v="OPERARIO"/>
    <s v="EVISCERADO DE POLLO"/>
    <s v="N/A"/>
    <s v="MAÑANA"/>
    <d v="1899-12-30T11:10:00"/>
    <s v="MARTES"/>
    <s v="SEMANA 50"/>
    <m/>
    <m/>
    <s v="NICOLAS MOYANO"/>
    <x v="7"/>
    <n v="40"/>
    <x v="0"/>
    <s v="Brazo"/>
    <s v="Otros"/>
    <s v="Sobreesfuerzo"/>
    <s v="TRABAJADOR INGRESA A SPA POR MOLESTIA EN ANTEBRAZO DERECHO ESTO PRODUCTO DE LEVANTAR UNA MANGUERA EN LA SALA"/>
    <s v="ACCION"/>
    <s v="NO"/>
    <s v="NO"/>
    <s v="NICOLAS GOMEZ"/>
    <s v="GABRIELA CABEZAS"/>
  </r>
  <r>
    <n v="2022"/>
    <s v="DICIEMBRE"/>
    <s v="EL PAICO "/>
    <s v="SALGADO SIL"/>
    <s v="JOSE"/>
    <s v="MASCULINO"/>
    <s v="15355520-6"/>
    <d v="2020-05-20T00:00:00"/>
    <n v="30"/>
    <d v="2022-12-14T00:00:00"/>
    <s v="INTERMEDIO"/>
    <m/>
    <m/>
    <m/>
    <s v=" "/>
    <s v="STP"/>
    <m/>
    <m/>
    <x v="2"/>
    <x v="55"/>
    <s v="OPERARIO"/>
    <s v="DESPLUMADO DE POLLO"/>
    <s v="N/A"/>
    <s v="TARDE"/>
    <d v="1899-12-30T20:05:00"/>
    <s v="MIERCOLES"/>
    <s v="SEMANA 50"/>
    <m/>
    <m/>
    <s v="NICOLAS MOYANO"/>
    <x v="7"/>
    <n v="39"/>
    <x v="17"/>
    <s v="Brazo"/>
    <s v="Otros"/>
    <s v="Contacto con electricidad"/>
    <s v="TRABAJADOR SE DIRIGIA A CORTAR EL SUIMINISTRO DE AGUA EN LA CORTADORA DE CABEZAS, SALA DE ECALDADO Y DESPLUMADO, EN ESE MOMENTO TOCA PARED Y TUBO DE CONDUIT CON HUMEDAD LA CUAL TRASPASO LAS HUINCHA AISLANTE DANDOLE UNA DESCARGA AL TRABAJADOR"/>
    <s v="CONDICION"/>
    <s v="SI"/>
    <s v="NO"/>
    <s v="NICOLAS GOMEZ"/>
    <s v="CRISTIAN JHON"/>
  </r>
  <r>
    <n v="2022"/>
    <s v="DICIEMBRE"/>
    <s v="EL PAICO"/>
    <s v="ORTIZ ESPINOZA"/>
    <s v="LAURA "/>
    <s v="FEMENINO"/>
    <s v="13239518-7"/>
    <d v="2020-02-10T00:00:00"/>
    <n v="34"/>
    <d v="2022-12-14T00:00:00"/>
    <s v="INTERMEDIO"/>
    <m/>
    <m/>
    <m/>
    <s v=" "/>
    <s v="STP"/>
    <m/>
    <m/>
    <x v="7"/>
    <x v="48"/>
    <s v="OPERARIO"/>
    <s v="REPORTE DE CAJAS"/>
    <s v="N/A"/>
    <s v="MAÑANA"/>
    <d v="1899-12-30T14:05:00"/>
    <s v="MIERCOLES"/>
    <s v="SEMANA 50"/>
    <m/>
    <m/>
    <s v="OCTAVIO MUÑOZ"/>
    <x v="36"/>
    <n v="46"/>
    <x v="4"/>
    <s v="Manos / dedos"/>
    <s v="Contusión"/>
    <s v="Golpeado por"/>
    <s v="TRABAJADOR SE ENCONTRABA ETIQUETANDO CAJAS EN DROP POINT, AL MOMENTO DE LEVANTAR CAJA ESTE GOLPEA DEDO MEDIO DE MANO IZQUIERDA CON ESTRUCTURA METALICA"/>
    <s v="ACCION"/>
    <s v="SI"/>
    <s v="NO"/>
    <s v="NICOLAS GOMEZ"/>
    <s v="CRISTIAN JHON"/>
  </r>
  <r>
    <n v="2022"/>
    <s v="DICIEMBRE"/>
    <s v="EL PAICO"/>
    <s v="ABARCA MENA"/>
    <s v="DIEGO "/>
    <s v="MASCULINO"/>
    <s v="20344903-8"/>
    <d v="2022-11-22T00:00:00"/>
    <n v="0"/>
    <d v="2022-12-15T00:00:00"/>
    <s v="NUEVO"/>
    <m/>
    <m/>
    <m/>
    <s v=" "/>
    <s v="STP"/>
    <m/>
    <m/>
    <x v="4"/>
    <x v="5"/>
    <s v="OPERARIO"/>
    <s v="CALIBRADO"/>
    <s v="N/A"/>
    <s v="TARDE"/>
    <d v="1899-12-30T22:30:00"/>
    <s v="JUEVES"/>
    <s v="SEMANA 50"/>
    <m/>
    <m/>
    <s v="GUILLERMO NARVAEZ"/>
    <x v="8"/>
    <n v="22"/>
    <x v="14"/>
    <s v="Pierna"/>
    <s v="Contusión"/>
    <s v="Caida de mismo nivel"/>
    <s v="TRABAJADOR ESTABA BAJANDO POR ESCALERA DE CALIBRADO EN ESE MOMENTO TROPIEZA Y SUFRE CAIDA A MISMO NIVEL GOLPEANDO ANTEBRAZO DERECHO Y RODILLA IZQUIERDA"/>
    <s v="ACCION"/>
    <s v="NO"/>
    <s v="NO"/>
    <s v="NICOLAS GOMEZ"/>
    <s v="Michelle Sanchez "/>
  </r>
  <r>
    <n v="2022"/>
    <s v="DICIEMBRE"/>
    <s v="EL PAICO"/>
    <s v="ROCHA VARELA"/>
    <s v="MARIANA"/>
    <s v="FEMENINO"/>
    <s v="15596634-3"/>
    <d v="2021-02-09T00:00:00"/>
    <n v="22"/>
    <d v="2022-12-16T00:00:00"/>
    <s v="INTERMEDIO"/>
    <m/>
    <m/>
    <m/>
    <s v=" "/>
    <s v="STP"/>
    <m/>
    <m/>
    <x v="4"/>
    <x v="5"/>
    <s v="OPERARIO"/>
    <s v="CALIBRADO"/>
    <s v="N/A"/>
    <s v="TARDE "/>
    <d v="1899-12-30T21:50:00"/>
    <s v="VIERNES"/>
    <s v="SEMANA 50"/>
    <m/>
    <m/>
    <s v="GUILLERMO NARVAEZ"/>
    <x v="8"/>
    <n v="39"/>
    <x v="4"/>
    <s v="Manos / dedos"/>
    <s v="Contusión"/>
    <s v="Golpeado por"/>
    <s v="TRABAJADOR SUFRE GOLPE EN DEDO MEÑIQUE IZQUIERDO AL MOMENTO DE ESTAR ACOMODANDO BANDEJAS EN CALIBRADO, GOLPE SE PRODUCE POR EL CONTACTO CON ESTRCUTURA METALICA"/>
    <s v="ACCION"/>
    <s v="SI"/>
    <s v="NO"/>
    <s v="NICOLAS GOMEZ"/>
    <s v="WLADIMIR CALDERON"/>
  </r>
  <r>
    <n v="2022"/>
    <s v="DICIEMBRE"/>
    <s v="EL PAICO"/>
    <s v="CAYUMAN VENEGAS"/>
    <s v="JAIME "/>
    <s v="MASCULINO"/>
    <s v="15731693-1"/>
    <d v="2019-02-18T00:00:00"/>
    <n v="46"/>
    <d v="2022-12-19T00:00:00"/>
    <s v="ANTIGUO"/>
    <m/>
    <m/>
    <m/>
    <s v=" "/>
    <s v="STP"/>
    <m/>
    <m/>
    <x v="7"/>
    <x v="56"/>
    <s v="OPERARIO"/>
    <s v="EMBALAJE Y ETIQUETADO"/>
    <s v="N/A"/>
    <s v="MAÑANA"/>
    <d v="1899-12-30T07:25:00"/>
    <s v="LUNES"/>
    <s v="SEMANA 51"/>
    <m/>
    <m/>
    <s v="OCTAVIO MUÑOZ"/>
    <x v="18"/>
    <n v="38"/>
    <x v="4"/>
    <s v="Cabeza"/>
    <s v="Contusión"/>
    <s v="Golpeado contra"/>
    <s v="TRABAJDOR REFIERE ESTAR COLOCANDO FILM Y AL GIRAR SE GOLPE LA ZONA FRONTAL SUPERIOR EFECTUANDOSE UN CORTE SUPERFICIAL, CON UNA REJILLA QUE ESTA SOBRESALIENTE EN CARRO"/>
    <s v="ACCION"/>
    <s v="SI"/>
    <s v="NO"/>
    <s v="ALAN CARRASCO"/>
    <s v="GABRIELA CABEZAS"/>
  </r>
  <r>
    <n v="2022"/>
    <s v="DICIEMBRE"/>
    <s v="EL PAICO"/>
    <s v="ACEVEDO NUÑEZ"/>
    <s v="NICOLE"/>
    <s v="FEMENINO"/>
    <s v="16562004-6"/>
    <d v="2021-06-09T00:00:00"/>
    <n v="18"/>
    <d v="2022-12-19T00:00:00"/>
    <s v="NUEVO"/>
    <m/>
    <m/>
    <m/>
    <s v=" "/>
    <s v="STP"/>
    <m/>
    <m/>
    <x v="4"/>
    <x v="5"/>
    <s v="OPERARIO"/>
    <s v="CALIBRADO"/>
    <s v="ENZUNCHADORA MOSCA"/>
    <s v="MAÑANA"/>
    <d v="1899-12-30T07:15:00"/>
    <s v="LUNES"/>
    <s v="SEMANA 51"/>
    <m/>
    <m/>
    <s v="GUILLERMO NARVAEZ"/>
    <x v="8"/>
    <n v="35"/>
    <x v="7"/>
    <s v="Manos / dedos"/>
    <s v="Atrición"/>
    <s v="Atrapamiento"/>
    <s v="TRABAJADORA SUFRE ATRAPAMIENTO DE DORCHO DE SU MANO DERECHA, ESTA PRODUCTO DE DETENER UNA CAJA PARA EVITAR DE QUE PASARA SIN ZUNCHO, ACCIDENTE DE PRODUCE ENTRE ENZUNCHADORA MOSCA Y ESTRUCTURA METALICA DE LA PROPIA MAQUINA.  "/>
    <s v="CONDICION"/>
    <s v="SI"/>
    <s v="NO"/>
    <s v="NICOLAS GOMEZ"/>
    <s v="Michelle Sanchez "/>
  </r>
  <r>
    <n v="2022"/>
    <s v="DICIEMBRE"/>
    <s v="EL PAICO"/>
    <s v="PINTO HINOJOSA"/>
    <s v="MARIA"/>
    <s v="FEMENINO"/>
    <s v="19057517-9"/>
    <d v="2020-01-20T00:00:00"/>
    <n v="35"/>
    <d v="2022-12-21T00:00:00"/>
    <s v="INTERMEDIO"/>
    <m/>
    <m/>
    <m/>
    <s v=" "/>
    <s v="STP"/>
    <m/>
    <m/>
    <x v="0"/>
    <x v="4"/>
    <s v="OPERARIO"/>
    <s v="PROLIJADO DE PECHUGA"/>
    <s v="N/A"/>
    <s v="TARDE"/>
    <d v="1899-12-30T16:00:00"/>
    <s v="MIERCOLES"/>
    <s v="SEMANA 51"/>
    <m/>
    <m/>
    <s v="DANIEL GARRIDO "/>
    <x v="31"/>
    <n v="27"/>
    <x v="14"/>
    <s v="Ojos"/>
    <s v="Otros"/>
    <s v="Otros"/>
    <s v="TRABAJADOR AL ESTAR ESTRA EN LA LINE DE PRODUCCION EN DESHUEADO PROLIJANDO PRODUCTO (PECHUGA DE POLLO) Y SIENTE LIQUIDO EN SU OJO DERECHO ESPERA ½ HORA POR DOLOR LE AVISA A SUPERVISOR."/>
    <s v="ACCION"/>
    <s v="SI"/>
    <s v="NO"/>
    <s v="ALAN CARRASCO"/>
    <s v="GABRIELA CABEZAS"/>
  </r>
  <r>
    <n v="2022"/>
    <s v="DICIEMBRE"/>
    <s v="EL PAICO"/>
    <s v="JORZILUS"/>
    <s v="ARNER"/>
    <s v="MASCULINO"/>
    <s v="26024374-8"/>
    <d v="2022-09-12T00:00:00"/>
    <n v="3"/>
    <d v="2022-12-22T00:00:00"/>
    <s v="NUEVO"/>
    <m/>
    <m/>
    <m/>
    <s v=" "/>
    <s v="STP"/>
    <m/>
    <m/>
    <x v="1"/>
    <x v="4"/>
    <s v="OPERARIO"/>
    <s v="DESHUESADO"/>
    <s v="N/A"/>
    <s v="MAÑANA "/>
    <d v="1899-12-30T05:05:00"/>
    <s v="JUEVES"/>
    <s v="SEMANA 51"/>
    <m/>
    <m/>
    <s v="CARLOS JIMENEZ"/>
    <x v="1"/>
    <n v="30"/>
    <x v="14"/>
    <s v="Ojos"/>
    <s v="Otros"/>
    <s v="Otros"/>
    <s v=" TRABAJDOR REFIERE PROYECCION DE LIQUIDO SANITIZANTE A OJO DERECH, CUANDO SANITIZABA LA MAQUINAS EN SALA DE POLLO, AL GOLPEAR EL LIQUIDO SANITIZANTE EN LA MAQUINA LE SALE PROYECTADO AL OJO DERECHO."/>
    <s v="ACCION"/>
    <s v="SI"/>
    <s v="NO"/>
    <s v="ALAN CARRASCO"/>
    <s v="GABRIELA CABEZAS"/>
  </r>
  <r>
    <n v="2022"/>
    <s v="DICIEMBRE"/>
    <s v="EL PAICO"/>
    <s v="AÑASCO"/>
    <s v="JUAN PABLO"/>
    <s v="MASCULINO"/>
    <s v="16342126-7"/>
    <d v="2022-11-07T00:00:00"/>
    <n v="1"/>
    <d v="2022-12-23T00:00:00"/>
    <s v="NUEVO"/>
    <m/>
    <m/>
    <m/>
    <s v=" "/>
    <s v="STP"/>
    <m/>
    <m/>
    <x v="1"/>
    <x v="53"/>
    <s v="OPERARIO"/>
    <s v="EVISCERADO DE POLLO"/>
    <s v="N/A"/>
    <s v="NOCHE"/>
    <d v="1899-12-30T22:50:00"/>
    <s v="VIERNES"/>
    <s v="SEMANA 51"/>
    <m/>
    <m/>
    <s v="CARLOS JIMENEZ"/>
    <x v="14"/>
    <s v=" "/>
    <x v="0"/>
    <s v="Rostro"/>
    <s v="Quemadura"/>
    <s v="Contacto con temperaturas extremas"/>
    <s v="SUFRE QUEMADURA TIPO A-B EN ROSTRO (EN PARTE SUPERIOR DE CEJA DERECHA) CON AGUA CALIENE AL LAVAR MAQUINA CON MANGUERA, ESTA SE SUELTA Y SALPICA AGUA EN SU CARA"/>
    <s v="ACCION"/>
    <s v="SI"/>
    <s v="SI"/>
    <s v="NICOLAS GOMEZ"/>
    <s v="Michelle Sanchez "/>
  </r>
  <r>
    <n v="2022"/>
    <s v="DICIEMBRE"/>
    <s v="EL PAICO"/>
    <s v="SILVA CHACON"/>
    <s v="PATRICIO"/>
    <s v="MASCULINO"/>
    <s v="13250728-7"/>
    <d v="2014-05-02T00:00:00"/>
    <n v="103"/>
    <d v="2022-12-23T00:00:00"/>
    <s v="ANTIGUO"/>
    <m/>
    <m/>
    <m/>
    <s v=" "/>
    <s v="STP"/>
    <m/>
    <m/>
    <x v="0"/>
    <x v="0"/>
    <s v="OPERARIO"/>
    <s v="T. AUTOMATICO"/>
    <s v="N/A"/>
    <s v="MAÑANA"/>
    <d v="1899-12-30T07:30:00"/>
    <s v="VIERNES"/>
    <s v="SEMANA 51"/>
    <m/>
    <m/>
    <s v="DANIEL GARRIDO"/>
    <x v="13"/>
    <s v=" "/>
    <x v="14"/>
    <s v="Brazo"/>
    <s v="Otros"/>
    <s v="Sobreesfuerzo"/>
    <s v="TRABAJADOR INGRESA A SPA POR TIRON EN ANTEBRAZO DERECHO PRODUCIDO AL ESTAR GOLGANDO POLLOS EN TROZADO AUTOMATICO, TRABAJADOR PRESENTA PRESCRIPCION DE HACE UN AÑO POR EP DECLARADA"/>
    <s v="ACCION"/>
    <s v="SI"/>
    <s v="NO"/>
    <s v="NICOLAS GOMEZ"/>
    <s v="Michelle Sanchez "/>
  </r>
  <r>
    <n v="142"/>
    <s v="DICIEMBRE"/>
    <s v="EL PAICO"/>
    <s v="GONZALEZ MATELUNA"/>
    <s v="ERNESTO"/>
    <s v="MASCULINO"/>
    <s v="15402365-8"/>
    <d v="2011-06-13T00:00:00"/>
    <n v="138"/>
    <d v="2022-12-24T00:00:00"/>
    <s v="ANTIGUO"/>
    <m/>
    <m/>
    <m/>
    <s v=" "/>
    <s v="CTP"/>
    <m/>
    <m/>
    <x v="7"/>
    <x v="57"/>
    <s v="OPERARIO"/>
    <s v="INYECTORA ISHIDA"/>
    <s v="N/A"/>
    <s v="NOCHE"/>
    <d v="1899-12-30T01:00:00"/>
    <s v="SABADO"/>
    <s v="SEMANA 51"/>
    <m/>
    <s v="N° 142-22"/>
    <s v="OCTAVIO MUÑOZ"/>
    <x v="18"/>
    <s v=" "/>
    <x v="3"/>
    <s v="Ojos"/>
    <s v="Conjuntivitis"/>
    <s v="Contacto con sustancias corrosivas"/>
    <s v="SUFRE SALPICADURA DE LIQUIDO (BIO-REMOVE) EN OJO IZQUIERDO AL VACIAR DETERGENTE EN EL ESTANQUE DE MAQUINA EN MAQUINA INYECTORA (ISHIDA)"/>
    <s v="ACCION"/>
    <s v="SI"/>
    <s v="SI"/>
    <s v="NICOLAS GOMEZ"/>
    <s v="Michelle Sanchez "/>
  </r>
  <r>
    <n v="2022"/>
    <s v="DICIEMBRE"/>
    <s v="EL PAICO"/>
    <s v="VIDAL VERA"/>
    <s v="ALEXANDRA"/>
    <s v="FEMENINO"/>
    <s v="20137738-2"/>
    <d v="2021-06-17T00:00:00"/>
    <n v="18"/>
    <d v="2022-12-28T00:00:00"/>
    <s v="NUEVO"/>
    <m/>
    <m/>
    <m/>
    <s v=" "/>
    <s v="STP"/>
    <m/>
    <m/>
    <x v="11"/>
    <x v="14"/>
    <s v="OPERARIO"/>
    <s v="CAMARA 208"/>
    <s v="N/A"/>
    <s v="TARDE"/>
    <d v="1899-12-30T22:00:00"/>
    <s v="MIERCOLES"/>
    <s v="SEMANA 52"/>
    <m/>
    <m/>
    <s v="LUIS ESPEJO"/>
    <x v="29"/>
    <s v=" "/>
    <x v="14"/>
    <s v="Brazo"/>
    <s v="Otros"/>
    <s v="Sobreesfuerzo"/>
    <s v="trabajadora presenta dolencia en brazo derecho al tirar etiquetas en camara 208"/>
    <s v="ACCION"/>
    <s v="SI"/>
    <s v="NO"/>
    <s v="NICOLAS GOMEZ"/>
    <s v="WLADIMIR CALDERON"/>
  </r>
  <r>
    <n v="2022"/>
    <s v="DICIEMBRE"/>
    <s v="EL PAICO"/>
    <s v="TRUJILLO VELOZO"/>
    <s v="ARIEL "/>
    <s v="MASCULINO"/>
    <s v="19067846-6"/>
    <d v="2022-06-22T00:00:00"/>
    <n v="6"/>
    <d v="2022-12-28T00:00:00"/>
    <s v="NUEVO"/>
    <m/>
    <m/>
    <m/>
    <s v=" "/>
    <s v="STP"/>
    <m/>
    <m/>
    <x v="12"/>
    <x v="23"/>
    <s v="TECNICO PREVENTIVO"/>
    <s v="ESTACIONAMIENTO"/>
    <s v="N/A"/>
    <s v="MAÑANA "/>
    <d v="1899-12-30T06:45:00"/>
    <s v="MIERCOLES "/>
    <s v="SEMANA 52"/>
    <m/>
    <m/>
    <s v="VICTOR GOMEZ"/>
    <x v="46"/>
    <n v="27"/>
    <x v="14"/>
    <s v="Pierna"/>
    <s v="Torsión"/>
    <s v="Otros"/>
    <s v="TRABAJADOR REFIERE DOLENCIA EN RODILLA DERECHA POR TORSION AL PISAR TIERRA SUELTA EN ESTACIONAMIENTO AL SACAR MOCHILA DE SU AUTO "/>
    <s v="ACCION"/>
    <s v="SI"/>
    <s v="NO"/>
    <s v="ALAN CARRASCO"/>
    <s v="WLADIMIR CALDERON"/>
  </r>
  <r>
    <n v="2022"/>
    <s v="DICIEMBRE"/>
    <s v="EL PAICO"/>
    <s v="PLAZA PERES"/>
    <s v="MIGUEL"/>
    <s v="MASCULINO"/>
    <s v="20137087-6"/>
    <d v="2022-11-29T00:00:00"/>
    <n v="0"/>
    <d v="2022-12-28T00:00:00"/>
    <s v="NUEVO"/>
    <m/>
    <m/>
    <m/>
    <s v=" "/>
    <s v="STP"/>
    <m/>
    <m/>
    <x v="0"/>
    <x v="41"/>
    <s v="OPERARIO"/>
    <s v="T. AUTOMATICO"/>
    <s v="CUCHILLO"/>
    <s v="TARDE"/>
    <d v="1899-12-30T00:05:00"/>
    <s v="JUEVES"/>
    <s v="SEMANA 52"/>
    <m/>
    <m/>
    <s v="DANIEL GARRIDO"/>
    <x v="13"/>
    <s v=" "/>
    <x v="2"/>
    <s v="Manos / dedos"/>
    <s v="Herida cortante"/>
    <s v="Contacto con cuerpo cortante"/>
    <s v="Refiere   que al estar sacando pollos de un bins un compañero introduce un cuchillo al bins provocando una herida en su dedo índice superior izquierdo"/>
    <s v="ACCION"/>
    <s v="SI"/>
    <s v="NO"/>
    <s v="NICOLAS GOMEZ"/>
    <s v="WLADIMIR CALDERON"/>
  </r>
  <r>
    <n v="2022"/>
    <s v="DICIEMBRE"/>
    <s v="EL PAICO"/>
    <s v="HENRIQUEZ VARGAS "/>
    <s v="FERNANDO "/>
    <s v="MASCULINO"/>
    <s v="18538961-8 "/>
    <d v="2022-11-04T00:00:00"/>
    <n v="1"/>
    <d v="2022-12-29T00:00:00"/>
    <s v="NUEVO"/>
    <m/>
    <m/>
    <m/>
    <s v=" "/>
    <s v="STP"/>
    <n v="0"/>
    <m/>
    <x v="5"/>
    <x v="49"/>
    <s v="OPERADOR "/>
    <s v="TRAYECTO"/>
    <s v="TRAYECTO"/>
    <s v="NOCHE"/>
    <d v="1899-12-30T01:00:00"/>
    <s v="VIERNES"/>
    <s v="SEMANA 52"/>
    <m/>
    <m/>
    <s v="VICTOR GOMEZ"/>
    <x v="47"/>
    <n v="29"/>
    <x v="14"/>
    <s v="Otro"/>
    <s v="Contusión"/>
    <s v="Otros"/>
    <s v="sufre accidente trayecto el día 29/12/2022 a las 01:00 al llegar a su domicilio se cae de motocicleta."/>
    <s v="ACCION"/>
    <s v="NO"/>
    <s v="NO"/>
    <s v="ALAN CARRASCO"/>
    <s v="CRISTIAN JHON"/>
  </r>
  <r>
    <n v="2022"/>
    <s v="DICIEMBRE"/>
    <s v="EL PAICO"/>
    <s v=" ESPINOZA MAHULEN "/>
    <s v=" CRISTIAN "/>
    <s v="MASCULINO"/>
    <s v="19847866-0 "/>
    <d v="2018-07-17T00:00:00"/>
    <n v="53"/>
    <d v="2022-12-30T00:00:00"/>
    <s v="ANTIGUO"/>
    <d v="2022-12-30T00:00:00"/>
    <m/>
    <m/>
    <s v=" "/>
    <s v="CTP"/>
    <s v="LGF"/>
    <s v="LGF 7"/>
    <x v="2"/>
    <x v="58"/>
    <s v="OPERADOR "/>
    <s v="RECEPCION AVE VIVA"/>
    <s v="VENTILADOR "/>
    <s v="MAÑANA"/>
    <d v="1899-12-30T09:30:00"/>
    <s v="VIERNES"/>
    <s v="SEMANA 52"/>
    <m/>
    <s v="NC 143-22"/>
    <s v="NICOLAS MOYANO"/>
    <x v="16"/>
    <n v="25"/>
    <x v="17"/>
    <s v="Manos / dedos"/>
    <s v="Herida cortante"/>
    <s v="Contacto con cuerpo cortante"/>
    <s v="TRABAJDOR AL APOYARSE EN REJILLA DEL VENTILADOR, SE LE VA LA MANO HACIA LAS ASPAS VENTILADOR, PRODUCIENDOLE UNA HERIDA CORTANTE EN DEDO INDICE DE MANO DERECHA Y FRACTURA EN DEDO MEDIO "/>
    <s v="ACCION"/>
    <s v="SI"/>
    <s v="SI"/>
    <s v="ALAN CARRASCO"/>
    <s v="CRISTIAN JHON"/>
  </r>
  <r>
    <m/>
    <m/>
    <m/>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s v=" "/>
    <s v=" "/>
    <s v=" "/>
    <s v=" "/>
    <s v=" "/>
    <s v=" "/>
    <s v=" "/>
    <s v=" "/>
    <e v="#VALUE!"/>
    <s v=" "/>
    <e v="#VALUE!"/>
    <m/>
    <m/>
    <m/>
    <s v=" "/>
    <s v=" "/>
    <m/>
    <m/>
    <x v="11"/>
    <x v="51"/>
    <m/>
    <m/>
    <m/>
    <m/>
    <m/>
    <m/>
    <m/>
    <m/>
    <m/>
    <s v=" "/>
    <x v="29"/>
    <s v=" "/>
    <x v="16"/>
    <s v=" "/>
    <s v=" "/>
    <s v=" "/>
    <s v=" "/>
    <s v=" "/>
    <s v=" "/>
    <s v=" "/>
    <m/>
    <m/>
  </r>
  <r>
    <n v="2022"/>
    <s v="SEPTIEMBRE"/>
    <s v="EL PAICO"/>
    <s v="VERA QUIROGA"/>
    <s v="CRISTOPHER TOMAS"/>
    <s v="MASCULINO"/>
    <s v="17225592-2"/>
    <d v="2018-11-26T00:00:00"/>
    <m/>
    <s v="01-09-2022"/>
    <s v="ANTIGUO"/>
    <s v="02-09-2022"/>
    <s v="02-09-2022"/>
    <m/>
    <m/>
    <s v="STP"/>
    <m/>
    <m/>
    <x v="8"/>
    <x v="20"/>
    <s v="MONITOR"/>
    <s v="DESPACHO"/>
    <s v="N/A"/>
    <s v="MAÑANA"/>
    <d v="1899-12-30T07:30:00"/>
    <s v="JUEVES"/>
    <s v="SEMANA 35"/>
    <m/>
    <m/>
    <s v="JAIME JORQUERA"/>
    <x v="27"/>
    <n v="33"/>
    <x v="16"/>
    <s v="Espalda"/>
    <s v="Contusión"/>
    <m/>
    <s v="CONTUSION EN ESCAPULA Y TOBILLO IZQUIERDO"/>
    <m/>
    <m/>
    <s v="NO"/>
    <s v="NICOLAS GOMEZ "/>
    <m/>
  </r>
  <r>
    <n v="2022"/>
    <s v="SEPTIEMBRE"/>
    <s v="EL PAICO"/>
    <s v="REYES ARCE"/>
    <s v="ROSSANA DEL CARMEN"/>
    <s v="FEMENINO"/>
    <s v="13560184-5"/>
    <d v="2021-11-02T00:00:00"/>
    <m/>
    <s v="02-09-2022"/>
    <s v="INTERMEDIO"/>
    <s v="02-09-2022"/>
    <s v="02-09-2022"/>
    <m/>
    <m/>
    <s v="STP"/>
    <m/>
    <m/>
    <x v="7"/>
    <x v="59"/>
    <s v="OPERARIO"/>
    <s v="LAMINADO"/>
    <s v="N/A"/>
    <s v="MAÑANA"/>
    <d v="1899-12-30T06:45:00"/>
    <s v="JUEVES"/>
    <s v="SEMANA 35"/>
    <m/>
    <m/>
    <s v="OCTAVIO MUÑOZ"/>
    <x v="36"/>
    <n v="43"/>
    <x v="14"/>
    <s v="Espalda"/>
    <s v="Torsión"/>
    <s v="Otros"/>
    <s v="TRABAJADORA AL REALIZAR MOVIMIENTO BRUSCO EMPIEZA A SENTIR DOLOR LUMBAR"/>
    <s v="ACCION"/>
    <s v="SI"/>
    <s v="NO"/>
    <s v="NICOLAS GOMEZ "/>
    <m/>
  </r>
  <r>
    <n v="2022"/>
    <s v="OCTUBRE"/>
    <s v="EL PAICO"/>
    <s v="CACERES BERNAL"/>
    <s v="JORGE ISRAEL"/>
    <s v="MASCULINO"/>
    <s v="17225351-2"/>
    <d v="2016-11-26T00:00:00"/>
    <n v="70"/>
    <s v="07-10-2022"/>
    <s v="ANTIGUO"/>
    <d v="2022-10-07T00:00:00"/>
    <s v="07-10-2022"/>
    <m/>
    <m/>
    <s v="STP"/>
    <s v="LGF"/>
    <s v="LGF 3"/>
    <x v="2"/>
    <x v="60"/>
    <s v="OPERARIO"/>
    <s v="CHILLER COLGADO"/>
    <s v="N/A"/>
    <s v="TARDE"/>
    <d v="1899-12-30T16:30:00"/>
    <s v="VIERNES"/>
    <s v="SEMANA 40"/>
    <m/>
    <m/>
    <s v="NICOLAS MOYANO"/>
    <x v="48"/>
    <n v="40"/>
    <x v="14"/>
    <s v="Ojos"/>
    <s v="Quemadura"/>
    <s v="Otros"/>
    <s v="proyección de  liquido , acido peracetico en pómulo derecho "/>
    <m/>
    <m/>
    <m/>
    <m/>
    <m/>
  </r>
  <r>
    <n v="2022"/>
    <s v="OCTUBRE"/>
    <s v="EL PAICO"/>
    <s v="FIGUEROA MONSALVE "/>
    <s v="SORAYA ANDREA"/>
    <s v="FEMENINO"/>
    <s v="11486119-7"/>
    <d v="2013-08-07T00:00:00"/>
    <n v="110"/>
    <s v="17-10-2022"/>
    <s v="ANTIGUO"/>
    <s v="17-10-2022"/>
    <s v="17-10-2022"/>
    <m/>
    <m/>
    <s v="STP"/>
    <m/>
    <m/>
    <x v="0"/>
    <x v="4"/>
    <s v="OPERARIO"/>
    <s v="DESHUESADO"/>
    <s v="N/A"/>
    <s v="TARDE"/>
    <d v="1899-12-30T13:45:00"/>
    <s v="LUNES"/>
    <s v="SEMANA 42"/>
    <m/>
    <m/>
    <s v="DANIEL GARRIDO"/>
    <x v="11"/>
    <n v="40"/>
    <x v="14"/>
    <s v="Espalda"/>
    <s v="Contusión"/>
    <s v="Golpeado por"/>
    <s v="TRABAJADORA SE GOLPEA LA ESPALDA CON BANDEJAS"/>
    <m/>
    <s v="SI"/>
    <s v="NO"/>
    <s v="NICOLAS GOMEZ "/>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
  <r>
    <n v="2022"/>
    <x v="0"/>
    <s v="EL PAICO"/>
    <s v=" MENDEZ DEL CASTILLO"/>
    <s v="DANIELA ALEJANDRA"/>
    <s v="FEMENINO"/>
    <s v=" 15822820-3"/>
    <d v="2021-01-25T00:00:00"/>
    <n v="4"/>
    <d v="2021-06-22T00:00:00"/>
    <s v="NUEVO"/>
    <m/>
    <m/>
    <m/>
    <n v="0"/>
    <s v="STP"/>
    <m/>
    <m/>
    <s v="TROZADO DE POLLO"/>
    <s v="T. AUTOMATICO "/>
    <s v="OPERARIO"/>
    <s v="AUTOMATICO"/>
    <s v="N/A"/>
    <s v="TARDE"/>
    <d v="1899-12-30T20:00:00"/>
    <s v="MIERCOLES"/>
    <s v="SEMANA 25"/>
    <m/>
    <m/>
    <s v="DANIEL GARRIDO"/>
    <s v="RAMIRO RAMIREZ"/>
    <n v="37"/>
    <s v="Materiales"/>
    <s v="Manos / dedos"/>
    <s v="Contusión"/>
    <s v="Golpeado contra"/>
    <s v=" TRABAJADORA EN SU PUESTO DE TRABAJO, GOLPEA SU MANO CON MESA DE TRABAJO, CUANDO UN COMPAÑERO CHOCA CON UN BINS QUE GOLPEA UNAS CAJAS Y ESTAS GOLPEAN LA MESA HACIENDO QUE SE GOLPEE LA MANO "/>
    <s v="ACCION"/>
    <s v="SI"/>
    <s v="NO"/>
    <s v="NICOLAS GOMEZ "/>
    <s v="MICHEL SANCHEZ"/>
  </r>
  <r>
    <n v="2022"/>
    <x v="1"/>
    <s v="EL PAICO"/>
    <s v=" cuevas vidal"/>
    <s v=" Victor "/>
    <s v="MASCULINO"/>
    <s v=" 9164248-4"/>
    <d v="2018-02-05T00:00:00"/>
    <n v="46"/>
    <d v="2022-01-03T00:00:00"/>
    <s v="ANTIGUO"/>
    <m/>
    <m/>
    <m/>
    <n v="0"/>
    <s v="STP"/>
    <m/>
    <m/>
    <s v="SSGG"/>
    <s v="ASEO OPERACIONAL"/>
    <s v="OPERARIO"/>
    <s v="CAMARA 207"/>
    <s v="N/A"/>
    <s v="MAÑANA"/>
    <d v="1899-12-30T11:08:00"/>
    <s v="LUNES"/>
    <s v="SEMANA 01"/>
    <m/>
    <m/>
    <s v="FRANCISCO ROJAS"/>
    <s v="SERGIO AQUEVEQUE"/>
    <n v="60"/>
    <s v="Superficies de trabajo"/>
    <s v="Pierna"/>
    <s v="Contusión"/>
    <s v="Caida de mismo nivel"/>
    <s v="TRABAJADOR REALIZANDO ASEO OPERACIONAL EN CAMARA  207 SUFRE CAIDA DE MISMO NIVEL EN CAMARA 207"/>
    <s v="CONDICION"/>
    <s v="SI"/>
    <s v="NO"/>
    <s v="PEDRO MOREIRA"/>
    <s v="CRISTIAN JHON"/>
  </r>
  <r>
    <n v="2022"/>
    <x v="1"/>
    <s v="EL PAICO"/>
    <s v=" cerón pinto"/>
    <s v=" José "/>
    <s v="MASCULINO"/>
    <s v=" 16292444-3"/>
    <d v="2021-11-15T00:00:00"/>
    <n v="1"/>
    <d v="2022-01-04T00:00:00"/>
    <s v="NUEVO"/>
    <m/>
    <m/>
    <m/>
    <n v="0"/>
    <s v="STP"/>
    <m/>
    <m/>
    <s v="FAENACION"/>
    <s v="EVICERADO"/>
    <s v="OPERARIO"/>
    <s v="EVICERADO"/>
    <s v="CUCHILLOS"/>
    <s v="MAÑANA"/>
    <d v="1899-12-30T09:45:00"/>
    <s v="MARTES"/>
    <s v="SEMANA 01"/>
    <m/>
    <m/>
    <s v="NICOLAS MOYANO"/>
    <s v="ERWIN GATICA"/>
    <n v="35"/>
    <s v="Cuchillo"/>
    <s v="Manos / dedos"/>
    <s v="Herida cortante"/>
    <s v="Contacto con cuerpo punzante"/>
    <s v="TRABAJADOR AL CAER CUCHILLO TRATA DE TOMARLO Y SE GENERA CORTE EN SU MANO"/>
    <s v="ACCION"/>
    <s v="SI"/>
    <s v="NO"/>
    <s v="PEDRO MOREIRA"/>
    <s v="APOYO"/>
  </r>
  <r>
    <n v="2022"/>
    <x v="1"/>
    <m/>
    <s v="JOHANNA"/>
    <s v="AVRIL ."/>
    <s v="MASCULINO"/>
    <s v="26118266-1"/>
    <d v="2021-08-03T00:00:00"/>
    <n v="5"/>
    <d v="2022-01-04T00:00:00"/>
    <s v="NUEVO"/>
    <m/>
    <m/>
    <m/>
    <n v="0"/>
    <s v="STP"/>
    <s v="LGF"/>
    <s v="LGF 3"/>
    <s v="SSGG"/>
    <s v="ASEO OPERACIONAL"/>
    <s v="OPERARIO"/>
    <s v="SALA DETERGENTE"/>
    <s v="N/A"/>
    <s v="NOCHE"/>
    <d v="1899-12-30T01:35:00"/>
    <s v="MARTES"/>
    <s v="SEMANA 01"/>
    <m/>
    <m/>
    <s v="FRANCISCO ROJAS"/>
    <s v="ROLANDO EMIHUEQUE"/>
    <n v="29"/>
    <s v="Producto quimico"/>
    <s v="Ojos"/>
    <s v="Quemadura"/>
    <s v="Proyeccion de particulas"/>
    <s v="PREPARANDO PRODUCTO CLORADO EN SALA DETERGENTE, SALPICA PRODUCTO EN OJOS"/>
    <s v="ACCION"/>
    <s v="SI"/>
    <s v="NO"/>
    <s v="LUIS LARENAS"/>
    <s v="CRISTIAN JHON"/>
  </r>
  <r>
    <n v="2022"/>
    <x v="1"/>
    <s v="EL PAICO"/>
    <s v=" Trujillo Bustos"/>
    <s v=" Hilda "/>
    <s v="FEMENINO"/>
    <s v=" 11366546-0"/>
    <d v="2015-02-11T00:00:00"/>
    <n v="82"/>
    <d v="2022-01-05T00:00:00"/>
    <s v="ANTIGUO"/>
    <d v="2022-01-05T00:00:00"/>
    <d v="2022-01-05T00:00:00"/>
    <m/>
    <n v="0"/>
    <s v="STP"/>
    <m/>
    <m/>
    <s v="TROZADO DE PAVO"/>
    <s v="TROZADO"/>
    <s v="OPERARIO"/>
    <s v="DESHUEZADO"/>
    <s v="CINTA DESHUEZADO"/>
    <s v="TARDE"/>
    <d v="1899-12-30T13:40:00"/>
    <s v="MIERCOLES"/>
    <s v="SEMANA 01"/>
    <n v="14948"/>
    <s v="NC-07-22"/>
    <s v="GUILLERMO NARVAEZ"/>
    <s v="MARCELA MARDONES"/>
    <n v="56"/>
    <s v="Infraestructura"/>
    <s v="Rostro"/>
    <s v="Herida cortante"/>
    <s v="Contacto con cuerpo cortante"/>
    <s v=" TRABAJADORA AL AGACHARCE SE GOLPEA CON ORILLA DE CINTA GENERANDO CORTE SUPERFICIAL EN CASTADO DE LA CEJA"/>
    <s v="ACCION"/>
    <s v="SI"/>
    <s v="SI"/>
    <s v="LUIS LARENAS"/>
    <s v="MICHEL SANCHEZ"/>
  </r>
  <r>
    <n v="2022"/>
    <x v="1"/>
    <s v="EL PAICO"/>
    <s v=" Gallagher Riveros"/>
    <s v=" Maria Isabel "/>
    <s v="FEMENINO"/>
    <s v="10144095-8"/>
    <d v="2021-11-15T00:00:00"/>
    <n v="1"/>
    <d v="2022-01-05T00:00:00"/>
    <s v="NUEVO"/>
    <m/>
    <m/>
    <m/>
    <n v="0"/>
    <s v="STP"/>
    <m/>
    <m/>
    <s v="TROZADO DE POLLO"/>
    <s v="DESHUESADO"/>
    <s v="OPERARIO"/>
    <s v="DESHUEZADO"/>
    <s v="N/A"/>
    <s v="MAÑANA"/>
    <d v="1899-12-30T07:15:00"/>
    <s v="MIERCOLES"/>
    <s v="SEMANA 01"/>
    <m/>
    <m/>
    <s v="DANIEL GARRIDO"/>
    <s v="RAFAEL ASTORGA"/>
    <n v="57"/>
    <s v="Superficies de trabajo"/>
    <s v="Pierna"/>
    <s v="Contusión"/>
    <s v="Caida de mismo nivel"/>
    <s v=" Sufre caída a nivel con rejilla de evacuación de agua que sobresalía del piso"/>
    <s v="CONDICION"/>
    <s v="SI"/>
    <s v="NO"/>
    <s v="PEDRO MOREIRA"/>
    <s v="CRISTIAN JHON"/>
  </r>
  <r>
    <n v="2022"/>
    <x v="1"/>
    <s v="EL PAICO"/>
    <s v="ORTIZ NAVARRO "/>
    <s v="BRIAN ANTONIO"/>
    <s v="MASCULINO"/>
    <s v=" 20604977-4"/>
    <d v="2021-10-19T00:00:00"/>
    <n v="2"/>
    <d v="2022-01-05T00:00:00"/>
    <s v="NUEVO"/>
    <d v="2022-01-05T00:00:00"/>
    <d v="2022-01-08T00:00:00"/>
    <m/>
    <n v="4"/>
    <s v="CTP"/>
    <m/>
    <m/>
    <s v="IQF Y CALIBRADO"/>
    <s v="CALIBRADO"/>
    <s v="OPERARIO"/>
    <s v="CALIBRADO"/>
    <s v="CINTA CAPACHO"/>
    <s v="NOCHE"/>
    <d v="1899-12-30T23:45:00"/>
    <s v="MIERCOLES"/>
    <s v="SEMANA 01"/>
    <n v="14950"/>
    <s v="NC-06-22"/>
    <s v="GUILLERMO NARVAEZ"/>
    <s v="MAXIMO CAMPOS"/>
    <n v="18"/>
    <s v="Cajas"/>
    <s v="Manos / dedos"/>
    <s v="Contusión"/>
    <s v="Golpeado por"/>
    <s v=" TRABAJADORA AL RECIBIR CAJA EN PROCESO SE GOLPEA SU DEDO MEÑIQUE GENERANDO CONTUSION"/>
    <s v="ACCION"/>
    <s v="SI"/>
    <s v="SI"/>
    <s v="LUIS LARENAS"/>
    <s v="MICHEL SANCHEZ"/>
  </r>
  <r>
    <n v="2022"/>
    <x v="1"/>
    <s v="EL PAICO"/>
    <s v="ESCOBAR"/>
    <s v="CAROLINA"/>
    <s v="FEMENINO"/>
    <s v="18347676-9"/>
    <d v="2020-06-02T00:00:00"/>
    <n v="19"/>
    <d v="2022-01-08T00:00:00"/>
    <s v="INTERMEDIO"/>
    <m/>
    <m/>
    <m/>
    <n v="0"/>
    <s v="STP"/>
    <m/>
    <m/>
    <s v="FAENACION"/>
    <s v="EVICERADO"/>
    <s v="OPERARIO"/>
    <s v="LINEA PANA"/>
    <s v="N/A"/>
    <s v="MAÑANA"/>
    <d v="1899-12-30T10:15:00"/>
    <s v="SABADO"/>
    <s v="SEMANA 01"/>
    <m/>
    <m/>
    <s v="NICOLAS MOYANO"/>
    <s v="CESAR CARTAGENA"/>
    <n v="28"/>
    <s v="Infraestructura"/>
    <s v="Manos / dedos"/>
    <s v="Contusión"/>
    <s v="Caida de distinto nivel"/>
    <s v="TRABAJADORA SUBIENDO ESCALONES DE PIE APOYO EN LINEA PANA PISA SU CAPA ESTA SE RESBALA SE GENERA GOLPE EN SU MANO"/>
    <s v="ACCION"/>
    <s v="SI"/>
    <s v="NO"/>
    <s v="PEDRO MOREIRA"/>
    <s v="CRISTIAN JHON"/>
  </r>
  <r>
    <n v="2022"/>
    <x v="1"/>
    <s v="EL PAICO"/>
    <s v=" Moreno Mardones"/>
    <s v=" Isamar "/>
    <s v="FEMENINO"/>
    <s v="18030936-5"/>
    <d v="2019-08-12T00:00:00"/>
    <n v="29"/>
    <d v="2022-01-13T00:00:00"/>
    <s v="INTERMEDIO"/>
    <m/>
    <m/>
    <m/>
    <n v="0"/>
    <s v="STP"/>
    <s v="LGF "/>
    <s v="LGF 2"/>
    <s v="TROZADO DE POLLO"/>
    <s v="DESHUESADO"/>
    <s v="OPERARIO"/>
    <s v="DESHUEZADO"/>
    <s v="EQUIPO PARA MOVIMIENTO DE CARGA (GRUAS O TRANSPALETAS)"/>
    <s v="MAÑANA"/>
    <d v="1899-12-30T09:30:00"/>
    <s v="JUEVES"/>
    <s v="SEMANA 02"/>
    <m/>
    <m/>
    <s v="DANIEL GARRIDO"/>
    <s v="RAMIRO RAMIREZ"/>
    <n v="29"/>
    <s v="Bins"/>
    <s v="Manos / dedos"/>
    <s v="Contusión"/>
    <s v="Golpeado por"/>
    <s v=" Sufre atrición de mano y muñeca derecha entre bins y transpaleta eléctrica al posicionar etiqueta en el centro del bins y no en la orilla"/>
    <s v="ACCION"/>
    <s v="SI"/>
    <s v="NO"/>
    <s v="LUIS LARENAS"/>
    <s v="MICHEL SANCHEZ"/>
  </r>
  <r>
    <n v="2022"/>
    <x v="1"/>
    <s v="EL PAICO"/>
    <s v="FUENTEALBA"/>
    <s v="FERNANDO"/>
    <s v="MASCULINO"/>
    <s v=" 16342700-1"/>
    <d v="2016-11-02T00:00:00"/>
    <n v="62"/>
    <d v="2022-01-13T00:00:00"/>
    <s v="ANTIGUO"/>
    <d v="2022-01-14T00:00:00"/>
    <d v="2022-04-14T00:00:00"/>
    <m/>
    <n v="91"/>
    <s v="CTP"/>
    <s v="LGF"/>
    <s v="LGF 2"/>
    <s v="IQF Y CALIBRADO"/>
    <s v="IQF4"/>
    <s v="SUPERVISOR"/>
    <s v="IQF4"/>
    <s v="LINEA IQF (CINTAS, CONGELADORES, INYECTORAS)"/>
    <s v="NOCHE"/>
    <d v="1899-12-30T22:10:00"/>
    <s v="JUEVES"/>
    <s v="SEMANA 02"/>
    <m/>
    <s v="NC-10-22"/>
    <s v="GUILLERMO NARVAEZ"/>
    <s v="FERNANDO FUENTEALBA"/>
    <n v="35"/>
    <s v="Maquinarias"/>
    <s v="Manos / dedos"/>
    <s v="Fractura"/>
    <s v="Atrapamiento"/>
    <s v="TRABAJADOR AL REALIZAR CONTROL DE TEMPERATURA EN REVISIÓN DE EQUIPO CON EMPRESA EXTERNA, SE GENERA ATRAPAMIENTO ENTRE LA CINTA SUPERIOR 1 Y EL RASPADOR SIN DETENER EQUIPO"/>
    <s v="ACCION"/>
    <s v="NO"/>
    <s v="SI"/>
    <s v="PEDRO MOREIRA"/>
    <s v="APOYO"/>
  </r>
  <r>
    <n v="2022"/>
    <x v="1"/>
    <s v="EL PAICO"/>
    <s v="  CHACON MARTINEZ"/>
    <s v=" CATALINA DEL CARMEN"/>
    <s v="FEMENINO"/>
    <s v=" 18031023-1"/>
    <d v="2021-08-02T00:00:00"/>
    <n v="5"/>
    <d v="2022-01-14T00:00:00"/>
    <s v="NUEVO"/>
    <m/>
    <m/>
    <m/>
    <n v="0"/>
    <s v="STP"/>
    <m/>
    <m/>
    <s v="MANTENCION"/>
    <s v="ASEO OPERACIONAL"/>
    <s v="OPERARIO"/>
    <m/>
    <s v="N/A"/>
    <s v="NOCHE"/>
    <d v="1899-12-30T03:30:00"/>
    <s v="VIERNES"/>
    <s v="SEMANA 02"/>
    <m/>
    <m/>
    <s v="VICTOR GOMEZ"/>
    <s v="NICOLAS ROJAS"/>
    <n v="29"/>
    <s v="Superficies de trabajo"/>
    <s v="Tronco"/>
    <s v="Contusión"/>
    <s v="Caida de mismo nivel"/>
    <s v="TRABAJADORA GENERANDO LIMPIEZA DE LA SALA LUBRICANTES , CUANDO APLICO DESENGRASANTES SE GENERA CAIDA DE MISMO NIVEL EN EL PISO RESBALANDOSE"/>
    <s v="CONDICION"/>
    <s v="SI"/>
    <s v="NO"/>
    <s v="LUIS LARENAS"/>
    <s v="APOYO"/>
  </r>
  <r>
    <n v="2022"/>
    <x v="1"/>
    <s v="EL PAICO"/>
    <s v=" DAURESTANT"/>
    <s v=" DAMIL "/>
    <s v="MASCULINO"/>
    <s v="26001619-9"/>
    <d v="2018-01-04T00:00:00"/>
    <n v="48"/>
    <d v="2022-01-14T00:00:00"/>
    <s v="ANTIGUO"/>
    <d v="2022-01-14T00:00:00"/>
    <d v="2022-01-21T00:00:00"/>
    <m/>
    <n v="8"/>
    <s v="CTP"/>
    <s v="LGF"/>
    <s v="LGF 2"/>
    <s v="FAENACION"/>
    <s v="RECEPCION"/>
    <s v="OPERARIO"/>
    <s v="RECEPCION AVE VIVA"/>
    <s v="CUCHILLOS"/>
    <s v="TARDE"/>
    <d v="1899-12-30T15:00:00"/>
    <s v="VIERNES"/>
    <s v="SEMANA 02"/>
    <m/>
    <s v="NC-11-22"/>
    <s v="NICOLAS MOYANO"/>
    <s v="ERWIN GATICA"/>
    <n v="38"/>
    <s v="Cuchillo"/>
    <s v="Manos / dedos"/>
    <s v="Herida cortante"/>
    <s v="Contacto con cuerpo cortante"/>
    <s v="TRABAJADOR REALIZANDO PROCESO DE CORTE CON POLLO SIN USO DE GUANTES DE ACERO SE GENERA UN CORTE PROFUNDO EN DEDO INDICE MANO IZQUIERDA"/>
    <s v="ACCION"/>
    <s v="SI"/>
    <s v="SI"/>
    <s v="PEDRO MOREIRA"/>
    <s v="CRISTIAN JHON"/>
  </r>
  <r>
    <n v="2022"/>
    <x v="1"/>
    <s v="EL PAICO"/>
    <s v="KENSON"/>
    <s v="NICOLAS"/>
    <s v="MASCULINO"/>
    <s v=" 25991033-1"/>
    <d v="2021-08-04T00:00:00"/>
    <n v="5"/>
    <d v="2022-01-17T00:00:00"/>
    <s v="NUEVO"/>
    <m/>
    <m/>
    <m/>
    <n v="0"/>
    <s v="STP"/>
    <m/>
    <m/>
    <s v="TROZADO DE POLLO"/>
    <s v="DESHUESADO"/>
    <s v="OPERARIO"/>
    <s v="DESHUEZADO"/>
    <s v="N/A"/>
    <s v="MAÑANA"/>
    <d v="1899-12-30T09:00:00"/>
    <s v="LUNES"/>
    <s v="SEMANA 03"/>
    <m/>
    <m/>
    <s v="DANIEL GARRIDO"/>
    <s v="RAFAEL ASTORGA"/>
    <n v="28"/>
    <s v="Bins"/>
    <s v="Manos / dedos"/>
    <s v="Contusión"/>
    <s v="Sobreesfuerzo"/>
    <s v=" Sufre contusión en zona metacarpiana (nudillos) de la mano derecha al tirar un bins"/>
    <s v="ACCION"/>
    <s v="SI"/>
    <s v="NO"/>
    <s v="PEDRO MOREIRA"/>
    <s v="MICHEL SANCHEZ"/>
  </r>
  <r>
    <n v="2022"/>
    <x v="1"/>
    <s v="EL PAICO"/>
    <s v=" AHUMADA MARTÍNEZ"/>
    <s v=" FERNANDO "/>
    <s v="MASCULINO"/>
    <s v=" 6212724-4"/>
    <d v="2014-04-28T00:00:00"/>
    <n v="92"/>
    <d v="2022-01-18T00:00:00"/>
    <s v="ANTIGUO"/>
    <m/>
    <m/>
    <m/>
    <n v="0"/>
    <s v="STP"/>
    <m/>
    <m/>
    <s v="SSGG"/>
    <s v="CHILLER"/>
    <s v="OPERARIO"/>
    <s v="SHILER"/>
    <s v="CHILLER"/>
    <s v="MAÑANA"/>
    <d v="1899-12-30T10:15:00"/>
    <s v="MARTES"/>
    <s v="SEMANA 03"/>
    <m/>
    <m/>
    <s v="FRANCISCO ROJAS"/>
    <s v="CRISTIAN DURAN"/>
    <n v="69"/>
    <s v="Superficies de trabajo"/>
    <s v="Pie"/>
    <s v="Contusión"/>
    <s v="Caida de mismo nivel"/>
    <s v=" COLABORADOR REALIZABA DESPEJO DE HIELO EN SECTOR CHILLER, Y CON HIELO EN PISO SE GENERA CAIDA DE MISMO NIVEL."/>
    <s v="ACCION"/>
    <s v="SI"/>
    <s v="NO"/>
    <s v="PEDRO MOREIRA"/>
    <s v="APOYO"/>
  </r>
  <r>
    <n v="2022"/>
    <x v="1"/>
    <s v="EL PAICO"/>
    <s v="RODRIGUEZ"/>
    <s v="CRISTOBAL"/>
    <s v="MASCULINO"/>
    <s v=" 21067853-0"/>
    <d v="2021-07-01T00:00:00"/>
    <n v="6"/>
    <d v="2022-01-19T00:00:00"/>
    <s v="NUEVO"/>
    <m/>
    <m/>
    <m/>
    <n v="0"/>
    <s v="STP"/>
    <m/>
    <m/>
    <s v="TROZADO DE POLLO"/>
    <s v="T. AUTOMATICO "/>
    <s v="OPERARIO"/>
    <s v="AUTOMATICO"/>
    <s v="N/A"/>
    <s v="TARDE"/>
    <d v="1899-12-30T16:20:00"/>
    <s v="MIERCOLES"/>
    <s v="SEMANA 03"/>
    <m/>
    <m/>
    <s v="DANIEL GARRIDO"/>
    <s v="JOSE CARVALLO"/>
    <n v="19"/>
    <s v="Pallet"/>
    <s v="Manos / dedos"/>
    <s v="Contusión"/>
    <s v="Golpeado por"/>
    <s v="TRABAJADOR SE GOLPEA LA MANO AL CAER PRODUCTO APILADO DEL PALLET"/>
    <s v="CONDICION"/>
    <s v="SI"/>
    <s v="NO"/>
    <s v="CARLOS JIMENEZ"/>
    <s v="APOYO"/>
  </r>
  <r>
    <n v="2022"/>
    <x v="1"/>
    <s v="EL PAICO"/>
    <s v="VALENZUELA MELLA"/>
    <s v="JUAN"/>
    <s v="MASCULINO"/>
    <s v="15477532-3"/>
    <d v="2021-11-23T00:00:00"/>
    <n v="1"/>
    <d v="2022-01-20T00:00:00"/>
    <s v="NUEVO"/>
    <m/>
    <m/>
    <m/>
    <n v="0"/>
    <s v="STP"/>
    <m/>
    <m/>
    <s v="FRIGORIFICO"/>
    <s v="SALA EMPAQUE"/>
    <s v="OPERARIO"/>
    <s v="SALA EMPAQUE"/>
    <s v="N/A"/>
    <s v="MAÑANA"/>
    <d v="1899-12-30T11:50:00"/>
    <s v="JUEVES"/>
    <s v="SEMANA 03"/>
    <m/>
    <m/>
    <s v="FRANCISCO QUEZADA"/>
    <s v="JUAN VILLAVICENCIO"/>
    <n v="38"/>
    <s v="Materiales"/>
    <s v="Manos / dedos"/>
    <s v="Herida cortante"/>
    <s v="Contacto con cuerpo cortante"/>
    <s v="TRABAJADOR REALIZANDO DESPEJE DE HIELO CON LAMINA DE CARTON SE GENERA CORTE SUPERFICIAL EN DEDO INDICE DEREHCO"/>
    <s v="ACCION"/>
    <s v="SI"/>
    <s v="NO"/>
    <s v="PEDRO MOREIRA"/>
    <s v="CRISTIAN JHON"/>
  </r>
  <r>
    <n v="2022"/>
    <x v="1"/>
    <s v="EL PAICO"/>
    <s v="TELFORT . "/>
    <s v="MACDIANNE"/>
    <s v="FEMENINO"/>
    <s v="26091858-3"/>
    <d v="2021-10-26T00:00:00"/>
    <n v="2"/>
    <d v="2022-01-24T00:00:00"/>
    <s v="NUEVO"/>
    <m/>
    <m/>
    <m/>
    <n v="0"/>
    <s v="STP"/>
    <m/>
    <m/>
    <s v="TROZADO DE POLLO"/>
    <s v="T. AUTOMATICO "/>
    <s v="OPERARIO"/>
    <s v="AUTOMATICO"/>
    <s v="EQUIPO PARA MOVIMIENTO DE CARGA (GRUAS O TRANSPALETAS)"/>
    <s v="TARDE"/>
    <d v="1899-12-30T19:47:00"/>
    <s v="LUNES"/>
    <s v="SEMANA 04"/>
    <m/>
    <m/>
    <s v="DANIEL GARRIDO"/>
    <s v="ARNALDO VERA"/>
    <n v="29"/>
    <s v="Bins"/>
    <s v="Manos / dedos"/>
    <s v="Contusión"/>
    <s v="Golpeado por"/>
    <s v="GOLPEA SU MANO DERECHA CON BINS QUE ES TRANPORTADO CON PRODUCTO POR EQUIPO PARA MOVIMIENTO DE CARGA (GRUAS O TRANSPALETAS)"/>
    <s v="ACCION"/>
    <s v="SI"/>
    <s v="NO"/>
    <s v="PEDRO MOREIRA"/>
    <s v="CRISTIAN JHON"/>
  </r>
  <r>
    <n v="2022"/>
    <x v="1"/>
    <s v="EL PAICO"/>
    <s v="CONTRERAS"/>
    <s v="ROMY"/>
    <s v="FEMENINO"/>
    <s v="10699404-8"/>
    <d v="2020-04-13T00:00:00"/>
    <n v="21"/>
    <d v="2022-01-24T00:00:00"/>
    <s v="INTERMEDIO"/>
    <d v="2022-01-25T00:00:00"/>
    <d v="2022-01-28T00:00:00"/>
    <m/>
    <n v="5"/>
    <s v="CTP"/>
    <m/>
    <m/>
    <s v="SSGG"/>
    <s v="ASEO OPERACIONAL"/>
    <s v="OPERARIO"/>
    <s v="CAMARINES MUJERES"/>
    <s v="N/A"/>
    <s v="NOCHE"/>
    <d v="1899-12-30T23:54:00"/>
    <s v="LUNES"/>
    <s v="SEMANA 04"/>
    <n v="14949"/>
    <s v="NC -16 -22"/>
    <s v="FRANCISCO ROJAS"/>
    <s v="LUIS URBINA"/>
    <n v="42"/>
    <s v="Animales - Insectos"/>
    <s v="Pierna"/>
    <s v="Otros"/>
    <s v="Picadura"/>
    <s v="TRABAJADORA CAMBIANDOSE ROPA EN CAMARINES DE MUJERES SUFRE PICADURA EN SU PIERNA POR INSECTO (ARAÑA)"/>
    <s v="CONDICION"/>
    <s v="SI"/>
    <s v="SI"/>
    <s v="CARLOS JIMENEZ"/>
    <s v="CRISTIAN JHON"/>
  </r>
  <r>
    <n v="2022"/>
    <x v="1"/>
    <s v="EL PAICO"/>
    <s v=" LOYOLA DIAZ"/>
    <s v=" CRISTINA "/>
    <s v="FEMENINO"/>
    <s v="16856182-2"/>
    <d v="2017-02-13T00:00:00"/>
    <n v="59"/>
    <d v="2022-01-31T00:00:00"/>
    <s v="ANTIGUO"/>
    <m/>
    <m/>
    <m/>
    <n v="0"/>
    <s v="STP"/>
    <s v="LGF"/>
    <s v="LGF 8"/>
    <s v="SSGG"/>
    <s v="ASEO OPERACIONAL"/>
    <s v="OPERARIO"/>
    <s v="ISHIDA"/>
    <s v="MANGUERA MEZCLADOR"/>
    <s v="NOCHE"/>
    <d v="1899-12-30T05:00:00"/>
    <s v="LUNES"/>
    <s v="SEMANA 05"/>
    <m/>
    <m/>
    <s v="FRANCISCO ROJAS"/>
    <s v="ROLANDO EMIHUEQUE"/>
    <n v="33"/>
    <s v="Materiales"/>
    <s v="Manos / dedos"/>
    <s v="Quemadura"/>
    <s v="Contacto con temperaturas extremas"/>
    <s v="TRABAJADORA REALIZANDO PROCESO DE ASEO CON MAGUERA Y AGUA CALIENTE, AL CORTASE LA LUZ EN MANGUERA SOLO SALIO VAPOR Y SE GENERO QUEMADURA SUPERFICIAL EN LAS MANOS"/>
    <s v="CONDICION"/>
    <s v="SI"/>
    <s v="NO"/>
    <s v="PEDRO MOREIRA"/>
    <s v="CRISTIAN JHON"/>
  </r>
  <r>
    <n v="2022"/>
    <x v="2"/>
    <s v="EL PAICO"/>
    <s v="FERRADA BUSTOS"/>
    <s v="SANDRA"/>
    <s v="FEMENINO"/>
    <s v="14268098-K"/>
    <d v="2022-02-02T00:00:00"/>
    <n v="0"/>
    <d v="2022-02-02T00:00:00"/>
    <s v="NUEVO"/>
    <m/>
    <m/>
    <m/>
    <n v="0"/>
    <s v="STP"/>
    <m/>
    <m/>
    <s v="IQF Y CALIBRADO"/>
    <s v="CALIBRADO"/>
    <s v="OPERARIO"/>
    <s v="CALIBRADO"/>
    <s v="N/A"/>
    <s v="MAÑANA"/>
    <d v="1899-12-30T06:45:00"/>
    <s v="MIERCOLES"/>
    <s v="SEMANA 05"/>
    <m/>
    <m/>
    <s v="GUILLERMO NARVAEZ"/>
    <s v="MIGUEL HENRRIQUEZ"/>
    <n v="49"/>
    <s v="Materia Prima"/>
    <s v="Manos / dedos"/>
    <s v="Contusión"/>
    <s v="Golpeado por"/>
    <s v="TRABAJADORA EN LINEA CONGELADO DE CALIBRADO AL RECIBIR PRODUCTO EN CAPACHO CAE PRODUCTO SOBRE SUS MANOS GENERANDO DOLECIA EN SUS MANOS"/>
    <s v="CONDICION"/>
    <s v="SI"/>
    <s v="NO"/>
    <s v="LUIS LARENAS"/>
    <s v="APOYO"/>
  </r>
  <r>
    <n v="2022"/>
    <x v="2"/>
    <s v="EL PAICO"/>
    <s v=" Cabrera Naranjo"/>
    <s v=" Francisco Javier "/>
    <s v="MASCULINO"/>
    <s v="19069621-9"/>
    <d v="2021-08-09T00:00:00"/>
    <n v="5"/>
    <d v="2022-02-07T00:00:00"/>
    <s v="NUEVO"/>
    <m/>
    <m/>
    <m/>
    <n v="0"/>
    <s v="STP"/>
    <m/>
    <m/>
    <s v="SSGG"/>
    <s v="ASEO OPERACIONAL"/>
    <s v="OPERARIO"/>
    <m/>
    <s v="N/A"/>
    <s v="NOCHE"/>
    <d v="1899-12-30T01:45:00"/>
    <s v="LUNES"/>
    <s v="SEMANA 06"/>
    <m/>
    <m/>
    <s v="FRANCISCO ROJAS"/>
    <s v="ROLANDO EMIHUEQUE"/>
    <n v="26"/>
    <s v="Infraestructura"/>
    <s v="Manos / dedos"/>
    <s v="Contusión"/>
    <s v="Golpeado por"/>
    <s v="REALIZANDO PRE LAVADO OPERACIONAL, ESTRUCUTRA METALICA (MESA) DESLIZANDOLA CAE SOBRE SU MANO GENERANDO GOLPE EN SU DEDO ANULAR IZQUIERDO"/>
    <s v="ACCION"/>
    <s v="SI"/>
    <s v="NO"/>
    <s v="LUIS LARENAS"/>
    <s v="MICHEL SANCHEZ"/>
  </r>
  <r>
    <n v="2022"/>
    <x v="2"/>
    <s v="EL PAICO"/>
    <s v="GUILLEMRO"/>
    <s v="FRANCO"/>
    <s v="MASCULINO"/>
    <s v="18777798-4"/>
    <d v="2021-01-18T00:00:00"/>
    <n v="12"/>
    <d v="2022-02-09T00:00:00"/>
    <s v="NUEVO"/>
    <d v="2022-02-10T00:00:00"/>
    <d v="2022-02-10T00:00:00"/>
    <m/>
    <n v="0"/>
    <s v="STP"/>
    <m/>
    <m/>
    <s v="FAENACION"/>
    <s v="RECEPCION AVE VIVA"/>
    <s v="OPERARIO"/>
    <s v="RECEPCION AVE VIVA"/>
    <s v="N/A"/>
    <s v="TARDE"/>
    <d v="1899-12-30T16:00:00"/>
    <s v="MIERCOLES"/>
    <s v="SEMANA 06"/>
    <n v="14943"/>
    <s v="NC -19 - 22"/>
    <s v="NICOLAS MOYANO"/>
    <s v="ANTONIO RIVAS"/>
    <n v="27"/>
    <s v="Materia Prima"/>
    <s v="Ojos"/>
    <s v="Conjuntivitis"/>
    <s v="Proyeccion de particulas"/>
    <s v="TRABAJADOR REALIZANDO MOVIMIENTO D EPALLET CON ANIMAL VIVO, TIENE ALCANCE DE PROYECCION DE PARTICULAS (FECAS) EN EL OJO DERECHO, SIN USO DE GAFAS DE SEGURIDAD ADECUADO"/>
    <s v="ACCION"/>
    <s v="SI"/>
    <s v="SI"/>
    <s v="PEDRO MOREIRA"/>
    <s v="CRISTIAN JHON"/>
  </r>
  <r>
    <n v="2022"/>
    <x v="2"/>
    <s v="EL PAICO"/>
    <s v=" Zuñiga Cabello"/>
    <s v=" Marco "/>
    <s v="MASCULINO"/>
    <s v="11945385-2"/>
    <d v="2022-02-01T00:00:00"/>
    <n v="0"/>
    <d v="2022-02-15T00:00:00"/>
    <s v="NUEVO"/>
    <m/>
    <m/>
    <m/>
    <n v="0"/>
    <s v="STP"/>
    <m/>
    <m/>
    <s v="P. POSTERIORES"/>
    <s v="REPORTE DE CAJAS"/>
    <s v="OPERARIO"/>
    <s v="PULPA"/>
    <s v="N/A"/>
    <s v="NOCHE"/>
    <d v="1899-12-30T23:00:00"/>
    <s v="MARTES"/>
    <s v="SEMANA 07"/>
    <m/>
    <m/>
    <s v="OCTAVIO MUÑOZ"/>
    <s v="RONALD ONELL"/>
    <s v="X"/>
    <s v="Superficies de trabajo"/>
    <s v="Pierna"/>
    <s v="Contusión"/>
    <s v="Caida de mismo nivel"/>
    <s v="TRABAJADOR AL REALIZAR RECUBRIMIENTO DE EQUIPO PULPA, PASA POR PISO HUMEDO Y RESBALA"/>
    <s v="CONDICION"/>
    <s v="SI"/>
    <s v="NO"/>
    <s v="LUIS LARENAS"/>
    <s v="MICHEL SANCHEZ"/>
  </r>
  <r>
    <n v="2022"/>
    <x v="2"/>
    <s v="EL PAICO"/>
    <s v="  DESIR"/>
    <s v="CRETUDE"/>
    <s v="FEMENINO"/>
    <s v=" 25622045-8"/>
    <d v="2021-03-11T00:00:00"/>
    <n v="11"/>
    <d v="2022-02-16T00:00:00"/>
    <s v="NUEVO"/>
    <m/>
    <m/>
    <m/>
    <n v="0"/>
    <s v="STP"/>
    <m/>
    <m/>
    <s v="TROZADO DE POLLO"/>
    <s v="DESHUESADO"/>
    <s v="OPERARIO"/>
    <s v="ESCALA PRINCIPAL"/>
    <s v="N/A"/>
    <s v="TARDE"/>
    <d v="1899-12-30T13:10:00"/>
    <s v="MIERCOLES"/>
    <s v="SEMANA 07"/>
    <m/>
    <m/>
    <s v="DANIEL GARRIDO"/>
    <s v="RAMIRO RAMIREZ"/>
    <n v="41"/>
    <s v="Infraestructura"/>
    <s v="Pierna"/>
    <s v="Contusión"/>
    <s v="Caida de distinto nivel"/>
    <s v="TRABAJADOR BAJANDO POR ESCALA PASILLO PRINCIPAL, RESBALA Y SE GENERA CAIDA DISTINTO NIVEL"/>
    <s v="ACCION"/>
    <s v="SI"/>
    <s v="NO"/>
    <s v="LUIS LARENAS"/>
    <s v="HERALDO P"/>
  </r>
  <r>
    <n v="2022"/>
    <x v="2"/>
    <s v="EL PAICO"/>
    <s v="  Aguilar Weinberger"/>
    <s v=" Nicolas"/>
    <s v="MASCULINO"/>
    <s v="20561193-2"/>
    <d v="2021-01-21T00:00:00"/>
    <n v="13"/>
    <d v="2022-02-22T00:00:00"/>
    <s v="NUEVO"/>
    <m/>
    <m/>
    <m/>
    <n v="0"/>
    <s v="STP"/>
    <m/>
    <m/>
    <s v="TROZADO DE POLLO"/>
    <s v="DESHUESADO"/>
    <s v="OPERARIO"/>
    <s v="DESHUEZADO"/>
    <s v="N/A"/>
    <s v="TARDE"/>
    <d v="1899-12-30T12:00:00"/>
    <s v="MARTES"/>
    <s v="SEMANA 08"/>
    <m/>
    <m/>
    <s v="DANIEL GARRIDO"/>
    <s v="JOSE CARVALLO"/>
    <n v="19"/>
    <s v="Bandejas"/>
    <s v="Manos / dedos"/>
    <s v="Contusión"/>
    <s v="Sobreesfuerzo"/>
    <s v="Trasladando bandejas con felitillo, Al chocar con pallet sufre torsión de dedos medio y anular"/>
    <s v="ACCION"/>
    <s v="SI"/>
    <s v="NO"/>
    <s v="PEDRO MOREIRA"/>
    <s v="MICHEL SANCHEZ"/>
  </r>
  <r>
    <n v="2022"/>
    <x v="2"/>
    <s v="EL PAICO"/>
    <s v="  LARA PICHIMATA"/>
    <s v=" EDGAR"/>
    <s v="MASCULINO"/>
    <s v="24326149-k"/>
    <d v="2020-02-24T00:00:00"/>
    <n v="24"/>
    <d v="2022-02-25T00:00:00"/>
    <s v="INTERMEDIO"/>
    <m/>
    <m/>
    <m/>
    <n v="0"/>
    <s v="STP"/>
    <s v="LGF"/>
    <s v="LGF 3"/>
    <s v="SSGG"/>
    <s v="CHILER DE AGUA"/>
    <s v="OPERARIO"/>
    <s v="PRODUCCION"/>
    <s v="N/A"/>
    <s v="NOCHE"/>
    <d v="1899-12-30T01:30:00"/>
    <s v="VIERNES"/>
    <s v="SEMANA 08"/>
    <m/>
    <m/>
    <s v="FRANCISCO ROJAS"/>
    <s v="ROLANDO EMIHUEQUE"/>
    <n v="56"/>
    <s v="Producto quimico"/>
    <s v="Ojos"/>
    <s v="Quemadura"/>
    <s v="Proyeccion de particulas"/>
    <s v="TRABAJADOR AL COLOCARCE FONOS NO SE PERCATA QUE ESTABAN ESTILANDO PRODUCTO QUIMICO, LO QUE GENERA CAIDA DE PARTICULAS EN SUS OJOS UNA VEZ YA POSICIONADOS EN SU CABEZA"/>
    <s v="ACCION"/>
    <s v="SI"/>
    <s v="NO"/>
    <s v="PEDRO MOREIRA"/>
    <s v="HERALDO P"/>
  </r>
  <r>
    <n v="2022"/>
    <x v="2"/>
    <s v="EL PAICO"/>
    <s v="ANTOINE"/>
    <s v="ANGELINE"/>
    <s v="FEMENINO"/>
    <s v="26232929-1"/>
    <d v="2021-10-26T00:00:00"/>
    <n v="4"/>
    <d v="2022-02-28T00:00:00"/>
    <s v="NUEVO"/>
    <m/>
    <m/>
    <m/>
    <n v="0"/>
    <s v="STP"/>
    <m/>
    <m/>
    <s v="TROZADO DE POLLO"/>
    <s v="T. AUTOMATICO "/>
    <s v="OPERARIO"/>
    <s v="AUTOMATICO"/>
    <s v="N/A"/>
    <s v="MAÑANA"/>
    <d v="1899-12-30T07:50:00"/>
    <s v="LUNES"/>
    <s v="SEMANA 09"/>
    <m/>
    <m/>
    <s v="DANIEL GARRIDO"/>
    <s v="ARNALDO VERA"/>
    <n v="35"/>
    <s v="Materia Prima"/>
    <s v="Ojos"/>
    <s v="Contusión"/>
    <s v="Golpeado por"/>
    <s v="TRABAJADORA REALIZANDO SELECCIÓN DE PRODUCTO EN SU PUESTO DE TRABAJO, LLEGO UNA TRABAJADORA DE CALIDAD, QUIEN TIRA PRODUCTO AL BINS, HACE QUE LE LLEGE UN TROZO DEL PRODCTO EN EL OJO A LA TRABAJADORA AFECTADA "/>
    <s v="ACCION"/>
    <s v="SI"/>
    <s v="NO"/>
    <s v="PEDRO MOREIRA"/>
    <s v="HERALDO P"/>
  </r>
  <r>
    <n v="2022"/>
    <x v="3"/>
    <s v="EL PAICO"/>
    <s v="CUBILLOS GARATE"/>
    <s v="EMILIO ANTONIO "/>
    <s v="MASCULINO"/>
    <s v="19601836-0"/>
    <d v="2021-01-21T00:00:00"/>
    <n v="13"/>
    <d v="2022-03-03T00:00:00"/>
    <s v="NUEVO"/>
    <m/>
    <m/>
    <m/>
    <n v="0"/>
    <s v="STP"/>
    <m/>
    <m/>
    <s v="FAENACION"/>
    <s v="EVICERADO"/>
    <s v="OPERARIO"/>
    <s v="EVICERADO"/>
    <s v="N/A"/>
    <s v="TARDE"/>
    <d v="1899-12-30T19:30:00"/>
    <s v="JUEVES"/>
    <s v="SEMANA 09"/>
    <m/>
    <m/>
    <s v="NICOLAS MOYANO"/>
    <s v="ERWIN GATICA"/>
    <n v="25"/>
    <s v="Materia Prima"/>
    <s v="Ojos"/>
    <s v="Contusión"/>
    <s v="Golpeado por"/>
    <s v="TRABAJADOR CORTANDO EL BUCHE DE POLLO, ESTE VENIA CON VISERAS Y AL MOMENTO DE SACARLAS LE SALTO ALGO EN EL OJO "/>
    <s v="ACCION"/>
    <s v="SI"/>
    <s v="NO"/>
    <s v="PEDRO MOREIRA"/>
    <s v="APOYO (SANDRA)"/>
  </r>
  <r>
    <n v="2022"/>
    <x v="3"/>
    <s v="EL PAICO"/>
    <s v="BRAVO NAVARRO"/>
    <s v="EMA"/>
    <s v="FEMENINO"/>
    <s v="13778113-1"/>
    <d v="2019-06-24T00:00:00"/>
    <n v="32"/>
    <d v="2022-03-08T00:00:00"/>
    <s v="INTERMEDIO"/>
    <d v="2022-03-11T00:00:00"/>
    <d v="2022-03-18T00:00:00"/>
    <m/>
    <n v="8"/>
    <s v="CTP"/>
    <m/>
    <m/>
    <s v="P. POSTERIORES"/>
    <s v="ICHIDA"/>
    <s v="OPERARIO"/>
    <s v="ICHIDA"/>
    <s v="N/A"/>
    <s v="MAÑANA"/>
    <d v="1899-12-30T10:00:00"/>
    <s v="MARTES"/>
    <s v="SEMANA 10"/>
    <m/>
    <s v="NC-31-22"/>
    <s v="OCTAVIO MUÑOZ"/>
    <s v="ALEJANDRO SALAS"/>
    <n v="42"/>
    <s v="Materiales"/>
    <s v="Manos / dedos"/>
    <s v="Contusión"/>
    <s v="Golpeado contra"/>
    <s v="TRABAJADORA SUFRE GOLPE Y APRETÓN DE SU DEDO ÍNDICE DERECHO AL ESTAR SACANDO LOS FILMS PARA PODER CAMBIARLOS RÁPIDAMENTE"/>
    <s v="ACCION"/>
    <s v="SI"/>
    <s v="SI"/>
    <s v="PEDRO MOREIRA"/>
    <s v="HERALDO P"/>
  </r>
  <r>
    <n v="2022"/>
    <x v="3"/>
    <s v="EL PAICO"/>
    <s v="PIERRE"/>
    <s v="WILKENS"/>
    <s v="MASCULINO"/>
    <s v="26436438-8"/>
    <d v="2019-02-11T00:00:00"/>
    <n v="36"/>
    <d v="2022-03-08T00:00:00"/>
    <s v="INTERMEDIO"/>
    <m/>
    <m/>
    <m/>
    <n v="0"/>
    <s v="STP"/>
    <m/>
    <m/>
    <s v="TROZADO DE POLLO"/>
    <s v="T. AUTOMATICO "/>
    <s v="OPERARIO"/>
    <s v="AUTOMATICO"/>
    <s v="N/A"/>
    <s v="TARDE"/>
    <d v="1899-12-30T13:45:00"/>
    <s v="MARTES"/>
    <s v="SEMANA 10"/>
    <m/>
    <m/>
    <s v="DANIEL GARRIDO"/>
    <s v="RAMIRO RAMIREZ"/>
    <n v="27"/>
    <s v="Herramientas de mano"/>
    <s v="Rostro"/>
    <s v="Contusión"/>
    <s v="Golpeado contra"/>
    <s v="TRABAJADOR AL AGACHARSE A RECOGER PRODUCTO, NO VE QUE EL BINS TENÍA UN TENEDOR METÁLICO Y SE GOLPEÓ A UN COSTADO DEL OJO DERECHO (CEJA)"/>
    <s v="ACCION"/>
    <s v="SI"/>
    <s v="NO"/>
    <s v="PEDRO MOREIRA"/>
    <s v="HERALDO P"/>
  </r>
  <r>
    <n v="2022"/>
    <x v="3"/>
    <s v="EL PAICO"/>
    <s v="SANTIS GARCIA "/>
    <s v="CRISTOFER"/>
    <s v="MASCULINO"/>
    <s v="19849216-7"/>
    <d v="2019-03-11T00:00:00"/>
    <n v="35"/>
    <d v="2022-03-10T00:00:00"/>
    <s v="INTERMEDIO"/>
    <m/>
    <m/>
    <m/>
    <n v="0"/>
    <s v="STP"/>
    <m/>
    <m/>
    <s v="FRIGORIFICO"/>
    <s v="CAMARA 208"/>
    <s v="OPERARIO"/>
    <s v="CAMARA 208"/>
    <s v="N/A"/>
    <s v="MAÑANA"/>
    <d v="1899-12-30T11:30:00"/>
    <s v="JUEVES"/>
    <s v="SEMANA 10"/>
    <m/>
    <m/>
    <s v="GUILLERMO NARVAEZ"/>
    <s v="JONATHAN SANCHEZ"/>
    <n v="23"/>
    <s v="Superficies de trabajo"/>
    <s v="Pierna"/>
    <s v="Otros"/>
    <s v="Caida de mismo nivel"/>
    <s v="TRABAJADOR SE RESBALA RETIRANDO UN BINS, SUFRIENDO CONTRACTURA EN PIERNA IZQUIERDA"/>
    <s v="ACCION"/>
    <s v="SI"/>
    <s v="NO"/>
    <s v="PEDRO MOREIRA"/>
    <s v="APOYO"/>
  </r>
  <r>
    <n v="2022"/>
    <x v="3"/>
    <s v="EL PAICO"/>
    <s v="MUÑOZ PLAZA"/>
    <s v="FRANCO"/>
    <s v="MASCULINO"/>
    <s v="20424770-6"/>
    <d v="2021-08-09T00:00:00"/>
    <n v="7"/>
    <d v="2022-03-10T00:00:00"/>
    <s v="NUEVO"/>
    <m/>
    <m/>
    <m/>
    <n v="0"/>
    <s v="STP"/>
    <m/>
    <m/>
    <s v="TROZADO DE POLLO"/>
    <s v="T. AUTOMATICO "/>
    <s v="OPERARIO"/>
    <s v="AUTOMATICO"/>
    <s v="EQUIPO PARA MOVIMIENTO DE CARGA (GRUAS O TRANSPALETAS)"/>
    <s v="TARDE"/>
    <d v="1899-12-30T18:30:00"/>
    <s v="JUEVES"/>
    <s v="SEMANA 10"/>
    <m/>
    <m/>
    <s v="DANIEL GARRIDO"/>
    <s v="ARNALDO VERA"/>
    <n v="21"/>
    <s v="Equipos Transporte de carga"/>
    <s v="Manos / dedos"/>
    <s v="Contusión"/>
    <s v="Golpeado contra"/>
    <s v="TRABAJADOR SE GOLPEÓ EL PULGAR IZQUIERDO CUANDO MOVÍA UN BINS CON EQUIPO PARA MOVIMIENTO DE CARGA (GRUAS O TRANSPALETAS)"/>
    <s v="ACCION"/>
    <s v="SI"/>
    <s v="NO"/>
    <s v="CARLOS JIMENEZ"/>
    <s v="APOYO"/>
  </r>
  <r>
    <n v="2022"/>
    <x v="3"/>
    <s v="EL PAICO"/>
    <s v="LARA SOTO "/>
    <s v="INES"/>
    <s v="FEMENINO"/>
    <s v="15957212-9"/>
    <d v="2020-01-13T00:00:00"/>
    <n v="26"/>
    <d v="2022-03-14T00:00:00"/>
    <s v="INTERMEDIO"/>
    <d v="2022-03-14T00:00:00"/>
    <d v="2022-06-14T00:00:00"/>
    <d v="2022-06-22T00:00:00"/>
    <n v="93"/>
    <s v="CTP"/>
    <m/>
    <m/>
    <s v="SSGG"/>
    <s v="ASEO OPERACIONAL"/>
    <s v="OPERARIO"/>
    <s v="TUNEL 1"/>
    <s v="N/A"/>
    <s v="NOCHE"/>
    <d v="1899-12-30T04:35:00"/>
    <s v="LUNES"/>
    <s v="SEMANA 11"/>
    <m/>
    <s v="NC-32-22"/>
    <s v="FRANCISCO ROJAS"/>
    <s v="PATRICIO PALACIOS"/>
    <n v="37"/>
    <s v="Superficies de trabajo"/>
    <s v="Brazo"/>
    <s v="Contusión"/>
    <s v="Caida de mismo nivel"/>
    <s v="TRABAJADORA HACIENDO ASEO SUFRE CAÍDA GOLPEÁNDOSE EL BRAZO DERECHO  EN SECTOR NO HABILITADO"/>
    <s v="ACCION"/>
    <s v="SI"/>
    <s v="SI"/>
    <s v="PEDRO MOREIRA"/>
    <s v="APOYO (DALIA)"/>
  </r>
  <r>
    <n v="2022"/>
    <x v="3"/>
    <s v="EL PAICO"/>
    <s v="BRAVO CABRERA "/>
    <s v="JUAN"/>
    <s v="MASCULINO"/>
    <s v="7909217-7"/>
    <d v="2005-03-22T00:00:00"/>
    <n v="203"/>
    <d v="2022-03-17T00:00:00"/>
    <s v="ANTIGUO"/>
    <m/>
    <m/>
    <m/>
    <n v="0"/>
    <s v="STP"/>
    <m/>
    <m/>
    <s v="SSGG"/>
    <s v="ASEO OPERACIONAL"/>
    <s v="OPERARIO"/>
    <s v="EVICERADO DE POLLO "/>
    <s v="N/A"/>
    <s v="TARDE"/>
    <d v="1899-12-30T12:10:00"/>
    <s v="JUEVES"/>
    <s v="SEMANA 11"/>
    <m/>
    <m/>
    <s v="FRANCISCO ROJAS"/>
    <s v="SERGIO AQUEVEQUE"/>
    <n v="64"/>
    <s v="Infraestructura"/>
    <s v="Brazo"/>
    <s v="Contusión"/>
    <s v="Golpeado contra"/>
    <s v="TRABAJADOR REALIZANDO LIMPIEZA EN EL SUELO SIENTE QUE LE CAE ALGO EN EL BRAZO DERECHO GOLPEANO EL CODO "/>
    <s v="CONDICION"/>
    <s v="SI"/>
    <s v="NO"/>
    <s v="PEDRO MOREIRA"/>
    <s v="CRISTIAN JHON"/>
  </r>
  <r>
    <n v="2022"/>
    <x v="3"/>
    <s v="EL PAICO"/>
    <s v="PERALTA BARRAZA "/>
    <s v="RICARDO "/>
    <s v="MASCULINO"/>
    <s v="10366551-5"/>
    <d v="2005-06-01T00:00:00"/>
    <n v="201"/>
    <d v="2022-03-19T00:00:00"/>
    <s v="ANTIGUO"/>
    <m/>
    <m/>
    <m/>
    <n v="0"/>
    <s v="STP"/>
    <m/>
    <m/>
    <s v="P. POSTERIORES"/>
    <s v="DROP POINT"/>
    <s v="OPERARIO"/>
    <s v="DROP POINT"/>
    <s v="N/A"/>
    <s v="MAÑANA"/>
    <d v="1899-12-30T09:20:00"/>
    <s v="SABADO"/>
    <s v="SEMANA 11"/>
    <m/>
    <m/>
    <s v="OCTAVIO MUÑOZ"/>
    <s v="MARCOS QUINTANILLA"/>
    <n v="55"/>
    <s v="Pallet"/>
    <s v="Pie"/>
    <s v="Contusión"/>
    <s v="Golpeado contra"/>
    <s v="TRABAJADOR SE GOLPEA EL PIE DERECHO CON UN PALLET CON PRODUCTO CUANDO REALIZADA ENZUNCHADO"/>
    <s v="ACCION"/>
    <s v="SI"/>
    <s v="NO"/>
    <s v="PEDRO MOREIRA"/>
    <s v="WLADIMIR CALDERON"/>
  </r>
  <r>
    <n v="2022"/>
    <x v="3"/>
    <s v="EL PAICO"/>
    <s v="HORMAZABAL CARRASCO"/>
    <s v="YEISON MAURICIO"/>
    <s v="MASCULINO"/>
    <s v="20871928-9"/>
    <d v="2021-10-25T00:00:00"/>
    <n v="4"/>
    <d v="2022-03-22T00:00:00"/>
    <s v="NUEVO"/>
    <m/>
    <m/>
    <m/>
    <n v="0"/>
    <s v="STP"/>
    <m/>
    <m/>
    <s v="FAENACION"/>
    <s v="RECEPCION AVE VIVA"/>
    <s v="OPERARIO"/>
    <s v="RECEPCION AVE VIVA"/>
    <s v="N/A"/>
    <s v="TARDE"/>
    <d v="1899-12-30T18:00:00"/>
    <s v="MARTES"/>
    <s v="SEMANA 12"/>
    <m/>
    <m/>
    <s v="NICOLAS MOYANO"/>
    <s v="ANTONIO RIVAS"/>
    <n v="19"/>
    <s v="Materia Prima"/>
    <s v="Ojos"/>
    <s v="Contusión"/>
    <s v="Proyeccion de particulas"/>
    <s v="TRABAJADOR EL SACAR AVE DE LA JAULA, ESTA COMIENZA A ALETEAR Y PRODUCE ENTRADAS DE PARTICULAR AL OJO DERECHO, NO SE ENCONTRABA CON SU EPP"/>
    <s v="ACCION"/>
    <s v="SI"/>
    <s v="NO"/>
    <s v="CARLOS JIMENEZ"/>
    <s v="MICHEL SANCHEZ"/>
  </r>
  <r>
    <n v="2022"/>
    <x v="3"/>
    <s v="EL PAICO"/>
    <s v="AUGUSTIN "/>
    <s v="ISMONDE"/>
    <s v="MASCULINO"/>
    <s v="26267411-8"/>
    <d v="2022-01-24T00:00:00"/>
    <n v="1"/>
    <d v="2022-03-23T00:00:00"/>
    <s v="NUEVO"/>
    <m/>
    <m/>
    <m/>
    <n v="0"/>
    <s v="STP"/>
    <m/>
    <m/>
    <s v="TROZADO DE POLLO"/>
    <s v="DESHUESADO"/>
    <s v="OPERARIO"/>
    <s v="DESHUEZADO"/>
    <s v="N/A"/>
    <s v="TARDE"/>
    <d v="1899-12-30T12:30:00"/>
    <s v="MIERCOLES"/>
    <s v="SEMANA 12"/>
    <m/>
    <m/>
    <s v="DANIEL GARRIDO"/>
    <s v="ARNALDO VERA"/>
    <n v="26"/>
    <s v="Bandejas"/>
    <s v="Rostro"/>
    <s v="Contusión"/>
    <s v="Golpeado por"/>
    <s v="TRABAJADOR AL SACAR UNA CAJA PLÁSTICA CON UNA SOLA MANO ESTA SE CAE Y GOLPEA LA CEJA IZQUIERDA "/>
    <s v="ACCION"/>
    <s v="SI"/>
    <s v="NO"/>
    <s v="PEDRO MOREIRA"/>
    <s v="WLADIMIR CALDERON"/>
  </r>
  <r>
    <n v="2022"/>
    <x v="3"/>
    <s v="EL PAICO"/>
    <s v="TRUJILLO ELGUETA "/>
    <s v="KEVYN "/>
    <s v="MASCULINO"/>
    <s v="18346564-3"/>
    <d v="2021-10-12T00:00:00"/>
    <n v="5"/>
    <d v="2022-03-27T00:00:00"/>
    <s v="NUEVO"/>
    <m/>
    <m/>
    <m/>
    <n v="0"/>
    <s v="STP"/>
    <m/>
    <m/>
    <s v="MANTENCION"/>
    <s v="DESAGUE"/>
    <s v="ELECTRICO"/>
    <s v="PATIO DECOMISO"/>
    <s v="N/A"/>
    <s v="TARDE"/>
    <d v="1899-12-30T12:30:00"/>
    <s v="DOMINGO"/>
    <s v="SEMANA 12"/>
    <m/>
    <m/>
    <s v="VICTOR GOMEZ"/>
    <s v="DAVID ROJAS"/>
    <n v="29"/>
    <s v="Superficies de trabajo"/>
    <s v="Pelvis"/>
    <s v="Contusión"/>
    <s v="Golpeado contra"/>
    <s v="TRABAJADOR AL ESTAR REALIZADO UN CAMBIO DE MOTOR SE CAE EN EL DESAGÜE, GOLPEANDO SU CADERA EN EL SECTOR DERECHO, ESTO PORQUE EL DESAGÜE SE ENCONTRABA SIN SU TAPA DE PROTECCIÓN"/>
    <s v="CONDICION"/>
    <s v="SI"/>
    <s v="NO"/>
    <s v="PEDRO MOREIRA"/>
    <s v="WLADIMIR CALDERON"/>
  </r>
  <r>
    <n v="2022"/>
    <x v="3"/>
    <s v="EL PAICO"/>
    <s v="GUAJARDO VERA "/>
    <s v="SEBASTIAN "/>
    <s v="MASCULINO"/>
    <s v="19211824-7"/>
    <d v="2021-05-03T00:00:00"/>
    <n v="10"/>
    <d v="2022-03-28T00:00:00"/>
    <s v="NUEVO"/>
    <m/>
    <m/>
    <m/>
    <n v="0"/>
    <s v="STP"/>
    <m/>
    <m/>
    <s v="MANTENCION"/>
    <s v="IQF4"/>
    <s v="MECANICO "/>
    <s v="IQF4"/>
    <s v="MOTOR"/>
    <s v="NOCHE"/>
    <d v="1899-12-30T04:00:00"/>
    <s v="LUNES"/>
    <s v="SEMANA 13"/>
    <m/>
    <m/>
    <s v="VICTOR GOMEZ"/>
    <s v="DANIEL GONZALEZ "/>
    <n v="26"/>
    <s v="Maquinarias"/>
    <s v="Manos / dedos"/>
    <s v="Herida cortante"/>
    <s v="Contacto con cuerpo cortante"/>
    <s v="TRABAJADOR AL ESTAR MONTADO DE PIÑONES MOTRICES SE PRODUCE UNA HERIDA EN EL DEDO MEDIO DERECHO CON EL CHAVETERO DEL EJE "/>
    <s v="ACCION"/>
    <s v="SI"/>
    <s v="NO"/>
    <s v="CARLOS JIMENEZ"/>
    <s v="WLADIMIR CALDERON"/>
  </r>
  <r>
    <n v="2022"/>
    <x v="3"/>
    <s v="EL PAICO"/>
    <s v=" HORMAZABAL CARRASCO "/>
    <s v="YEISON MAURICIO"/>
    <s v="MASCULINO"/>
    <s v="20871928-9"/>
    <d v="2021-10-25T00:00:00"/>
    <n v="5"/>
    <d v="2022-03-28T00:00:00"/>
    <s v="NUEVO"/>
    <d v="2022-03-28T00:00:00"/>
    <d v="2022-04-06T00:00:00"/>
    <m/>
    <n v="10"/>
    <s v="CTP"/>
    <m/>
    <m/>
    <s v="FAENACION"/>
    <s v="RECEPCION"/>
    <s v="OPERARIO"/>
    <s v="PLATAFORMA DE APILADO MANUAL "/>
    <s v="N/A"/>
    <s v="MAÑANA"/>
    <d v="1899-12-30T06:35:00"/>
    <s v="LUNES"/>
    <s v="SEMANA 13"/>
    <m/>
    <s v="NC-37-22"/>
    <s v="NICOLAS MOYANO"/>
    <s v="ANTONIO RIVAS"/>
    <n v="19"/>
    <s v="Bandejas"/>
    <s v="Pie"/>
    <s v="Contusión"/>
    <s v="Caida de mismo nivel"/>
    <s v=" TRABAJADOR RESBALA AL ESTAR APILANDO BANDEJAS VACÍAS DOBLÁNDOSE EL TOBILLO DERECHO "/>
    <s v="ACCION"/>
    <s v="SI"/>
    <s v="SI"/>
    <s v="PEDRO MOREIRA"/>
    <s v="HERALDO P"/>
  </r>
  <r>
    <n v="2022"/>
    <x v="4"/>
    <s v="EL PAICO"/>
    <s v="FUENZALIDA ARMIJO "/>
    <s v="CATALINA ESPERANZA"/>
    <s v="FEMENINO"/>
    <s v="18777735-6"/>
    <d v="2016-08-06T00:00:00"/>
    <n v="67"/>
    <d v="2022-03-31T00:00:00"/>
    <s v="ANTIGUO"/>
    <d v="2022-04-01T00:00:00"/>
    <d v="2022-04-09T00:00:00"/>
    <m/>
    <n v="9"/>
    <s v="CTP"/>
    <m/>
    <m/>
    <s v="TROZADO DE POLLO"/>
    <s v="DESHUESADO"/>
    <s v="OPERARIO"/>
    <s v="DESHUEZADO"/>
    <s v="CUCHILLOS"/>
    <s v="NOCHE"/>
    <d v="1899-12-30T23:25:00"/>
    <s v="JUEVES"/>
    <s v="SEMANA 13"/>
    <m/>
    <s v="NC-50-22"/>
    <s v="DANIEL GARRIDO"/>
    <s v="JOSE CARVALLO"/>
    <n v="27"/>
    <s v="Cuchillo"/>
    <s v="Manos / dedos"/>
    <s v="Herida cortante"/>
    <s v="Contacto con cuerpo cortante"/>
    <s v="TRABAJADOR LA LÍNEA DE TROZADO DE POLLO SE PASO A LLEVAR EL DEDO ÍNDICE MANO DERECHA CON EL CUCHILLO, QUE SE CONSIGUIÓ CON UN COMPAÑERO EN ESE MOMENTO NO LLEVABA GUANTE DE ACERO"/>
    <s v="ACCION"/>
    <s v="SI"/>
    <s v="SI"/>
    <s v="CARLOS JIMENEZ"/>
    <s v="MICHEL SANCHEZ"/>
  </r>
  <r>
    <n v="2022"/>
    <x v="4"/>
    <s v="EL PAICO"/>
    <s v="SANTIS TAPIA "/>
    <s v="SERGIO"/>
    <s v="MASCULINO"/>
    <s v="10456578-6"/>
    <d v="2018-08-27T00:00:00"/>
    <n v="43"/>
    <d v="2022-04-11T00:00:00"/>
    <s v="ANTIGUO"/>
    <m/>
    <m/>
    <m/>
    <n v="0"/>
    <s v="STP"/>
    <m/>
    <m/>
    <s v="FRIGORIFICO"/>
    <s v="TUNEL 4"/>
    <s v="OPERARIO"/>
    <s v="TUNEL 4"/>
    <s v="N/A"/>
    <s v="MAÑANA"/>
    <d v="1899-12-30T10:10:00"/>
    <s v="LUNES"/>
    <s v="SEMANA 15"/>
    <m/>
    <m/>
    <s v="FRANCISCO QUEZADA"/>
    <s v="FRANCO VIDAL"/>
    <n v="56"/>
    <s v="Otros"/>
    <s v="Ojos"/>
    <s v="Contusión"/>
    <s v="Golpeado por"/>
    <s v="TRABAJADOR AL CORRER LA PUERTA DEL TÚNEL N°4, EL TOME PLÁSTICO DE LA PUERTA SALE EXPULSADO Y GOLPEA EN EL OJO IZQUIERDO"/>
    <s v="ACCION"/>
    <s v="SI"/>
    <s v="NO"/>
    <s v="CARLOS JIMENEZ"/>
    <s v="CRISTIAN JHON"/>
  </r>
  <r>
    <n v="2022"/>
    <x v="4"/>
    <s v="EL PAICO"/>
    <s v="SOTO GOMEZ"/>
    <s v="JULIO "/>
    <s v="MASCULINO"/>
    <s v="9566653-1"/>
    <d v="2022-02-21T00:00:00"/>
    <n v="1"/>
    <d v="2022-04-13T00:00:00"/>
    <s v="NUEVO"/>
    <d v="2022-04-14T00:00:00"/>
    <d v="2022-04-14T00:00:00"/>
    <m/>
    <n v="0"/>
    <s v="STP"/>
    <m/>
    <m/>
    <s v="MANTENCION"/>
    <s v="SALA DE MAQUINA"/>
    <s v="OPERARIO"/>
    <s v="SALA DE MAQUINA"/>
    <s v="N/A"/>
    <s v="TARDE"/>
    <d v="1899-12-30T12:15:00"/>
    <s v="MIERCOLES"/>
    <s v="SEMANA 15"/>
    <m/>
    <s v="NC-51-22"/>
    <s v="VICTOR GOMEZ"/>
    <s v="SERGIO LETELIER"/>
    <n v="59"/>
    <s v="Superficies de trabajo"/>
    <s v="Pierna"/>
    <s v="Contusión"/>
    <s v="Caida de distinto nivel"/>
    <s v="TRABAJADOR ENGRASANDO MAQUINA EN ALTURA RESBALA CAYÉNDOSE Y GOLPEÁNDOSE SU RODILLA IZQUIERDA"/>
    <s v="ACCION"/>
    <s v="SI"/>
    <s v="SI"/>
    <s v="CARLOS JIMENEZ"/>
    <s v="HERALDO P"/>
  </r>
  <r>
    <n v="2022"/>
    <x v="4"/>
    <s v="EL PAICO"/>
    <s v="CORTEZ ARMIJO"/>
    <s v="JUAN"/>
    <s v="MASCULINO"/>
    <s v="15623593-1"/>
    <d v="2006-06-01T00:00:00"/>
    <n v="190"/>
    <d v="2022-04-14T00:00:00"/>
    <s v="ANTIGUO"/>
    <m/>
    <m/>
    <m/>
    <n v="0"/>
    <s v="STP"/>
    <m/>
    <m/>
    <s v="FRIGORIFICO"/>
    <s v="DESPACHO"/>
    <s v="OPERARIO"/>
    <s v="ESTACIONAMIENTO"/>
    <s v="N/A"/>
    <s v="MAÑANA"/>
    <d v="1899-12-30T06:10:00"/>
    <s v="JUEVES"/>
    <s v="SEMANA 15"/>
    <m/>
    <m/>
    <s v="FRANCISCO QUEZADA"/>
    <s v="MAURICIO HERNANDEZ"/>
    <n v="38"/>
    <s v="Otros"/>
    <s v="Pie"/>
    <s v="Torsión"/>
    <s v="Otros"/>
    <s v=" TRABAJADOR AL BAJAR DEL VEHÍCULO SE DOBLA EL PIE IZQUIERDO "/>
    <s v="ACCION"/>
    <s v="NO"/>
    <s v="NO"/>
    <s v="CARLOS JIMENEZ"/>
    <s v="CRISTIAN JHON"/>
  </r>
  <r>
    <n v="2022"/>
    <x v="4"/>
    <s v="EL PAICO"/>
    <s v="MUÑOZ PLAZA"/>
    <s v="FRANCO"/>
    <s v="MASCULINO"/>
    <s v="20424770-6"/>
    <d v="2021-08-09T00:00:00"/>
    <n v="8"/>
    <d v="2022-04-21T00:00:00"/>
    <s v="NUEVO"/>
    <d v="2022-04-22T00:00:00"/>
    <d v="2022-04-22T00:00:00"/>
    <m/>
    <n v="0"/>
    <s v="STP"/>
    <s v="LGF "/>
    <s v="LGF 4"/>
    <s v="TROZADO DE POLLO"/>
    <s v="T. AUTOMATICO "/>
    <s v="OPERARIO"/>
    <s v="PASILLO 3"/>
    <s v="EQUIPO PARA MOVIMIENTO DE CARGA (GRUAS O TRANSPALETAS)"/>
    <s v="TARDE"/>
    <d v="1899-12-30T15:50:00"/>
    <s v="JUEVES"/>
    <s v="SEMANA 16"/>
    <m/>
    <s v="NC-52-22"/>
    <s v="DANIEL GARRIDO"/>
    <s v="ARNALDO VERA"/>
    <n v="21"/>
    <s v="Bins"/>
    <s v="Espalda"/>
    <s v="Contusión"/>
    <s v="Golpeado por"/>
    <s v="TRABAJADOR AL ESTAR CAMINANDO POR EL PASILLO 3 ES GOLPEAGO POR UN MOVILIZADOR, LO QUE HACE QUE SE GOPEE LA ESPALDA CON UN BINS "/>
    <s v="ACCION"/>
    <s v="NO"/>
    <s v="SI"/>
    <s v="CARLOS JIMENEZ"/>
    <s v="HERALDO P"/>
  </r>
  <r>
    <n v="2022"/>
    <x v="4"/>
    <s v="EL PAICO"/>
    <s v="GONZALES CALLEJAS"/>
    <s v="SANDRA"/>
    <s v="FEMENINO"/>
    <s v="27414262-6"/>
    <d v="2021-06-17T00:00:00"/>
    <n v="10"/>
    <d v="2022-04-22T00:00:00"/>
    <s v="NUEVO"/>
    <m/>
    <m/>
    <m/>
    <n v="0"/>
    <s v="STP"/>
    <s v="LGF"/>
    <s v="LGF 3"/>
    <s v="TROZADO DE POLLO"/>
    <s v="T. AUTOMATICO "/>
    <s v="OPERARIO"/>
    <s v="AUTOMATICO"/>
    <s v="N/A"/>
    <s v="TARDE"/>
    <d v="1899-12-30T16:35:00"/>
    <s v="VIERNES"/>
    <s v="SEMANA 16"/>
    <m/>
    <m/>
    <s v="DANIEL GARRIDO"/>
    <s v="ARNALDO VERA"/>
    <n v="36"/>
    <s v="Producto quimico"/>
    <s v="Ojos"/>
    <s v="Otros"/>
    <s v="Contacto con sustancias toxicas"/>
    <s v=" TRABAJADORA MEZCLADO AGUA CON CLORO PARA LAVAR POLLO LE SALTO UNAS GOTAS DE CLORO AL OJO"/>
    <s v="ACCION"/>
    <s v="NO"/>
    <s v="NO"/>
    <s v="CARLOS JIMENEZ"/>
    <s v="CRISTIAN JHON"/>
  </r>
  <r>
    <n v="2022"/>
    <x v="4"/>
    <s v="EL PAICO"/>
    <s v="CARRASCO ARMIJO"/>
    <s v="CRISTIAN"/>
    <s v="MASCULINO"/>
    <s v="19557542-8"/>
    <d v="2021-09-01T00:00:00"/>
    <n v="7"/>
    <d v="2022-04-27T00:00:00"/>
    <s v="NUEVO"/>
    <m/>
    <m/>
    <m/>
    <n v="0"/>
    <s v="STP"/>
    <m/>
    <m/>
    <s v="CALIDAD"/>
    <s v="CALIDAD"/>
    <s v="OPERARIO"/>
    <s v="CAMARINES HOMBRES"/>
    <s v="N/A"/>
    <s v="MAÑANA"/>
    <d v="1899-12-30T11:20:00"/>
    <s v="MIERCOLES"/>
    <s v="SEMANA 17"/>
    <m/>
    <m/>
    <s v="JAIME JORQUERA"/>
    <s v="SOLEDAD CARRASCO"/>
    <n v="25"/>
    <s v="Otros"/>
    <s v="Manos / dedos"/>
    <s v="Otros"/>
    <s v="Otros"/>
    <s v="TRABAJADOR AL ESTAR DEJANDO SU ROPA EN EL ZIPPER SE ENGANCHA UNA UÑA PRODUCIENDO LACERACION PARCIAL"/>
    <s v="ACCION"/>
    <s v="NO"/>
    <s v="NO"/>
    <s v="CARLOS JIMENEZ"/>
    <s v="MICHEL SANCHEZ"/>
  </r>
  <r>
    <n v="2022"/>
    <x v="4"/>
    <s v="EL PAICO"/>
    <s v="MERVIL ELVEUS"/>
    <s v="ISLANDE"/>
    <s v="MASCULINO"/>
    <s v="26316678-7"/>
    <d v="2021-12-07T00:00:00"/>
    <n v="4"/>
    <d v="2022-04-27T00:00:00"/>
    <s v="NUEVO"/>
    <m/>
    <m/>
    <m/>
    <n v="0"/>
    <s v="STP"/>
    <m/>
    <m/>
    <s v="SSGG"/>
    <s v="DESHUEZADO"/>
    <s v="OPERARIO"/>
    <s v="DESHUEZADO"/>
    <s v="EQUIPO PARA MOVIMIENTO DE CARGA (GRUAS O TRANSPALETAS)"/>
    <s v="TARDE"/>
    <d v="1899-12-30T16:00:00"/>
    <s v="MIERCOLES"/>
    <s v="SEMANA 17"/>
    <m/>
    <m/>
    <s v="FRANCISCO ROJAS"/>
    <s v="DAVID ROJAS"/>
    <n v="35"/>
    <s v="Equipos Transporte de carga"/>
    <s v="Pie"/>
    <s v="Contusión"/>
    <s v="Golpeado por"/>
    <s v="TRABAJADOR AL ESTAR RECOGIENDO RESTOS CARNICOS, SE GOLPEA ZONA TIBIAL DE PIERNA DERECHA CON EQUIPO PARA MOVIMIENTO DE CARGA (GRUAS O TRANSPALETAS) "/>
    <s v="ACCION"/>
    <s v="SI"/>
    <s v="NO"/>
    <s v="CARLOS JIMENEZ"/>
    <s v="MICHEL SANCHEZ"/>
  </r>
  <r>
    <n v="2022"/>
    <x v="4"/>
    <s v="EL PAICO"/>
    <s v="MUÑOZ VALENZUELA"/>
    <s v="JOSE "/>
    <s v="MASCULINO"/>
    <s v="14177893-5"/>
    <d v="2022-02-21T00:00:00"/>
    <n v="2"/>
    <d v="2022-04-28T00:00:00"/>
    <s v="NUEVO"/>
    <m/>
    <m/>
    <m/>
    <n v="0"/>
    <s v="STP"/>
    <m/>
    <m/>
    <s v="P. POSTERIORES"/>
    <s v="PULPA"/>
    <s v="OPERARIO"/>
    <s v="PULPA"/>
    <s v="N/A"/>
    <s v="TARDE"/>
    <d v="1899-12-30T19:45:00"/>
    <s v="JUEVES"/>
    <s v="SEMANA 17"/>
    <m/>
    <m/>
    <s v="OCTAVIO MUÑOZ"/>
    <s v="ARIEL LOBOS"/>
    <n v="41"/>
    <s v="Infraestructura"/>
    <s v="Rostro"/>
    <s v="Contusión"/>
    <s v="Golpeado por"/>
    <s v="TRABAJADOR A TOMAR LA MANILLA DA PUERTA DESDE LA CADENA, ESTA SE SALE DE SU POSICION GOLPEANDOLO EN SU NARIZ "/>
    <s v="ACCION"/>
    <s v="SI"/>
    <s v="NO"/>
    <s v="CARLOS JIMENEZ"/>
    <s v="WLADIMIR CALDERON"/>
  </r>
  <r>
    <n v="2022"/>
    <x v="4"/>
    <s v="EL PAICO"/>
    <s v="SAAVEDRA TOBAR "/>
    <s v="SEBASTIAN "/>
    <s v="MASCULINO"/>
    <s v="17306224-9"/>
    <d v="2022-03-01T00:00:00"/>
    <n v="1"/>
    <d v="2022-04-30T00:00:00"/>
    <s v="NUEVO"/>
    <d v="2022-04-30T00:00:00"/>
    <d v="2022-05-02T00:00:00"/>
    <m/>
    <n v="0"/>
    <s v="STP"/>
    <m/>
    <m/>
    <s v="TROZADO DE POLLO"/>
    <s v="DESHUESADO"/>
    <s v="OPERARIO"/>
    <s v="DESHUEZADO"/>
    <s v="N/A"/>
    <s v="TARDE"/>
    <d v="1899-12-30T12:10:00"/>
    <s v="SABADO"/>
    <s v="SEMANA 17"/>
    <m/>
    <s v="NC-53-22"/>
    <s v="DANIEL GARRIDO"/>
    <s v="RAFAEL ASTORGA"/>
    <n v="32"/>
    <s v="Superficies de trabajo"/>
    <s v="Cabeza"/>
    <s v="Contusión"/>
    <s v="Caida de mismo nivel"/>
    <s v="TRABAJADOR RESBALA CON HIELO QUE SE FORMA EN EL SUELO Y SE GOLPEA ZONA OCCIPITAL DE LA CABEZA "/>
    <s v="ACCION"/>
    <s v="SI"/>
    <s v="SI"/>
    <s v="CARLOS JIMENEZ"/>
    <s v="CRISTIAN JHON"/>
  </r>
  <r>
    <n v="2022"/>
    <x v="5"/>
    <s v="EL PAICO"/>
    <s v="AROS DUREAUX "/>
    <s v=" ALAN FABIAN"/>
    <s v="MASCULINO"/>
    <s v="16873113-2"/>
    <d v="2019-07-01T00:00:00"/>
    <n v="34"/>
    <d v="2022-05-03T00:00:00"/>
    <s v="INTERMEDIO"/>
    <m/>
    <m/>
    <m/>
    <n v="0"/>
    <s v="STP"/>
    <m/>
    <m/>
    <s v="MANTENCION"/>
    <s v="SUMINISTROS"/>
    <s v="OPERARIO"/>
    <s v="SALA DE MAQUINA"/>
    <s v="N/A"/>
    <s v="TARDE"/>
    <d v="1899-12-30T12:25:00"/>
    <s v="MARTES"/>
    <s v="SEMANA 18"/>
    <m/>
    <m/>
    <s v="VICTOR GOMEZ"/>
    <s v=" "/>
    <n v="33"/>
    <s v="Superficies de trabajo"/>
    <s v="Manos / dedos"/>
    <s v="Contusión"/>
    <s v="Caida de mismo nivel"/>
    <s v=" TRABAJADOR TROPIEZA, EN SALA DE MAQUINA CAÍDA DEL MISMO NIVEL CON GOLPE EN SU BRAZO IZQUIERDO CON HERIDA UÑA DEDO MEDIO Y HERIDA LEVE EN SU DEDO ANULAR IZQUIERDO"/>
    <s v="ACCION"/>
    <s v="SI"/>
    <s v="NO"/>
    <s v="CARLOS JIMENEZ"/>
    <s v="HERALDO P"/>
  </r>
  <r>
    <n v="2022"/>
    <x v="5"/>
    <s v="EL PAICO"/>
    <s v="FIGUEROA MONSALVE "/>
    <s v="SORAYA ANDREA"/>
    <s v="FEMENINO"/>
    <s v="26607646-0"/>
    <d v="2013-08-07T00:00:00"/>
    <n v="104"/>
    <d v="2022-05-06T00:00:00"/>
    <s v="ANTIGUO"/>
    <m/>
    <m/>
    <m/>
    <n v="0"/>
    <s v="STP"/>
    <m/>
    <m/>
    <s v="TROZADO DE POLLO"/>
    <s v="DESHUESADO"/>
    <s v="OPERARIO"/>
    <s v="DESHUEZADO"/>
    <s v="N/A"/>
    <s v="MAÑANA"/>
    <d v="1899-12-30T08:20:00"/>
    <s v="VIERNES"/>
    <s v="SEMANA 18"/>
    <m/>
    <m/>
    <s v="DANIEL GARRIDO"/>
    <s v="JOSE CARVALLO"/>
    <n v="53"/>
    <s v="Superficies de trabajo"/>
    <s v="Otro"/>
    <s v="Contusión"/>
    <s v="Caida de mismo nivel"/>
    <s v="TRABAJADORA TRASLADANDO BANDEJAS CON PRODUCTO HACIA EL PALLET, TROPIEZA CON UNA EQUIPO PARA MOVIMIENTO DE CARGA (GRUAS O TRANSPALETAS) QUE SE ENCONTRABA EN UNA POSICIÓN NO ADECUADA, HACIÉNDOLA CAER Y SE GOLPEA TREN INFERIOR"/>
    <s v="ACCION"/>
    <s v="SI"/>
    <s v="NO"/>
    <s v="CARLOS JIMENEZ"/>
    <s v="WLADIMIR CALDERON"/>
  </r>
  <r>
    <n v="2022"/>
    <x v="5"/>
    <s v="EL PAICO"/>
    <s v="OLGUIN GONZALEZ "/>
    <s v="OSCAR HERNAN"/>
    <s v="MASCULINO"/>
    <s v="13558567-K"/>
    <d v="2003-05-23T00:00:00"/>
    <n v="227"/>
    <d v="2022-05-07T00:00:00"/>
    <s v="ANTIGUO"/>
    <m/>
    <m/>
    <m/>
    <n v="0"/>
    <s v="STP"/>
    <m/>
    <m/>
    <s v="IQF Y CALIBRADO"/>
    <s v="PROCESOS POSTERIORES"/>
    <s v="OPERARIO"/>
    <s v="SALA DE SKAQUINN"/>
    <s v="N/A"/>
    <s v="MAÑANA"/>
    <d v="1899-12-30T06:40:00"/>
    <s v="SABADO"/>
    <s v="SEMANA 18"/>
    <m/>
    <m/>
    <s v="GUILLERMO NARVAEZ"/>
    <s v="FRANCISCO SANCHEZ"/>
    <n v="42"/>
    <s v="Infraestructura"/>
    <s v="Rostro"/>
    <s v="Contusión"/>
    <s v="Golpeado contra"/>
    <s v="TRABAJADOR CUANDO AMARRABA LAS LÁMINAS, GIRAR EN SU MISMO EJE DE IZQUIERDA A DERECHA SE GOLPEA SU LABIO SUPERIOR CON UN FIERRO ESTÁTICO EN LA SALA DE SKAQUINN"/>
    <s v="ACCION"/>
    <s v="SI"/>
    <s v="NO"/>
    <s v="CARLOS JIMENEZ"/>
    <s v="HERALDO P"/>
  </r>
  <r>
    <n v="2022"/>
    <x v="5"/>
    <s v="EL PAICO"/>
    <s v=" COLINA PARDO "/>
    <s v=" ISABEL MARGARITA"/>
    <s v="FEMENINO"/>
    <s v="16615461-8"/>
    <d v="2017-05-29T00:00:00"/>
    <n v="59"/>
    <d v="2022-05-09T00:00:00"/>
    <s v="ANTIGUO"/>
    <m/>
    <m/>
    <m/>
    <n v="0"/>
    <s v="STP"/>
    <m/>
    <m/>
    <s v="TROZADO DE POLLO"/>
    <s v="DESHUESADO"/>
    <s v="OPERARIO"/>
    <s v="LINEA PROLIJADO"/>
    <s v="N/A"/>
    <s v="TARDE"/>
    <d v="1899-12-30T20:30:00"/>
    <s v="LUNES"/>
    <s v="SEMANA 19"/>
    <m/>
    <m/>
    <s v="DANIEL GARRIDO"/>
    <s v="JOSE CARVALLO"/>
    <n v="40"/>
    <s v="Superficies de trabajo"/>
    <s v="Pierna"/>
    <s v="Contusión"/>
    <s v="Caida de mismo nivel"/>
    <s v="TRABAJADORA SUFRE CAÍDA, EN EL ÁREA DE DESHUESADO, LO QUE CONTUSIÓN EN RODILLA IZQUIERDA POR EL PISO RESBALADIZO "/>
    <s v="ACCION"/>
    <s v="SI"/>
    <s v="NO"/>
    <s v="CARLOS JIMENEZ"/>
    <s v="MICHEL SANCHEZ"/>
  </r>
  <r>
    <n v="2022"/>
    <x v="5"/>
    <s v="EL PAICO"/>
    <s v=" MONTERREY CALDERON"/>
    <s v="JUAN VICENTE"/>
    <s v="MASCULINO"/>
    <s v=" 26193561-9"/>
    <d v="2021-12-02T00:00:00"/>
    <n v="5"/>
    <d v="2022-05-09T00:00:00"/>
    <s v="NUEVO"/>
    <d v="2022-05-09T00:00:00"/>
    <d v="2022-05-09T00:00:00"/>
    <m/>
    <n v="0"/>
    <s v="STP"/>
    <m/>
    <m/>
    <s v="FAENACION"/>
    <s v="EVICERADO DE PAVO"/>
    <s v="OPERARIO"/>
    <s v="EVICERADO DE PAVO "/>
    <s v="N/A"/>
    <s v="MAÑANA"/>
    <d v="1899-12-30T05:30:00"/>
    <s v="LUNES"/>
    <s v="SEMANA 19"/>
    <m/>
    <s v="NC-54-22"/>
    <s v="NICOLAS MOYANO"/>
    <s v="ERWIN GATICA"/>
    <n v="54"/>
    <s v="Materia Prima"/>
    <s v="Ojos"/>
    <s v="Contusión"/>
    <s v="Proyeccion de particulas"/>
    <s v="TRABAJADOR AL ESTAR EN SU PUESTO DE TRABAJO SUFRE SALPICADURA DE LÍQUIDO EN SU OJO DERECHO "/>
    <s v="CONDICION"/>
    <s v="SI"/>
    <s v="SI"/>
    <s v="CARLOS JIMENEZ"/>
    <s v="MICHEL SANCHEZ"/>
  </r>
  <r>
    <n v="2022"/>
    <x v="5"/>
    <s v="EL PAICO"/>
    <s v="CATALAN ALCAINO"/>
    <s v="ANDREW"/>
    <s v="MASCULINO"/>
    <s v="21173568-6"/>
    <d v="2022-03-15T00:00:00"/>
    <n v="1"/>
    <d v="2022-05-11T00:00:00"/>
    <s v="NUEVO"/>
    <d v="2022-05-11T00:00:00"/>
    <d v="2022-05-21T00:00:00"/>
    <m/>
    <n v="11"/>
    <s v="CTP"/>
    <m/>
    <m/>
    <s v="FRIGORIFICO"/>
    <s v="EMPAQUE DE TUNEL"/>
    <s v="OPERARIO"/>
    <s v="SALA EMPAQUE"/>
    <s v="N/A"/>
    <s v="MAÑANA"/>
    <d v="1899-12-30T09:00:00"/>
    <s v="MIERCOLES"/>
    <s v="SEMANA 19"/>
    <m/>
    <s v="NC-55-22"/>
    <s v="FRANCISCO QUEZADA"/>
    <s v="JUAN VILLAVICENCIO"/>
    <n v="18"/>
    <s v="Materiales"/>
    <s v="Manos / dedos"/>
    <s v="Contusión"/>
    <s v="Golpeado contra"/>
    <s v=" TRABAJADOR SE APLASTA EL DEDO ANULAR DERECHO AL DEJAR EL BLOQUE "/>
    <s v="ACCION"/>
    <s v="SI"/>
    <s v="SI"/>
    <s v="CARLOS JIMENEZ"/>
    <s v="HERALDO P"/>
  </r>
  <r>
    <n v="2022"/>
    <x v="5"/>
    <s v="EL PAICO"/>
    <s v="LOYOLA MORALES"/>
    <s v="MARIO"/>
    <s v="MASCULINO"/>
    <s v="14136576-2"/>
    <d v="2018-12-03T00:00:00"/>
    <n v="41"/>
    <d v="2022-05-12T00:00:00"/>
    <s v="ANTIGUO"/>
    <m/>
    <m/>
    <m/>
    <n v="0"/>
    <s v="STP"/>
    <m/>
    <m/>
    <s v="TROZADO DE POLLO"/>
    <s v="T. AUTOMATICO "/>
    <s v="OPERARIO"/>
    <s v="PASILLO TROZADO AUTOMATICO"/>
    <s v="N/A"/>
    <s v="TARDE"/>
    <d v="1899-12-30T18:50:00"/>
    <s v="JUEVES"/>
    <s v="SEMANA 19"/>
    <m/>
    <m/>
    <s v="DANIEL GARRIDO"/>
    <s v="RAMIRO RAMIREZ"/>
    <n v="43"/>
    <s v="Superficies de trabajo"/>
    <s v="Pelvis"/>
    <s v="Contusión"/>
    <s v="Caida de mismo nivel"/>
    <s v="TRABAJADOR VOLVIENDO A SU PUESTO DE TRABAJO RESBALA Y SE GOLPEA COXIS"/>
    <s v="ACCION"/>
    <s v="SI"/>
    <s v="NO"/>
    <s v="CARLOS JIMENEZ"/>
    <s v="CRISTIAN JHON"/>
  </r>
  <r>
    <n v="2022"/>
    <x v="5"/>
    <s v="EL PAICO"/>
    <s v="MAULEN MAULEN "/>
    <s v="ALDO "/>
    <s v="MASCULINO"/>
    <s v="20136430-2"/>
    <d v="2019-10-07T00:00:00"/>
    <n v="31"/>
    <d v="2022-05-13T00:00:00"/>
    <s v="INTERMEDIO"/>
    <d v="2022-05-13T00:00:00"/>
    <d v="2022-05-13T00:00:00"/>
    <m/>
    <n v="0"/>
    <s v="STP"/>
    <m/>
    <m/>
    <s v="IQF Y CALIBRADO"/>
    <s v="SALA IQF"/>
    <s v="OPERARIO"/>
    <s v="SALA IQF"/>
    <s v="N/A"/>
    <s v="TARDE"/>
    <d v="1899-12-30T17:50:00"/>
    <s v="VIERNES"/>
    <s v="SEMANA 19"/>
    <m/>
    <s v="NC-49-22"/>
    <s v="GUILLERMO NARVAEZ"/>
    <s v="FRANCISCO SANCHEZ"/>
    <n v="23"/>
    <s v="Bandejas"/>
    <s v="Pelvis"/>
    <s v="Contusión"/>
    <s v="Golpeado por"/>
    <s v="TRABAJADOR SUFRE CONTUSIÓN EN REGIÓN TESTICULAR, CUANDO COMPAÑERO DE TRABAJO LO GOLPEA ACCIDENTALMENTE CON UN BINS VACÍO, LAS BANDEJAS QUE EL MANIPULABA CAUSARON LA LESIÓN"/>
    <s v="ACCION"/>
    <s v="SI"/>
    <s v="SI"/>
    <s v="CARLOS JIMENEZ"/>
    <s v="MICHEL SANCHEZ"/>
  </r>
  <r>
    <n v="2022"/>
    <x v="5"/>
    <s v="EL PAICO"/>
    <s v="ALARCON RIQUELME "/>
    <s v="GERMAN"/>
    <s v="MASCULINO"/>
    <s v="20871156-3"/>
    <d v="2021-06-23T00:00:00"/>
    <n v="10"/>
    <d v="2022-05-13T00:00:00"/>
    <s v="NUEVO"/>
    <m/>
    <m/>
    <m/>
    <n v="0"/>
    <s v="STP"/>
    <m/>
    <m/>
    <s v="FRIGORIFICO"/>
    <s v="CAMARA 305"/>
    <s v="OPERARIO"/>
    <s v="CAMARA 305"/>
    <s v="N/A"/>
    <s v="TARDE"/>
    <d v="1899-12-30T15:45:00"/>
    <s v="VIERNES"/>
    <s v="SEMANA 19"/>
    <m/>
    <m/>
    <s v="FRANCISCO QUEZADA"/>
    <s v="MAURICIO HERNANDEZ"/>
    <n v="20"/>
    <s v="Materia Prima"/>
    <s v="Manos / dedos"/>
    <s v="Contusión"/>
    <s v="Golpeado por"/>
    <s v="AL SACAR CAJA QUE SE ENCONTRABA MAL POSICIONADA DESDE EL PALLET, SE CAE Y GOLPEA SU DEDO INDICE DERECHO "/>
    <s v="ACCION"/>
    <s v="SI"/>
    <s v="NO"/>
    <s v="CARLOS JIMENEZ"/>
    <s v="MICHEL SANCHEZ"/>
  </r>
  <r>
    <n v="2022"/>
    <x v="5"/>
    <s v="EL PAICO"/>
    <s v="OBREGON PLAZA"/>
    <s v="ANDREA"/>
    <s v="FEMENINO"/>
    <s v="15866994-3"/>
    <d v="2018-11-05T00:00:00"/>
    <n v="42"/>
    <d v="2022-05-14T00:00:00"/>
    <s v="ANTIGUO"/>
    <m/>
    <m/>
    <m/>
    <n v="0"/>
    <s v="STP"/>
    <m/>
    <m/>
    <s v="TROZADO DE POLLO"/>
    <s v="DESHUESADO"/>
    <s v="OPERARIO"/>
    <s v="DESHUEZADO"/>
    <s v="N/A"/>
    <s v="MAÑANA"/>
    <d v="1899-12-30T13:10:00"/>
    <s v="SABADO"/>
    <s v="SEMANA 19"/>
    <m/>
    <m/>
    <s v="DANIEL GARRIDO"/>
    <s v="RAFAEL ASTORGA"/>
    <n v="37"/>
    <s v="Infraestructura"/>
    <s v="Pierna"/>
    <s v="Contusión"/>
    <s v="Golpeado contra"/>
    <s v=" REFIERE GOLPE EN RODILLA IZQUIERDA SIN LESIONES VISIBLES QUE SE PROVOCA, AL ESTAR EN LA LÍNEA GOLPEA CON LA ESTRUCTURA Y HOY REFIERE DOLENCIA EN PIERNA IZQ. SIN LESIÓN VISIBLE"/>
    <s v="ACCION"/>
    <s v="SI"/>
    <s v="NO"/>
    <s v="CARLOS JIMENEZ"/>
    <s v="WLADIMIR CALDERON"/>
  </r>
  <r>
    <n v="2022"/>
    <x v="5"/>
    <s v="EL PAICO"/>
    <s v="MIRANDA GOMEZ"/>
    <s v="JOSELIN"/>
    <s v="FEMENINO"/>
    <s v="18487450-4"/>
    <d v="2022-05-09T00:00:00"/>
    <n v="0"/>
    <d v="2022-05-14T00:00:00"/>
    <s v="NUEVO"/>
    <m/>
    <m/>
    <m/>
    <n v="0"/>
    <s v="STP"/>
    <m/>
    <m/>
    <s v="FRIGORIFICO"/>
    <s v="FRIGORIFICO "/>
    <s v="OPERARIO"/>
    <s v="PASILLO PRINCIPAL "/>
    <s v="N/A"/>
    <s v="MAÑANA"/>
    <d v="1899-12-30T05:30:00"/>
    <s v="SABADO"/>
    <s v="SEMANA 19"/>
    <m/>
    <m/>
    <s v="FRANCISCO QUEZADA"/>
    <s v="ALEJANDRO SALAS"/>
    <n v="29"/>
    <s v="Superficies de trabajo"/>
    <s v="Pie"/>
    <s v="Torsión"/>
    <s v="Caida de mismo nivel"/>
    <s v=" SUFRE CAÍDA A NIVEL CON TORSIÓN DE TOBILLO DERECHO, AL SALIR DEL CAMARÍN EN EL PASILLO PRINCIPAL"/>
    <s v="ACCION"/>
    <s v="SI"/>
    <s v="NO"/>
    <s v="CARLOS JIMENEZ"/>
    <s v="WLADIMIR CALDERON"/>
  </r>
  <r>
    <n v="2022"/>
    <x v="5"/>
    <s v="EL PAICO"/>
    <s v="MUÑOZ PLAZA"/>
    <s v="FRANCO"/>
    <s v="MASCULINO"/>
    <s v="20424770-6"/>
    <d v="2021-02-09T00:00:00"/>
    <n v="15"/>
    <d v="2022-05-16T00:00:00"/>
    <s v="NUEVO"/>
    <m/>
    <m/>
    <m/>
    <n v="0"/>
    <s v="STP"/>
    <m/>
    <m/>
    <s v="TROZADO DE POLLO"/>
    <s v="T. AUTOMATICO "/>
    <s v="OPERARIO"/>
    <s v="AUTOMATICO"/>
    <s v="N/A"/>
    <s v="TARDE"/>
    <d v="1899-12-30T16:35:00"/>
    <s v="LUNES"/>
    <s v="SEMANA 20"/>
    <m/>
    <m/>
    <s v="DANIEL GARRIDO"/>
    <s v="RAFAEL ASTORGA"/>
    <n v="21"/>
    <s v="Materia Prima"/>
    <s v="Ojos"/>
    <s v="Contusión"/>
    <s v="Proyeccion de particulas"/>
    <s v="TRABAJADOR REFIERE PROYECCIÓN DE ÁCIDO PERACÉTICO EN OJO DERECHO, AL ESTAR CERRANDO UN BINS "/>
    <s v="ACCION"/>
    <s v="SI"/>
    <s v="NO"/>
    <s v="CARLOS JIMENEZ"/>
    <s v="CRISTIAN JHON"/>
  </r>
  <r>
    <n v="2022"/>
    <x v="5"/>
    <s v="EL PAICO"/>
    <s v="SILVA CARREÑO "/>
    <s v="CARLOS"/>
    <s v="MASCULINO"/>
    <s v="17578495-0"/>
    <d v="2019-02-25T00:00:00"/>
    <n v="38"/>
    <d v="2022-05-20T00:00:00"/>
    <s v="ANTIGUO"/>
    <m/>
    <m/>
    <m/>
    <n v="0"/>
    <s v="STP"/>
    <m/>
    <m/>
    <s v="TROZADO DE POLLO"/>
    <s v="DESHUESADO"/>
    <s v="OPERARIO"/>
    <s v="PASILLO COSTADO IQF 4"/>
    <s v="N/A"/>
    <s v="MAÑANA"/>
    <d v="1899-12-30T11:50:00"/>
    <s v="VIERNES"/>
    <s v="SEMANA 20"/>
    <m/>
    <m/>
    <s v="DANIEL GARRIDO"/>
    <s v="JOSE CARVALLO"/>
    <n v="31"/>
    <s v="Superficies de trabajo"/>
    <s v="Multiples"/>
    <s v="Contusión"/>
    <s v="Caida de mismo nivel"/>
    <s v="TRABAJADOR IBA CAMINANDO HACIA OFICINA DE TROZADO DE POLLO Y RESBALA EN EL PASILLO, EL CUAL TIENE HIELO Y PROVOCÓ LA CAÍDA"/>
    <s v="ACCION"/>
    <s v="SI"/>
    <s v="NO"/>
    <s v="CARLOS JIMENEZ"/>
    <s v="CRISTIAN JHON"/>
  </r>
  <r>
    <n v="2022"/>
    <x v="5"/>
    <s v="EL PAICO"/>
    <s v="TRONCOSO CACERES"/>
    <s v="CAROL "/>
    <s v="FEMENINO"/>
    <s v="16291541-K"/>
    <d v="2012-05-07T00:00:00"/>
    <n v="120"/>
    <d v="2022-05-24T00:00:00"/>
    <s v="ANTIGUO"/>
    <d v="2022-05-25T00:00:00"/>
    <d v="2022-05-25T00:00:00"/>
    <m/>
    <n v="0"/>
    <s v="STP"/>
    <m/>
    <m/>
    <s v="TROZADO DE POLLO"/>
    <s v="DESHUESADO"/>
    <s v="OPERARIO"/>
    <s v="CASINO"/>
    <s v="N/A"/>
    <s v="MAÑANA"/>
    <d v="1899-12-30T13:05:00"/>
    <s v="MARTES"/>
    <s v="SEMANA 21"/>
    <m/>
    <s v="NC-57-22"/>
    <s v="DANIEL GARRIDO"/>
    <s v="JORGE MEZA"/>
    <n v="36"/>
    <s v="Infraestructura"/>
    <s v="Manos / dedos"/>
    <s v="Contusión"/>
    <s v="Golpeado contra"/>
    <s v="TRABAJADORA SALIENDO DE COLACIÓN, QUERIENDO SACAR ALCOHOL GEL, NO ALCANZO EL DISPENSADOR Y SU MANO PASO DE LARGO GOLPEÁNDOSE CON EL BORDE DE LA PUERTA"/>
    <s v="ACCION"/>
    <s v="SI"/>
    <s v="SI"/>
    <s v="NICOLAS GOMEZ "/>
    <s v="CRISTIAN JHON"/>
  </r>
  <r>
    <n v="2022"/>
    <x v="5"/>
    <s v="EL PAICO"/>
    <s v="LARA SOTO "/>
    <s v="EDITH"/>
    <s v="FEMENINO"/>
    <s v="16670482-0"/>
    <d v="2020-01-13T00:00:00"/>
    <n v="28"/>
    <d v="2022-05-26T00:00:00"/>
    <s v="INTERMEDIO"/>
    <m/>
    <m/>
    <m/>
    <n v="0"/>
    <s v="STP"/>
    <s v="LGF"/>
    <s v="LGF 2"/>
    <s v="SSGG"/>
    <s v="SSGG"/>
    <s v="OPERARIO"/>
    <s v="CHILLER DE AGUA N°2"/>
    <s v="CHILLER"/>
    <s v="NOCHE"/>
    <d v="1899-12-30T01:20:00"/>
    <s v="JUEVES"/>
    <s v="SEMANA 21"/>
    <m/>
    <m/>
    <s v="SERGIO AQUEVEQUE"/>
    <s v="LUIS URBINA"/>
    <n v="34"/>
    <s v="Infraestructura"/>
    <s v="Brazo"/>
    <s v="Atrición"/>
    <s v="Atrapamiento"/>
    <s v="SUFRE ATRICIÓN DE ANTEBRAZO DERECHO MIENTRAS REALIZABA LIMPIEZA DE CHILLER DE AGUA, PRESIONANDO LA PARTE AFECTADA CON EL BORDE DEL CHILLER Y LA ASPA QUE SE ENCONTRABA EN MOVIMIENTO. "/>
    <s v="ACCION"/>
    <s v="SI"/>
    <s v="NO"/>
    <s v="CARLOS JIMENEZ"/>
    <s v="MICHEL SANCHEZ"/>
  </r>
  <r>
    <n v="2022"/>
    <x v="5"/>
    <s v="EL PAICO"/>
    <s v="CACERES JEREZ"/>
    <s v="NICOLAS"/>
    <s v="MASCULINO"/>
    <s v="20137719-6"/>
    <d v="2019-03-04T00:00:00"/>
    <n v="38"/>
    <d v="2022-05-30T00:00:00"/>
    <s v="ANTIGUO"/>
    <d v="2022-05-31T00:00:00"/>
    <d v="2022-06-03T00:00:00"/>
    <m/>
    <n v="4"/>
    <s v="CTP"/>
    <m/>
    <m/>
    <s v="BODEGA"/>
    <s v="BODEGA DE INSUMOS "/>
    <s v="OPERARIO"/>
    <s v="BODEGA 3"/>
    <s v="N/A"/>
    <s v="TARDE"/>
    <d v="1899-12-30T23:30:00"/>
    <s v="LUNES"/>
    <s v="SEMANA 22"/>
    <m/>
    <s v="NC-59-22"/>
    <s v="BORIS PONCE "/>
    <s v="VICTORIA MILLARES"/>
    <n v="22"/>
    <s v="Superficies de trabajo"/>
    <s v="Manos / dedos"/>
    <s v="Torsión"/>
    <s v="Golpeado por"/>
    <s v=" TRABAJADOR AL TRATAR DE GIRAR EN PALLET, PIERDE EL EQUILIBRIO LO QUE LE PROVOCA UNA CAÍDA Y SUFRE TORSIÓN Y GOLPE EN SU DEDO ÍNDICE "/>
    <s v="ACCION"/>
    <s v="SI"/>
    <s v="SI"/>
    <s v="NICOLAS GOMEZ "/>
    <s v="HERALDO P"/>
  </r>
  <r>
    <n v="2022"/>
    <x v="0"/>
    <s v="EL PAICO"/>
    <s v=" CARRASCO CACERES"/>
    <s v="VICTOR ALFONSO"/>
    <s v="MASCULINO"/>
    <s v="16985231-6"/>
    <d v="2008-07-18T00:00:00"/>
    <n v="166"/>
    <d v="2022-06-01T00:00:00"/>
    <s v="ANTIGUO"/>
    <d v="2022-06-01T00:00:00"/>
    <d v="2022-06-10T00:00:00"/>
    <m/>
    <n v="10"/>
    <s v="CTP"/>
    <m/>
    <m/>
    <s v="TROZADO DE POLLO"/>
    <s v="T. AUTOMATICO "/>
    <s v="OPERARIO"/>
    <s v="PASILLO IQF 4"/>
    <s v="N/A"/>
    <s v="MAÑANA"/>
    <d v="1899-12-30T07:00:00"/>
    <s v="MIERCOLES"/>
    <s v="SEMANA 22"/>
    <m/>
    <s v="NC-63-22"/>
    <s v="DANIEL GARRIDO"/>
    <s v="RAMIRO RAMIREZ"/>
    <n v="33"/>
    <s v="Superficies de trabajo"/>
    <s v="Tronco"/>
    <s v="Contusión"/>
    <s v="Caida de mismo nivel"/>
    <s v="TRABAJADOR CAMINABA HACIA LA OFICINA DE TROZADO DE POLLO A BUSCAR ETIQUETAS Y RESBALA POR EL HIELO EN EL PASILLO DEL IQF 4, GOLPEÁNDOSE LA ESPALDA POR EL LADO DERECHO "/>
    <s v="ACCION"/>
    <s v="SI"/>
    <s v="SI"/>
    <s v="NICOLAS GOMEZ "/>
    <s v="CRISTIAN JHON"/>
  </r>
  <r>
    <n v="2022"/>
    <x v="0"/>
    <s v="EL PAICO"/>
    <s v=" SALGADO SILVA"/>
    <s v="JOSE AGUSTIN"/>
    <s v="MASCULINO"/>
    <s v="15355520-6"/>
    <d v="2020-05-20T00:00:00"/>
    <n v="24"/>
    <d v="2022-06-06T00:00:00"/>
    <s v="INTERMEDIO"/>
    <d v="2022-06-06T00:00:00"/>
    <d v="2022-06-06T00:00:00"/>
    <m/>
    <n v="0"/>
    <s v="STP"/>
    <s v="LGF"/>
    <s v="LGF 7"/>
    <s v="FAENACION"/>
    <s v="EVISCERADO POLLOS"/>
    <s v="OPERARIO"/>
    <s v="ESCALDADORA DE PATA DE POLLO"/>
    <s v="PELADORA DE GARRAS"/>
    <s v="MAÑANA"/>
    <d v="1899-12-30T06:40:00"/>
    <s v="LUNES"/>
    <s v="SEMANA 23"/>
    <m/>
    <s v="NC-68-23"/>
    <s v="NICOLAS MOYANO"/>
    <s v="ERWIN GATICA"/>
    <n v="39"/>
    <s v="Infraestructura"/>
    <s v="Manos / dedos"/>
    <s v="Herida cortante"/>
    <s v="Contacto con cuerpo cortante"/>
    <s v=" TRABAJADOR SUFRE HERIDA CORTANTE EN SU DEDO PULGAR IZQUIERDO, CUANDO ABRIÓ LA TAPA DE LA PELADERA DE GARRAS PARA REVISAR LA CORREA Y EVITAR QUE ESTA SE APAGARA"/>
    <s v="ACCION"/>
    <s v="SI"/>
    <s v="SI"/>
    <s v="NICOLAS GOMEZ "/>
    <s v="MICHEL SANCHEZ"/>
  </r>
  <r>
    <n v="2022"/>
    <x v="0"/>
    <s v="EL PAICO"/>
    <s v=" TORO OROZCO"/>
    <s v="GIANINA DEL CARMEN"/>
    <s v="FEMENINO"/>
    <s v=" 17518601-8"/>
    <d v="2019-01-14T00:00:00"/>
    <n v="40"/>
    <d v="2022-06-08T00:00:00"/>
    <s v="ANTIGUO"/>
    <m/>
    <m/>
    <m/>
    <n v="0"/>
    <s v="STP"/>
    <s v="LGF"/>
    <s v="LGF 5"/>
    <s v="SSGG"/>
    <s v="ASEO OPERACIONAL"/>
    <s v="OPERARIO"/>
    <s v="IQF"/>
    <s v="N/A"/>
    <s v="NOCHE"/>
    <d v="1899-12-30T01:30:00"/>
    <s v="MIERCOLES"/>
    <s v="SEMANA 23"/>
    <m/>
    <m/>
    <s v="CARLOS JIMENEZ"/>
    <s v="LUIS URBINA"/>
    <n v="32"/>
    <s v="Producto quimico"/>
    <s v="Otro"/>
    <s v="Otros"/>
    <s v="Exposicion a humo y gases"/>
    <s v=" TRABAJADORA REFIERE MOLESTIAS RESPIRATORIAS POR EXPOSICIÓN A QUÍMICOS EN EL AMBIENTE MIENTRAS REALIZADA SUS LABORES EN SALA DE IQF"/>
    <s v="CONDICION"/>
    <s v="SI"/>
    <s v="NO"/>
    <s v="NICOLAS GOMEZ "/>
    <s v="WLADIMIR CALDERON"/>
  </r>
  <r>
    <n v="2022"/>
    <x v="0"/>
    <s v="EL PAICO"/>
    <s v=" NAVARRO GONZALEZ"/>
    <s v="XIMENA ANDREA"/>
    <s v="FEMENINO"/>
    <s v=" 16266713-0"/>
    <d v="2016-12-05T00:00:00"/>
    <n v="66"/>
    <d v="2022-06-08T00:00:00"/>
    <s v="ANTIGUO"/>
    <m/>
    <m/>
    <m/>
    <n v="0"/>
    <s v="STP"/>
    <s v="LGF"/>
    <s v="LGF 5"/>
    <s v="SSGG"/>
    <s v="ASEO OPERACIONAL"/>
    <s v="OPERARIO"/>
    <s v="ISHIDA"/>
    <s v="N/A"/>
    <s v="NOCHE"/>
    <d v="1899-12-30T01:30:00"/>
    <s v="MIERCOLES"/>
    <s v="SEMANA 23"/>
    <m/>
    <m/>
    <s v="CARLOS JIMENEZ"/>
    <s v="LUIS URBINA"/>
    <n v="37"/>
    <s v="Producto quimico"/>
    <s v="Otro"/>
    <s v="Otros"/>
    <s v="Exposicion a humo y gases"/>
    <s v=" TRABAJADORA REFIERE MOLESTIAS RESPIRATORIAS POR EXPOSICIÓN A QUÍMICOS EN EL AMBIENTE MIENTRAS REALIZADA SUS LABORES EN SALA DE ISHIDA"/>
    <s v="CONDICION"/>
    <s v="SI"/>
    <s v="NO"/>
    <s v="NICOLAS GOMEZ "/>
    <s v="WLADIMIR CALDERON"/>
  </r>
  <r>
    <n v="2022"/>
    <x v="0"/>
    <s v="EL PAICO"/>
    <s v=" MANZO FUENTES"/>
    <s v="BESSIE SORAYA"/>
    <s v="FEMENINO"/>
    <s v=" 11228319-6"/>
    <d v="1992-07-14T00:00:00"/>
    <n v="358"/>
    <d v="2022-06-09T00:00:00"/>
    <s v="ANTIGUO"/>
    <m/>
    <m/>
    <m/>
    <n v="0"/>
    <s v="STP"/>
    <m/>
    <m/>
    <s v="TROZADO DE PAVO"/>
    <s v="TROZADO"/>
    <s v="OPERARIO"/>
    <s v="TROZADO DE PAVO"/>
    <s v="N/A"/>
    <s v="MAÑANA"/>
    <d v="1899-12-30T08:20:00"/>
    <s v="JUEVES"/>
    <s v="SEMANA 23"/>
    <m/>
    <m/>
    <s v="GUILLERMO NARVAEZ"/>
    <s v="JAQUELINE PAVEZ"/>
    <n v="52"/>
    <s v="Materia Prima"/>
    <s v="Ojos"/>
    <s v="Otros"/>
    <s v="Proyeccion de particulas"/>
    <s v=" TRABAJADORA EN LÍNEA DE TROZADO DE PAVO, SUFRE LA PROYECCIÓN DE PARTÍCULAS LLEGANDO A SU OJO DERECHO, PROVOCANDO UNA PEQUEÑA IRRITACIÓN "/>
    <s v="ACCION"/>
    <s v="SI"/>
    <s v="NO"/>
    <s v="NICOLAS GOMEZ "/>
    <s v="CRISTIAN JHON"/>
  </r>
  <r>
    <n v="2022"/>
    <x v="0"/>
    <s v="EL PAICO"/>
    <s v=" PEREZ MUNOZ"/>
    <s v="GUILLERMO ORLANDO"/>
    <s v="MASCULINO"/>
    <s v=" 11697702-8"/>
    <d v="2022-03-16T00:00:00"/>
    <n v="2"/>
    <d v="2022-06-09T00:00:00"/>
    <s v="NUEVO"/>
    <m/>
    <m/>
    <m/>
    <n v="0"/>
    <s v="STP"/>
    <m/>
    <m/>
    <s v="FAENACION"/>
    <s v="EVISCERADO POLLOS"/>
    <s v="OPERARIO"/>
    <s v="SALA EVICERADO"/>
    <s v="N/A"/>
    <s v="MAÑANA"/>
    <d v="1899-12-30T07:35:00"/>
    <s v="JUEVES"/>
    <s v="SEMANA 23"/>
    <m/>
    <m/>
    <s v="NICOLAS MOYANO"/>
    <s v="ERWIN GATICA"/>
    <n v="50"/>
    <s v="Superficies de trabajo"/>
    <s v="Pierna"/>
    <s v="Contusión"/>
    <s v="Caida de distinto nivel"/>
    <s v=" TRABAJADOR ESTANDO EN UNA TARIMA DE AGACHA A RECOGER UNA BANDEJA, PIERDE EL EQUILIBRIO Y SUFRE UNA CAÍDA DE DISTINTO NIVEL, GOLPEANDO SU PIERNA Y BAZO "/>
    <s v="ACCION"/>
    <s v="SI"/>
    <s v="NO"/>
    <s v="NICOLAS GOMEZ "/>
    <s v="CRISTIAN JHON"/>
  </r>
  <r>
    <n v="2022"/>
    <x v="0"/>
    <s v="EL PAICO"/>
    <s v=" CAMPOS CHAPARRO"/>
    <s v="MAXIMO ALEXIS"/>
    <s v="MASCULINO"/>
    <s v=" 13900492-2"/>
    <d v="2019-01-02T00:00:00"/>
    <n v="41"/>
    <d v="2022-06-09T00:00:00"/>
    <s v="ANTIGUO"/>
    <m/>
    <m/>
    <m/>
    <n v="0"/>
    <s v="STP"/>
    <m/>
    <m/>
    <s v="IQF Y CALIBRADO"/>
    <s v="CALIBRADO"/>
    <s v="SUPERVISOR"/>
    <s v="CALIBRADO"/>
    <s v="N/A"/>
    <s v="TARDE"/>
    <d v="1899-12-30T12:30:00"/>
    <s v="JUEVES"/>
    <s v="SEMANA 23"/>
    <m/>
    <m/>
    <s v="GUILLERMO NARVAEZ"/>
    <s v=" "/>
    <n v="41"/>
    <s v="Materiales"/>
    <s v="Manos / dedos"/>
    <s v="Contusión"/>
    <s v="Golpeado por"/>
    <s v=" TRABAJADOR AL ESTAR RECOGIENDO UNA BOBINA DE FILM ESTA SE RESBALA Y GOLPEA SU DEDO MEDIO DE LA MANO IZQUIERDA "/>
    <s v="ACCION"/>
    <s v="SI"/>
    <s v="NO"/>
    <s v="NICOLAS GOMEZ "/>
    <s v="CRISTIAN JHON"/>
  </r>
  <r>
    <n v="2022"/>
    <x v="0"/>
    <s v="EL PAICO"/>
    <s v=" LOYOLA DIAZ"/>
    <s v="HERNAN TOMAS"/>
    <s v="MASCULINO"/>
    <s v=" 19923996-1"/>
    <d v="2018-08-06T00:00:00"/>
    <n v="46"/>
    <d v="2022-06-14T00:00:00"/>
    <s v="ANTIGUO"/>
    <m/>
    <m/>
    <m/>
    <n v="0"/>
    <s v="STP"/>
    <s v="LGF"/>
    <s v="LGF2"/>
    <s v="SSGG"/>
    <s v="ASEO OPERACIONAL"/>
    <s v="OPERARIO"/>
    <s v="EVISCERADO"/>
    <s v="MAQUINA BUCHERA "/>
    <s v="NOCHE"/>
    <d v="1899-12-30T00:35:00"/>
    <s v="MARTES"/>
    <s v="SEMANA 24"/>
    <m/>
    <m/>
    <s v="CARLOS JIMENEZ"/>
    <s v="LUIS URBINA"/>
    <n v="24"/>
    <s v="Maquinarias"/>
    <s v="Manos / dedos"/>
    <s v="Atrición"/>
    <s v="Atrapamiento"/>
    <s v=" TRABAJADOR AL ESTAR HACIENDO ASEO EN MAQUINA BUCHERA DE EVISCERADO DE POLLO, CUANDO UN CUERPO ENGANCHA LA CAPA ARRASTRANDO SU MANO Y ATRAPÁNDOLE LA MUÑECA DERECHA EN EL PILAR DE LA MAQUINA "/>
    <s v="ACCION"/>
    <s v="SI"/>
    <s v="NO"/>
    <s v="NICOLAS GOMEZ "/>
    <s v="CRISTIAN JHON"/>
  </r>
  <r>
    <n v="2022"/>
    <x v="0"/>
    <s v="EL PAICO"/>
    <s v="QUINONES CAMPOS"/>
    <s v="TANIA SHATILA"/>
    <s v="FEMENINO"/>
    <s v="15357030-2"/>
    <d v="2022-02-07T00:00:00"/>
    <n v="4"/>
    <d v="2022-06-16T00:00:00"/>
    <s v="NUEVO"/>
    <d v="2022-06-17T00:00:00"/>
    <d v="2022-07-14T00:00:00"/>
    <m/>
    <n v="28"/>
    <s v="CTP"/>
    <m/>
    <m/>
    <s v="FRIGORIFICO"/>
    <s v="CAMARA"/>
    <s v="OPERARIO"/>
    <s v="SALA DESPACHO FIGRORIFICO"/>
    <s v="N/A"/>
    <s v="TARDE"/>
    <d v="1899-12-30T12:00:00"/>
    <s v="JUEVES"/>
    <s v="SEMANA 24"/>
    <m/>
    <s v="NC-70-22"/>
    <s v="FRANCISCO QUEZADA"/>
    <s v="JUAN VILLAVICENCIO"/>
    <n v="39"/>
    <s v="Superficies de trabajo"/>
    <s v="Multiples"/>
    <s v="Contusión"/>
    <s v="Caida de mismo nivel"/>
    <s v="TRABAJADORA, AL ESTAR LIMPIANDO MUEBLE EN LA SALA DE DESPACHO DE FRIGORÍFICO, SE RESBALA Y SE GOLPEA EN SU ROSTRO, CODO DERECHO Y ZONA LUMBAR"/>
    <s v="ACCION"/>
    <s v="NO"/>
    <s v="SI"/>
    <s v="NICOLAS GOMEZ "/>
    <s v="HERALDO P"/>
  </r>
  <r>
    <n v="2022"/>
    <x v="0"/>
    <s v="EL PAICO"/>
    <s v=" RIVAS GALARCE"/>
    <s v="FRANCISCO JAVIER"/>
    <s v="MASCULINO"/>
    <s v=" 15884378-1"/>
    <d v="2013-03-07T00:00:00"/>
    <n v="111"/>
    <d v="2022-06-17T00:00:00"/>
    <s v="ANTIGUO"/>
    <m/>
    <m/>
    <m/>
    <n v="0"/>
    <s v="STP"/>
    <m/>
    <m/>
    <s v="IQF Y CALIBRADO"/>
    <s v="CALIBRADO"/>
    <s v="OPERARIO"/>
    <s v="CALIBRADO"/>
    <s v="N/A"/>
    <s v="MAÑANA"/>
    <d v="1899-12-30T09:10:00"/>
    <s v="VIERNES"/>
    <s v="SEMANA 24"/>
    <m/>
    <m/>
    <s v="GUILLERMO NARVAEZ"/>
    <s v="MIGUEL HENRRIQUEZ"/>
    <n v="37"/>
    <s v="Otros"/>
    <s v="Rostro"/>
    <s v="Herida cortante"/>
    <s v="Golpeado contra"/>
    <s v=" TRABAJADOR AL ESTAR SACANDO EL CAPACHO ATASCADO PARA VACIARLO, EJERCIÓ MUCHA FUERZA Y ESTE GOLPEO SU NARIZ, HACIENDO UN PEQUEÑO CORTE. "/>
    <s v="ACCION"/>
    <s v="SI"/>
    <s v="NO"/>
    <s v="NICOLAS GOMEZ "/>
    <s v="CRISTIAN JHON"/>
  </r>
  <r>
    <n v="2022"/>
    <x v="0"/>
    <s v="EL PAICO"/>
    <s v=" VARGAS ROJAS"/>
    <s v="TOMAS ALFREDO"/>
    <s v="MASCULINO"/>
    <s v=" 21171568-5"/>
    <d v="2021-09-14T00:00:00"/>
    <n v="9"/>
    <d v="2022-06-21T00:00:00"/>
    <s v="NUEVO"/>
    <m/>
    <m/>
    <m/>
    <n v="0"/>
    <s v="STP"/>
    <m/>
    <m/>
    <s v="IQF Y CALIBRADO"/>
    <s v="CALIBRADO"/>
    <s v="OPERARIO"/>
    <s v="IQF"/>
    <s v="SUPER CONTACT"/>
    <s v="TARDE"/>
    <d v="1899-12-30T12:30:00"/>
    <s v="MARTES"/>
    <s v="SEMANA 25"/>
    <m/>
    <m/>
    <s v="GUILLERMO NARVAEZ"/>
    <s v="FERNANDO FUENTEALBA"/>
    <n v="19"/>
    <s v="Maquinarias"/>
    <s v="Manos / dedos"/>
    <s v="Contusión"/>
    <s v="Golpeado por"/>
    <s v=" TRABAJADOR AL ESTAR DESARMANDO EL SUPER CONTACT, PARA DEJAR DE OCUPARLO. SACA EL RODILLO Y LO DEJA EN UN SOPORTE, QUEDA MAL PUESTO Y LE CAE EN LOS DEDOS "/>
    <s v="ACCION"/>
    <s v="SI"/>
    <s v="NO"/>
    <s v="NICOLAS GOMEZ "/>
    <s v="CRISTIAN JHON"/>
  </r>
  <r>
    <n v="2022"/>
    <x v="0"/>
    <s v="EL PAICO"/>
    <s v="RIVEROS RIVEROS"/>
    <s v="FRANCISCO ADRIAN"/>
    <s v="MASCULINO"/>
    <s v="17986835-0"/>
    <d v="2020-05-28T00:00:00"/>
    <n v="24"/>
    <d v="2022-06-24T00:00:00"/>
    <s v="INTERMEDIO"/>
    <m/>
    <m/>
    <m/>
    <n v="0"/>
    <s v="STP"/>
    <m/>
    <m/>
    <s v="IQF Y CALIBRADO"/>
    <s v="IQF4"/>
    <s v="OPERARIO"/>
    <s v="IQF 4"/>
    <s v="N/A"/>
    <s v="TARDE"/>
    <d v="1899-12-30T17:00:00"/>
    <s v="VIERNES"/>
    <s v="SEMANA 25"/>
    <m/>
    <m/>
    <s v="GUILLERMO NARVAEZ"/>
    <s v="FRANCISCO SANCHEZ"/>
    <n v="30"/>
    <s v="Materiales"/>
    <s v="Manos / dedos"/>
    <s v="Contusión"/>
    <s v="Golpeado contra"/>
    <s v="TRABAJADOR SUFRE GOLPE EN SU MANO DERECHA CON BINS, EMPUJADO POR TRANSPALETA ELÉCTRICA, CUANDO BAJABA BINS DEL VOLTEADOR "/>
    <s v="ACCION"/>
    <s v="SI"/>
    <s v="NO"/>
    <s v="NICOLAS GOMEZ "/>
    <s v="HERALDO P"/>
  </r>
  <r>
    <n v="2022"/>
    <x v="0"/>
    <s v="EL PAICO"/>
    <s v=" NUNEZ MENA"/>
    <s v="FRANCISCO IGNACIO"/>
    <s v="MASCULINO"/>
    <s v=" 19421104-K"/>
    <d v="2021-02-09T00:00:00"/>
    <n v="16"/>
    <d v="2022-06-25T00:00:00"/>
    <s v="NUEVO"/>
    <m/>
    <m/>
    <m/>
    <n v="0"/>
    <s v="STP"/>
    <m/>
    <m/>
    <s v="PERSONAL"/>
    <s v="PALETIZADO"/>
    <s v="OPERARIO"/>
    <s v="BAÑO"/>
    <s v="N/A"/>
    <s v="MAÑANA"/>
    <d v="1899-12-30T10:00:00"/>
    <s v="SABADO"/>
    <s v="SEMANA 25"/>
    <m/>
    <m/>
    <s v="GUILLERMO NARVAEZ"/>
    <s v="MAXIMO CAMPOS"/>
    <n v="26"/>
    <s v="Otros"/>
    <s v="Manos / dedos"/>
    <s v="Otros"/>
    <s v="Otros"/>
    <s v=" TRABAJADOR EL PEDIR EL ZIPER SE CORTA LA UÑA DEL DEDO ÍNDICE DE LA MANO DERECHA CON LA ARGOLLA "/>
    <s v="ACCION"/>
    <s v="NO"/>
    <s v="NO"/>
    <s v="NICOLAS GOMEZ "/>
    <s v="CRISTIAN JHON"/>
  </r>
  <r>
    <n v="2022"/>
    <x v="0"/>
    <s v="EL PAICO"/>
    <s v=" FUENTES ARENAS"/>
    <s v="MAURICIO IGNACIO"/>
    <s v="MASCULINO"/>
    <s v=" 18061498-2"/>
    <d v="2019-06-03T00:00:00"/>
    <n v="36"/>
    <d v="2022-06-28T00:00:00"/>
    <s v="INTERMEDIO"/>
    <m/>
    <m/>
    <m/>
    <s v=" "/>
    <s v="STP"/>
    <m/>
    <m/>
    <s v="MANTENCION"/>
    <s v="MANTENCION"/>
    <s v="ELECTRICO"/>
    <s v="TROZADO AUTOMATICO"/>
    <s v="MOTOR"/>
    <s v="TARDE"/>
    <d v="1899-12-30T19:30:00"/>
    <s v="MARTES"/>
    <s v="SEMANA 26"/>
    <m/>
    <m/>
    <s v="VICTOR GOMEZ"/>
    <s v="EMANUEL MELLADO "/>
    <n v="30"/>
    <s v="Materiales"/>
    <s v="Manos / dedos"/>
    <s v="Contusión"/>
    <s v="Golpeado por"/>
    <s v=" TRABAJADOR AL ESTAR ARMANDO EL MOTOR PASA LAS HERRAMIENTAS POR DEBAJO DE ESTE Y EL MOTOR CAE 30 CMS APROX. GOLPEANDO AMBAS MANOS, QUEDANDO AFECTADA SU MANO IZQUIERDA"/>
    <s v="ACCION"/>
    <s v="SI"/>
    <s v="NO"/>
    <s v="NICOLAS GOMEZ "/>
    <s v="HERALDO P"/>
  </r>
  <r>
    <n v="2022"/>
    <x v="0"/>
    <s v="EL PAICO"/>
    <s v=" CASTRO MARTINEZ"/>
    <s v="MATIAS ALEJANDRO"/>
    <s v="MASCULINO"/>
    <s v=" 19068208-0"/>
    <d v="2013-08-07T00:00:00"/>
    <n v="106"/>
    <d v="2022-06-29T00:00:00"/>
    <s v="ANTIGUO"/>
    <m/>
    <m/>
    <m/>
    <n v="0"/>
    <s v="STP"/>
    <s v="LGF"/>
    <s v="LGF 7"/>
    <s v="TROZADO DE POLLO"/>
    <s v="T. AUTOMATICO "/>
    <s v="ELECTRICO"/>
    <s v="TROZADO AUTOMATICO"/>
    <s v="MAQUINA CORTADORA DE RABADILLAS"/>
    <s v="TARDE"/>
    <d v="1899-12-30T16:00:00"/>
    <s v="MIERCOLES"/>
    <s v="SEMANA 26"/>
    <m/>
    <m/>
    <s v="DANIEL GARRIDO"/>
    <s v="ARNALDO VERA"/>
    <n v="27"/>
    <s v="Maquinarias"/>
    <s v="Manos / dedos"/>
    <s v="Herida cortante"/>
    <s v="Contacto con cuerpo cortante"/>
    <s v=" TRABAJADOR AL ESTAR HACIENDO UN AJUSTE A LA MAQUINA CORTADORA DE RABADILLAS SOBRE UN PISO, ESTE SE CORRE Y AL TRATAR DE AFIRMARSE SE CORTA CON UNO DE LOS CUCHILLOS DE LA MAQUINA "/>
    <s v="ACCION"/>
    <s v="SI"/>
    <s v="NO"/>
    <s v="NICOLAS GOMEZ "/>
    <s v="CRISTIAN JHON"/>
  </r>
  <r>
    <n v="2022"/>
    <x v="0"/>
    <s v="EL PAICO"/>
    <s v=" CATALAN CASTILLO"/>
    <s v="BENJAMIN WILLIAMS"/>
    <s v="MASCULINO"/>
    <s v=" 14312051-1"/>
    <d v="2013-06-18T00:00:00"/>
    <n v="108"/>
    <d v="2022-06-30T00:00:00"/>
    <s v="ANTIGUO"/>
    <m/>
    <m/>
    <m/>
    <n v="0"/>
    <s v="STP"/>
    <s v="LGF"/>
    <s v="LGF2"/>
    <s v="P. POSTERIORES"/>
    <s v="ISHIDA"/>
    <s v="OPERARIO MAQUINA"/>
    <s v="ISHIDA"/>
    <s v="EQUIPO PARA MOVIMIENTO DE CARGA (GRUAS O TRANSPALETAS)"/>
    <s v="TARDE"/>
    <d v="1899-12-30T20:15:00"/>
    <s v="JUEVES"/>
    <s v="SEMENA 26"/>
    <m/>
    <m/>
    <s v="OCTAVIO MUÑOZ"/>
    <s v="EDGAR HERNANDEZ "/>
    <n v="46"/>
    <s v="Equipos Transporte de carga"/>
    <s v="Manos / dedos"/>
    <s v="Atrición"/>
    <s v="Atrapamiento"/>
    <s v=" TRABAJADOR SUFRE ATRICIÓN DE DEDO ANULAR IZQUIERDO CON TRANSPALETA EN MAL ESTADO, OPERADA POR COMPAÑERO DE TRABAJO"/>
    <s v="ACCION"/>
    <s v="SI"/>
    <s v="NO"/>
    <s v="NICOLAS GOMEZ "/>
    <s v="MICHEL SANCHEZ"/>
  </r>
  <r>
    <n v="2022"/>
    <x v="0"/>
    <s v="EL PAICO"/>
    <s v=" QUINTANILLA REYES"/>
    <s v="ESTEBAN ALEJANDRO"/>
    <s v="MASCULINO"/>
    <s v=" 20123998-2"/>
    <d v="2018-03-19T00:00:00"/>
    <n v="51"/>
    <d v="2022-06-30T00:00:00"/>
    <s v="ANTIGUO"/>
    <m/>
    <m/>
    <m/>
    <n v="0"/>
    <s v="STP"/>
    <m/>
    <m/>
    <s v="CALIDAD"/>
    <s v="CALIDAD"/>
    <s v="MONITOR"/>
    <s v="CONGELADOR IQF 1"/>
    <s v="LINEA IQF (CINTAS, CONGELADORES, INYECTORAS)"/>
    <s v="NOCHE"/>
    <d v="1899-12-30T03:08:00"/>
    <s v="JUEVES"/>
    <s v="SEMANA 26"/>
    <m/>
    <m/>
    <s v="JAIME JORQUERA"/>
    <s v="SOLEDAD CARRASCO"/>
    <n v="23"/>
    <s v="Maquinarias"/>
    <s v="Manos / dedos"/>
    <s v="Herida cortante"/>
    <s v="Contacto con cuerpo punzante"/>
    <s v=" EL TRABAJADOR AL ESTAR REVISANDO LA CINTA DEL CONGELADOR SE ENTIERRA UNA ESQUIRLA METÁLICA EN EL DEDO MEÑIQUE DE LA MANO DERECHA "/>
    <s v="ACCION"/>
    <s v="SI"/>
    <s v="NO"/>
    <s v="NICOLAS GOMEZ "/>
    <s v="CRISTIAN JHON"/>
  </r>
  <r>
    <n v="2022"/>
    <x v="6"/>
    <s v="EL PAICO"/>
    <s v="COLINA PARDO"/>
    <s v="ISABEL MARGARITA"/>
    <s v="FEMENINO"/>
    <s v=" 16615461-8"/>
    <d v="2017-05-29T00:00:00"/>
    <n v="61"/>
    <d v="2022-07-03T00:00:00"/>
    <s v="ANTIGUO"/>
    <m/>
    <m/>
    <m/>
    <n v="0"/>
    <s v="STP"/>
    <m/>
    <m/>
    <s v="TROZADO DE POLLO"/>
    <s v="DESHUESADO"/>
    <s v="OPERARIO"/>
    <s v="DESHUEZADO"/>
    <s v="N/A"/>
    <s v="MAÑANA"/>
    <d v="1899-12-30T07:10:00"/>
    <s v="DOMINGO"/>
    <s v="SEMANA 26"/>
    <m/>
    <m/>
    <s v="DANIEL GARRIDO"/>
    <s v="JOSE CARVALLO"/>
    <n v="40"/>
    <s v="Superficies de trabajo"/>
    <s v="Cabeza"/>
    <s v="Contusión"/>
    <s v="Caida de mismo nivel"/>
    <s v=" TRABAJADOR SUFRE CAÍDA DEL MISMO NIVEL, AL RESBALAR CAYENDO AL SUELO CON GOLPE EN SU CABEZA , CARA OCCIPITAL"/>
    <s v="ACCION"/>
    <s v="SI"/>
    <s v="NO"/>
    <s v="NICOLAS GOMEZ "/>
    <s v="HERALDO P"/>
  </r>
  <r>
    <n v="2022"/>
    <x v="6"/>
    <s v="EL PAICO"/>
    <s v="ARMIJO CORDERO"/>
    <s v="FRANCISCO EDUARDO"/>
    <s v="MASCULINO"/>
    <s v="7885635-1"/>
    <d v="2004-09-22T00:00:00"/>
    <n v="213"/>
    <d v="2022-07-04T00:00:00"/>
    <s v="ANTIGUO"/>
    <m/>
    <m/>
    <m/>
    <n v="0"/>
    <s v="STP"/>
    <m/>
    <m/>
    <s v="TROZADO DE PAVO"/>
    <s v="TROZADO"/>
    <s v="OPERARIO"/>
    <s v="CASINO"/>
    <s v="N/A"/>
    <s v="MAÑANA"/>
    <d v="1899-12-30T09:15:00"/>
    <s v="LUNES"/>
    <s v="SEMANA 27"/>
    <m/>
    <m/>
    <s v="GUILLERMO NARVAEZ"/>
    <s v="JAQUELINE PAVEZ"/>
    <n v="63"/>
    <s v="Otros"/>
    <s v="Otro"/>
    <s v="Otros"/>
    <s v="Otros"/>
    <s v="TRABAJADOR SUFRE ROTURA DE PRÓTESIS DENTAL, AL COMER EN CASINO DE EMPRESA"/>
    <s v="ACCION"/>
    <s v="NO"/>
    <s v="NO"/>
    <s v="NICOLAS GOMEZ "/>
    <s v="MICHEL SANCHEZ"/>
  </r>
  <r>
    <n v="2022"/>
    <x v="6"/>
    <s v="EL PAICO"/>
    <s v="ERAZO BARTUCEVIC"/>
    <s v="ELIZABETH DEL PILAR"/>
    <s v="FEMENINO"/>
    <s v=" 9635745-1"/>
    <d v="2012-05-02T00:00:00"/>
    <n v="122"/>
    <d v="2022-07-07T00:00:00"/>
    <s v="ANTIGUO"/>
    <m/>
    <m/>
    <m/>
    <n v="0"/>
    <s v="STP"/>
    <m/>
    <m/>
    <s v="IQF Y CALIBRADO"/>
    <s v="LINEA IQF"/>
    <s v="OPERARIO"/>
    <s v="PASILLO IQF "/>
    <s v="N/A"/>
    <s v="TARDE"/>
    <d v="1899-12-30T15:15:00"/>
    <s v="JUEVES"/>
    <s v="SEMANA 27"/>
    <m/>
    <s v="NC-78-22"/>
    <s v="GUILLERMO NARVAEZ"/>
    <s v="FRANCISCO SANCHEZ"/>
    <n v="60"/>
    <s v="Superficies de trabajo"/>
    <s v="Pelvis"/>
    <s v="Contusión"/>
    <s v="Caida de mismo nivel"/>
    <s v=" TRABAJADOR AL CAMINAR POR EL PASILLO DEL IQF PISA UNA ALA MEDIA Y SUFRE UNA CAÍDA AL MISMO NIVEL "/>
    <s v="ACCION"/>
    <s v="SI"/>
    <s v="SI"/>
    <s v="NICOLAS GOMEZ "/>
    <s v="CRISTIAN JHON"/>
  </r>
  <r>
    <n v="2022"/>
    <x v="6"/>
    <s v="EL PAICO"/>
    <s v="CUEVAS VIDAL"/>
    <s v="VICTOR MANUEL"/>
    <s v="MASCULINO"/>
    <s v=" 9164248-4"/>
    <d v="2018-02-05T00:00:00"/>
    <n v="53"/>
    <d v="2022-07-07T00:00:00"/>
    <s v="ANTIGUO"/>
    <m/>
    <m/>
    <m/>
    <m/>
    <s v="STP"/>
    <m/>
    <m/>
    <s v="SSGG"/>
    <s v="ASEO OPERACIONAL"/>
    <s v="OPERARIO"/>
    <s v="FILTRO SANITARIO "/>
    <s v="N/A"/>
    <s v="MAÑANA"/>
    <d v="1899-12-30T05:15:00"/>
    <s v="JUEVES"/>
    <s v="SEMANA 27"/>
    <m/>
    <m/>
    <s v="CARLOS JIMENEZ"/>
    <s v="SERGIO AQUEVEQUE"/>
    <n v="61"/>
    <s v="Superficies de trabajo"/>
    <s v="Pierna"/>
    <s v="Torsión"/>
    <s v="Caida de mismo nivel"/>
    <s v=" EL TRABAJADOR SALIR POR EL FILTRO SANITARIO GIRA Y SE DOBLA LA RODILLA "/>
    <s v="ACCION"/>
    <s v="SI"/>
    <s v="NO"/>
    <s v="NICOLAS GOMEZ "/>
    <s v="CRISTIAN JHON"/>
  </r>
  <r>
    <n v="2022"/>
    <x v="6"/>
    <s v="EL PAICO"/>
    <s v="VERGARA MILLALONCO"/>
    <s v="ESTRELLA DEL CARMEN"/>
    <s v="FEMENINO"/>
    <s v=" 10716133-3"/>
    <d v="2016-12-19T00:00:00"/>
    <n v="66"/>
    <d v="2022-07-08T00:00:00"/>
    <s v="ANTIGUO"/>
    <m/>
    <m/>
    <m/>
    <n v="0"/>
    <s v="STP"/>
    <m/>
    <m/>
    <s v="TROZADO DE POLLO"/>
    <s v="DESHUESADO"/>
    <s v="OPERARIO"/>
    <s v="DESHUEZADO"/>
    <s v="N/A"/>
    <s v="TARDE"/>
    <d v="1899-12-30T17:30:00"/>
    <s v="VIERNES"/>
    <s v="SEMANA 27"/>
    <m/>
    <m/>
    <s v="DANIEL GARRIDO"/>
    <s v="JOSE CARVALLO"/>
    <n v="52"/>
    <s v="Otros"/>
    <s v="Brazo"/>
    <s v="Otros"/>
    <s v="Otros"/>
    <s v="TRABAJADORA REFIERE DOLOR EN EL HOMBRO DERECHO, UN TIRÓN AL REALIZAR MAL UN MOVIMIENTO CUANDO ESTABA RECOGIENDO PRODUCTO DEL PISO"/>
    <s v="ACCION"/>
    <s v="SI"/>
    <s v="NO"/>
    <s v="NICOLAS GOMEZ "/>
    <s v="MICHEL SANCHEZ"/>
  </r>
  <r>
    <n v="2022"/>
    <x v="6"/>
    <s v="EL PAICO"/>
    <s v="GALLEGUILLOS GAETE"/>
    <s v="GILLIAN ANTONELLA"/>
    <s v="FEMENINO"/>
    <s v=" 21173854-5"/>
    <d v="2022-06-22T00:00:00"/>
    <n v="0"/>
    <d v="2022-07-08T00:00:00"/>
    <s v="NUEVO"/>
    <m/>
    <m/>
    <m/>
    <n v="11"/>
    <s v="CTP"/>
    <m/>
    <m/>
    <s v="IQF Y CALIBRADO"/>
    <s v="IQF"/>
    <s v="OPERARIO"/>
    <s v="LINEA IQF 4"/>
    <s v="LINEA IQF (CINTAS, CONGELADORES, INYECTORAS)"/>
    <s v="MAÑANA"/>
    <d v="1899-12-30T11:50:00"/>
    <s v="VIERNES"/>
    <s v="SEMANA 27"/>
    <m/>
    <s v="NC-75-22"/>
    <s v="GUILLERMO NARVAEZ"/>
    <s v="FERNANDO FUENTEALBA"/>
    <n v="19"/>
    <s v="Maquinarias"/>
    <s v="Manos / dedos"/>
    <s v="Contusión"/>
    <s v="Golpeado contra"/>
    <s v="TRABAJADORA AL TRATAR DE DISMINUIR LA CAÍDA DE LA TAPA DEL CAPACHO SE GOLPEA LA MANO DERECHA CON SOPORTE TECNIL (ESTRUCTURA METÁLICA)"/>
    <s v="ACCION"/>
    <s v="SI"/>
    <s v="SI"/>
    <s v="NICOLAS GOMEZ "/>
    <s v="MICHEL SANCHEZ"/>
  </r>
  <r>
    <n v="2022"/>
    <x v="6"/>
    <s v="EL PAICO"/>
    <s v=" LEANDRE "/>
    <s v=" MARIE DAYANA"/>
    <s v="FEMENINO"/>
    <s v=" 25613814-K"/>
    <d v="2022-01-06T00:00:00"/>
    <n v="6"/>
    <d v="2022-07-09T00:00:00"/>
    <s v="NUEVO"/>
    <m/>
    <m/>
    <m/>
    <n v="0"/>
    <s v="STP"/>
    <s v="LGF"/>
    <s v="LGF 4"/>
    <s v="TROZADO DE POLLO"/>
    <s v="T. AUTOMATICO "/>
    <s v="OPERARIO"/>
    <s v="AUTOMATICO"/>
    <s v="EQUIPO PARA MOVIMIENTO DE CARGA (GRUAS O TRANSPALETAS)"/>
    <s v="MAÑANA"/>
    <d v="1899-12-30T14:10:00"/>
    <s v="SABADO"/>
    <s v="SEMANA 27"/>
    <m/>
    <s v="NC-79-22"/>
    <s v="DANIEL GARRIDO"/>
    <s v="ARNALDO VERA"/>
    <n v="33"/>
    <s v="Equipos Transporte de carga"/>
    <s v="Cabeza"/>
    <s v="Contusión"/>
    <s v="Caida de mismo nivel"/>
    <s v=" TRABAJADORA SUFRE CAÍDA MISMO NIVEL AL SER PASADA A LLEVAR POR EQUIPO PARA MOVIMIENTO DE CARGA (GRUAS O TRANSPALETAS), AL ESTAR TRABAJADO EN LA LÍNEA "/>
    <s v="ACCION"/>
    <s v="SI"/>
    <s v="SI"/>
    <s v="NICOLAS GOMEZ "/>
    <s v="WLADIMIR CALDERON"/>
  </r>
  <r>
    <n v="2022"/>
    <x v="6"/>
    <s v="EL PAICO"/>
    <s v=" CACERES CONTRERAS"/>
    <s v="DAMIAN ESTEBAN"/>
    <s v="MASCULINO"/>
    <s v=" 20712243-2"/>
    <d v="2022-04-04T00:00:00"/>
    <n v="3"/>
    <d v="2022-07-10T00:00:00"/>
    <s v="NUEVO"/>
    <m/>
    <m/>
    <m/>
    <n v="0"/>
    <s v="STP"/>
    <m/>
    <m/>
    <s v="IQF Y CALIBRADO"/>
    <s v="IQF"/>
    <s v="OPERARIO"/>
    <s v="CAMARINES HOMBRES"/>
    <s v="N/A"/>
    <s v="MAÑANA"/>
    <d v="1899-12-30T06:00:00"/>
    <s v="DOMINGO"/>
    <s v="SEMANA 27"/>
    <m/>
    <m/>
    <s v="GUILLERMO NARVAEZ"/>
    <s v="MIGUEL HENRRIQUEZ"/>
    <n v="21"/>
    <s v="Otros"/>
    <s v="Espalda"/>
    <s v="Otros"/>
    <s v="Otros"/>
    <s v=" TRABAJADOR AL ESTAR CAMBIÁNDOSE DE ROPA PARA INGRESAR AL TURNO, SUFRE UN TIRÓN EN LA ZONA DORSAL LUMBAR"/>
    <s v="ACCION"/>
    <s v="NO"/>
    <s v="NO"/>
    <s v="NICOLAS GOMEZ "/>
    <s v="MICHEL SANCHEZ"/>
  </r>
  <r>
    <n v="2022"/>
    <x v="6"/>
    <s v="EL PAICO"/>
    <s v=" ESPINOZA PADILLA"/>
    <s v="PAULINA ANDREA"/>
    <s v="FEMENINO"/>
    <s v=" 17133880-8"/>
    <d v="2022-06-14T00:00:00"/>
    <n v="0"/>
    <d v="2022-07-12T00:00:00"/>
    <s v="NUEVO"/>
    <m/>
    <m/>
    <m/>
    <n v="0"/>
    <s v="STP"/>
    <s v="LGF"/>
    <s v="LGF2"/>
    <s v="IQF Y CALIBRADO"/>
    <s v="IQF"/>
    <s v="OPERARIO"/>
    <s v="IQF"/>
    <s v="SELLADORA"/>
    <s v="TARDE"/>
    <d v="1899-12-30T18:20:00"/>
    <s v="MARTES"/>
    <s v="SEMANA 28"/>
    <m/>
    <m/>
    <s v="GUILLERMO NARVAEZ"/>
    <s v="MAXIMO CAMPOS"/>
    <n v="34"/>
    <s v="Maquinarias"/>
    <s v="Manos / dedos"/>
    <s v="Atrición"/>
    <s v="Atrapamiento"/>
    <s v="TRABAJADORA SUFRE ATRAPAMIENTO DE SUS DEDOS MEDIO Y ANULAR CON LA MAQUINA SELLADORA AL ACOMODAR UN BOLSA, Y LA MAQUINA BAJA DE FORMA BRUSCA "/>
    <s v="ACCION"/>
    <s v="SI"/>
    <s v="NO"/>
    <s v="NICOLAS GOMEZ "/>
    <s v="MICHEL SANCHEZ"/>
  </r>
  <r>
    <n v="2022"/>
    <x v="6"/>
    <s v="EL PAICO"/>
    <s v="VIDAL VERA"/>
    <s v="ALEXANDRA"/>
    <s v="FEMENINO"/>
    <s v="20237738-2"/>
    <d v="2022-06-17T00:00:00"/>
    <n v="0"/>
    <d v="2022-07-14T00:00:00"/>
    <s v="NUEVO"/>
    <m/>
    <m/>
    <m/>
    <n v="0"/>
    <s v="STP"/>
    <s v="LGF"/>
    <s v="LGF 4"/>
    <s v="TROZADO DE POLLO"/>
    <s v="T. AUTOMATICO "/>
    <s v="OPERARIO"/>
    <s v="AUTOMATICO"/>
    <s v="EQUIPO PARA MOVIMIENTO DE CARGA (GRUAS O TRANSPALETAS)"/>
    <s v="TARDE"/>
    <d v="1899-12-30T15:20:00"/>
    <s v="JUEVES"/>
    <s v="SEMANA 28"/>
    <m/>
    <m/>
    <s v="DANIEL GARRIDO"/>
    <s v="ARNALDO VERA"/>
    <n v="23"/>
    <s v="Equipos Transporte de carga"/>
    <s v="Pierna"/>
    <s v="Contusión"/>
    <s v="Golpeado por"/>
    <s v=" TRABAJADORA SUFRE GOLPE EN SU PIERNA DERECHA CON EQUIPO PARA MOVIMIENTO DE CARGA (GRUAS O TRANSPALETAS) Y BINS, MIENTRAS ETIQUETABA PRODUCTO EN SU PUESTO DE TRABAJO "/>
    <s v="ACCION"/>
    <s v="SI"/>
    <s v="NO"/>
    <s v="NICOLAS GOMEZ "/>
    <s v="HERALDO P"/>
  </r>
  <r>
    <n v="2022"/>
    <x v="6"/>
    <s v="EL PAICO"/>
    <s v="SANCHEZ VEAS "/>
    <s v="JANATHAM"/>
    <s v="MASCULINO"/>
    <s v="18213427-9"/>
    <d v="2014-05-05T00:00:00"/>
    <n v="98"/>
    <d v="2022-07-15T00:00:00"/>
    <s v="ANTIGUO"/>
    <m/>
    <m/>
    <m/>
    <n v="0"/>
    <s v="STP"/>
    <m/>
    <m/>
    <s v="TROZADO DE PAVO"/>
    <s v="TROZADO"/>
    <s v="OPERARIO"/>
    <s v="TROZADO DE PAVO"/>
    <s v="MAQUINA METALQUIMIA"/>
    <s v="MAÑANA"/>
    <d v="1899-12-30T05:55:00"/>
    <s v="VIERNES"/>
    <s v="SEMANA 28"/>
    <m/>
    <m/>
    <s v="GUILLERMO NARVAEZ"/>
    <s v="JAQUELINE PAVEZ"/>
    <n v="29"/>
    <s v="Maquinarias"/>
    <s v="Manos / dedos"/>
    <s v="Herida cortante"/>
    <s v="Contacto con cuerpo cortante"/>
    <s v=" TRABAJADOR AL ESTAR CAMBIANDO UNA AGUJA DE LA MAQUINA INYECTORA, Y AL HACER FUERZA PARA RETIRARLA SUBRE UN CORTE SUPERFICIAL EN EL DEDO LA AGUJA "/>
    <s v="ACCION"/>
    <s v="SI"/>
    <s v="NO"/>
    <s v="NICOLAS GOMEZ "/>
    <s v="CRISTIAN JHON"/>
  </r>
  <r>
    <n v="2022"/>
    <x v="6"/>
    <s v="EL PAICO"/>
    <s v="CORTES SANCHEZ"/>
    <s v="LUIS"/>
    <s v="MASCULINO"/>
    <s v="13237357-4"/>
    <d v="2022-07-11T00:00:00"/>
    <n v="0"/>
    <d v="2022-07-15T00:00:00"/>
    <s v="NUEVO"/>
    <m/>
    <m/>
    <m/>
    <n v="0"/>
    <s v="STP"/>
    <m/>
    <m/>
    <s v="P. POSTERIORES"/>
    <s v="REPORTE DE CAJAS"/>
    <s v="OPERARIO"/>
    <s v="REPORTE DE CAJAS"/>
    <s v="N/A"/>
    <s v="MAÑANA"/>
    <d v="1899-12-30T05:55:00"/>
    <s v="VIERNES"/>
    <s v="SEMANA 28"/>
    <m/>
    <m/>
    <s v="OCTAVIO MUÑOZ"/>
    <s v="ALEJANDRO SALAS"/>
    <s v=" "/>
    <s v="Pallet"/>
    <s v="Manos / dedos"/>
    <s v="Herida cortante"/>
    <s v="Contacto con cuerpo cortante"/>
    <s v="TRABAJADOR SUBRE CORTE SUPERFICAL AL ESTAR MOVIENDO UN PALETT"/>
    <s v="ACCION"/>
    <s v="SI"/>
    <s v="NO"/>
    <s v="NICOLAS GOMEZ "/>
    <s v="CRISTIAN JHON"/>
  </r>
  <r>
    <n v="2022"/>
    <x v="6"/>
    <s v="EL PAICO"/>
    <s v="BARRIA ANTILEF"/>
    <s v="ERWIN IVAN"/>
    <s v="MASCULINO"/>
    <s v="10818928-2"/>
    <d v="1994-10-06T00:00:00"/>
    <n v="333"/>
    <d v="2022-07-20T00:00:00"/>
    <s v="ANTIGUO"/>
    <m/>
    <m/>
    <m/>
    <n v="0"/>
    <s v="STP"/>
    <s v="LGF"/>
    <s v="LGF 5"/>
    <s v="FAENACION"/>
    <s v="COLGADO DE POLLO"/>
    <s v="OPERARIO"/>
    <s v="FAENA"/>
    <s v="N/A"/>
    <s v="TARDE"/>
    <d v="1899-12-30T14:00:00"/>
    <s v="MIERCOLES"/>
    <s v="SEMANA 29"/>
    <m/>
    <s v="NC-80-22"/>
    <s v="NICOLAS MOYANO"/>
    <s v="CESAR CARTAGENA"/>
    <n v="54"/>
    <s v="Producto quimico"/>
    <s v="Otro"/>
    <s v="Otros"/>
    <s v="Exposicion a humo y gases"/>
    <s v="TRABAJADOR REFIERE DISNEA Y DOLOR PRECORDIAL AL COLGAR POLLOS, DEBIDO AL OLOR QUE PRODUCE EL ÁCIDO PERACÉTICO QUE USAN EN LOS PRODUCTOS"/>
    <s v="CONDICION"/>
    <s v="SI"/>
    <s v="SI"/>
    <s v="NICOLAS GOMEZ "/>
    <s v="MICHEL SANCHEZ"/>
  </r>
  <r>
    <n v="2022"/>
    <x v="6"/>
    <s v="EL PAICO"/>
    <s v="RAUDENLIN"/>
    <s v="JOSEPH"/>
    <s v="MASCULINO"/>
    <s v="26927919-2"/>
    <d v="2022-03-04T00:00:00"/>
    <n v="4"/>
    <d v="2022-07-20T00:00:00"/>
    <s v="NUEVO"/>
    <m/>
    <m/>
    <m/>
    <n v="0"/>
    <s v="STP"/>
    <m/>
    <m/>
    <s v="TROZADO DE POLLO"/>
    <s v="T. AUTOMATICO "/>
    <s v="OPERARIO"/>
    <s v="AUTOMATICO"/>
    <s v="N/A"/>
    <s v="TARDE"/>
    <d v="1899-12-30T17:00:00"/>
    <s v="MIERCOLES"/>
    <s v="SEMANA 29"/>
    <m/>
    <m/>
    <s v="DANIEL GARRIDO"/>
    <s v="RAMIRO RAMIREZ"/>
    <n v="36"/>
    <s v="Infraestructura"/>
    <s v="Brazo"/>
    <s v="Contusión"/>
    <s v="Golpeado por"/>
    <s v="TRABAJADOR SUFRE UNA CONTUSIÓN EN EL BRAZO IZQUIERDO CUANDO SE CAE LA PARTE SUPERIOR DEL GANCHO DE LA LÍNEA DE TROZADO AUTOMÁTICO "/>
    <s v="CONDICION"/>
    <s v="SI"/>
    <s v="NO"/>
    <s v="NICOLAS GOMEZ "/>
    <s v="MICHEL SANCHEZ"/>
  </r>
  <r>
    <n v="2022"/>
    <x v="6"/>
    <s v="EL PAICO"/>
    <s v="CARVAJAL"/>
    <s v="WILSO"/>
    <s v="MASCULINO"/>
    <s v="18477754-4"/>
    <d v="2022-01-10T00:00:00"/>
    <n v="6"/>
    <d v="2022-07-26T00:00:00"/>
    <s v="NUEVO"/>
    <m/>
    <m/>
    <m/>
    <n v="0"/>
    <s v="STP"/>
    <m/>
    <m/>
    <s v="FRIGORIFICO"/>
    <s v="CAMARA"/>
    <s v="OPERARIO"/>
    <s v="CAMARA FRIGORIFICO"/>
    <s v="N/A"/>
    <s v="MAÑANA"/>
    <d v="1899-12-30T14:15:00"/>
    <s v="MARTES"/>
    <s v="SEMANA 30"/>
    <m/>
    <m/>
    <m/>
    <m/>
    <n v="29"/>
    <s v="Otros"/>
    <s v="Ojos"/>
    <s v="Otros"/>
    <s v="Proyeccion de particulas"/>
    <s v="TRABAJADOR MIENTRAS COLOCABA FILM MIRA HACIA ARRIBA Y SIENTE QUE CAE ALGO DENTRO DE SU OJO"/>
    <s v="ACCION"/>
    <s v="SI"/>
    <s v="NO"/>
    <s v="NICOLAS GOMEZ "/>
    <s v="GABRIELA CABEZAS"/>
  </r>
  <r>
    <n v="2022"/>
    <x v="6"/>
    <s v="EL PAICO"/>
    <s v="Mancilla Vasquez"/>
    <s v="Carolina"/>
    <s v="FEMENINO"/>
    <s v="14046319-1"/>
    <d v="2020-01-27T00:00:00"/>
    <n v="30"/>
    <d v="2022-07-27T00:00:00"/>
    <s v="INTERMEDIO"/>
    <m/>
    <m/>
    <m/>
    <n v="0"/>
    <s v="STP"/>
    <m/>
    <m/>
    <s v="P. POSTERIORES"/>
    <s v="EMPACADOR C"/>
    <s v="OPERARIO"/>
    <s v="ISHIDA"/>
    <s v="N/A"/>
    <s v="TARDE"/>
    <d v="1899-12-30T20:00:00"/>
    <s v="MIERCOLES"/>
    <s v="SEMANA 30"/>
    <m/>
    <m/>
    <s v="OCTAVIO MUÑOZ"/>
    <s v="EDGAR HERNANDEZ "/>
    <n v="43"/>
    <s v="Otros"/>
    <s v="Brazo"/>
    <s v="Otros"/>
    <s v="Otros"/>
    <s v="TRABAJADORA PRESENTA DOLENCIA EN HOMBRO DERECHO POR MOVIMIENTO REPETITIVO "/>
    <s v="ACCION"/>
    <s v="SI"/>
    <s v="NO"/>
    <s v="NICOLAS GOMEZ "/>
    <s v="WLADIMIR CALDERON"/>
  </r>
  <r>
    <n v="2022"/>
    <x v="6"/>
    <s v="EL PAICO"/>
    <s v="EPUL"/>
    <s v="GERMAN"/>
    <s v="MASCULINO"/>
    <s v="11665422-9"/>
    <d v="2019-01-21T00:00:00"/>
    <n v="42"/>
    <d v="2022-07-27T00:00:00"/>
    <s v="ANTIGUO"/>
    <m/>
    <m/>
    <m/>
    <n v="0"/>
    <s v="STP"/>
    <m/>
    <m/>
    <s v="IQF Y CALIBRADO"/>
    <s v="IQF"/>
    <s v="OPERARIO"/>
    <s v="SALIDA IQF 4"/>
    <s v="EQUIPO PARA MOVIMIENTO DE CARGA (GRUAS O TRANSPALETAS)"/>
    <s v="MAÑANA"/>
    <d v="1899-12-30T10:50:00"/>
    <s v="MIERCOLES"/>
    <s v="SEMANA 30"/>
    <m/>
    <m/>
    <s v="GUILLERMO NARVAEZ"/>
    <s v="FRANCISCO SANCHEZ"/>
    <n v="52"/>
    <s v="Infraestructura"/>
    <s v="Brazo"/>
    <s v="Contusión"/>
    <s v="Caida de mismo nivel"/>
    <s v="TRABAJADOR VENIA MOVILIZANDO TRASPALETA Y AL SALIR  DE IQF 4 SE GOLPEA LA RUEDA CON TUBO DE SEGURIDAD QUE ESTABA SALIDO DE SU POSICION , CAYENDO DE LADO GOLPEANDO SU CODO IZQUIERDO."/>
    <s v="CONDICION"/>
    <s v="SI"/>
    <s v="NO"/>
    <s v="NICOLAS GOMEZ "/>
    <s v="WLADIMIR CALDERON"/>
  </r>
  <r>
    <n v="2022"/>
    <x v="6"/>
    <s v="EL PAICO"/>
    <s v="SAAVEDRA "/>
    <s v="FRANCISCO"/>
    <s v="MASCULINO"/>
    <s v="16576716-0"/>
    <d v="2018-05-14T00:00:00"/>
    <n v="50"/>
    <d v="2022-07-28T00:00:00"/>
    <s v="ANTIGUO"/>
    <m/>
    <m/>
    <m/>
    <n v="0"/>
    <s v="STP"/>
    <m/>
    <m/>
    <s v="TROZADO DE POLLO"/>
    <s v="T. AUTOMATICO"/>
    <s v="OPERARIO"/>
    <s v="AUTOMATICO"/>
    <s v="N/A"/>
    <s v="TARDE"/>
    <d v="1899-12-30T23:35:00"/>
    <s v="JUEVES"/>
    <s v="SEMANA 30"/>
    <m/>
    <m/>
    <s v="DANIEL GARRIDO"/>
    <s v="ARNALDO VERA"/>
    <n v="35"/>
    <s v="Otros"/>
    <s v="Pie"/>
    <s v="Otros"/>
    <s v="Golpeado por"/>
    <s v="DEJANDO BINS EN UNA PESA, SE ACERCA A ROMANERO A RECIBIR TICKET Y AL MOMENTO DE GIRAR SE GOLPEA EN LA PARTE POSTERIOR DEL PIE DERECHO"/>
    <s v="ACCION"/>
    <s v="SI"/>
    <s v="NO"/>
    <s v="NICOLAS GOMEZ "/>
    <s v="MICHEL SANCHEZ"/>
  </r>
  <r>
    <n v="2022"/>
    <x v="6"/>
    <s v="EL PAICO"/>
    <s v="JARA"/>
    <s v="LUIS"/>
    <s v="MASCULINO"/>
    <s v="10173545-1"/>
    <d v="2003-02-01T00:00:00"/>
    <n v="233"/>
    <d v="2022-07-29T00:00:00"/>
    <s v="ANTIGUO"/>
    <m/>
    <m/>
    <m/>
    <n v="0"/>
    <s v="STP"/>
    <m/>
    <m/>
    <s v="TROZADO DE POLLO"/>
    <s v="DESHUESADO"/>
    <s v="OPERARIO"/>
    <s v="DESHUEZADO"/>
    <s v="N/A"/>
    <s v="TARDE"/>
    <d v="1899-12-30T16:00:00"/>
    <s v="VIERNES"/>
    <s v="SEMANA 30"/>
    <m/>
    <m/>
    <s v="DANIEL GARRIDO"/>
    <s v="JORGE MEZA"/>
    <n v="56"/>
    <s v="Otros"/>
    <s v="Brazo"/>
    <s v="Otros"/>
    <s v="Otros"/>
    <s v="TRABAJADOR PRESENTA DOLENCIA EN SU HOMBRO, INDICANDO QUE SE DEBE A SU PUESTO DE TRABAJO ACTUAL QUE ES PROLIJADO DE PECHUGA."/>
    <s v="ACCION"/>
    <s v="SI"/>
    <s v="NO"/>
    <s v="NICOLAS GOMEZ "/>
    <s v="WLADIMIR CALDERON"/>
  </r>
  <r>
    <n v="2022"/>
    <x v="7"/>
    <s v="EL PAICO"/>
    <s v="VERA"/>
    <s v="ARNALDO"/>
    <s v="MASCULINO"/>
    <s v="14046525-9"/>
    <d v="2003-02-11T00:00:00"/>
    <n v="233"/>
    <d v="2022-07-31T00:00:00"/>
    <s v="ANTIGUO"/>
    <m/>
    <m/>
    <m/>
    <n v="0"/>
    <s v="STP"/>
    <m/>
    <m/>
    <s v="TROZADO DE POLLO"/>
    <s v="T. AUTOMATICO"/>
    <s v="OPERARIO"/>
    <s v="AUTOMATICO"/>
    <s v="BUJE AGRIPADO"/>
    <s v="MAÑANA"/>
    <d v="1899-12-30T10:45:00"/>
    <s v="DOMINGO"/>
    <s v="SEMANO 30"/>
    <m/>
    <s v="NC-82-22"/>
    <s v="DANIEL GARRIDO"/>
    <s v="ARNALDO VERA"/>
    <n v="41"/>
    <s v="Maquinarias"/>
    <s v="Rostro"/>
    <s v="Herida cortante"/>
    <s v="Golpeado por"/>
    <s v="TRABAJADOR SE ENCONTRABA CAMBIADO BUJES DE MOTOR EN SALA DE TROZADO AUTOMATICO, EL TRABAJADOR AFECTADO JUNTO A UN COMPAÑERO COMIENZAN A GOLPEAR LOS BUJES YA QUE SE ENCONTRABAN AGRIPADOS POR ENDE MUY APRETADOS, MIENTRAS REALIZABAN ESA MANIOBRA UNA LLAVE QUE SE ENCONTRABA SUJEANDO LOS BUJES MIENTRAS LOS GOLPEABAN SE SOLTO GOLPEANDO SU CEJA DERECHA PRODUCIENDO UNA HERIDA CORTANTE. "/>
    <s v="ACCION"/>
    <s v="NO"/>
    <s v="SI"/>
    <s v="NICOLAS GOMEZ "/>
    <s v="MICHEL SANCHEZ"/>
  </r>
  <r>
    <n v="2022"/>
    <x v="7"/>
    <s v="EL PAICO"/>
    <s v=" BLANC"/>
    <s v="MIKERSON"/>
    <s v="MASCULINO"/>
    <s v=" 26233294-2"/>
    <d v="2022-01-24T00:00:00"/>
    <n v="6"/>
    <d v="2022-08-02T00:00:00"/>
    <s v="NUEVO"/>
    <m/>
    <m/>
    <m/>
    <n v="0"/>
    <s v="STP"/>
    <m/>
    <m/>
    <s v="TROZADO DE POLLO"/>
    <s v="T. AUTOMATICO"/>
    <s v="OPERARIO"/>
    <s v="AUTOMATICO"/>
    <s v="N/A"/>
    <s v="NOCHE"/>
    <d v="1899-12-30T22:04:00"/>
    <s v="MARTES"/>
    <s v="SEMANA 31"/>
    <m/>
    <m/>
    <s v="DANIEL GARRIDO"/>
    <s v="RAMIRO RAMIREZ"/>
    <n v="28"/>
    <s v="Otros"/>
    <s v="Manos / dedos"/>
    <s v="Herida cortante"/>
    <s v="Contacto con cuerpo cortante"/>
    <s v=" TRABAJADOR AL ESTAR ACOMODANDO PRODUCTO EN EL BINS SUFRE UNA HERIDA CORTANTE EN SU DEDO PULGAR IZQUIERDO CON UNA TAPA METÁLICA "/>
    <s v="ACCION"/>
    <s v="SI"/>
    <s v="NO"/>
    <s v="NICOLAS GOMEZ "/>
    <s v="WLADIMIR CALDERON"/>
  </r>
  <r>
    <n v="2022"/>
    <x v="7"/>
    <s v="EL PAICO"/>
    <s v="JARA PINTO "/>
    <s v="JUAN ANGEL "/>
    <s v="MASCULINO"/>
    <s v=" 8574412-7"/>
    <d v="2005-07-20T00:00:00"/>
    <n v="204"/>
    <d v="2022-08-05T00:00:00"/>
    <s v="ANTIGUO"/>
    <m/>
    <m/>
    <m/>
    <n v="8"/>
    <s v="CTP"/>
    <m/>
    <m/>
    <s v="TROZADO DE POLLO"/>
    <s v="DESHUESADO"/>
    <s v="OPERARIO"/>
    <s v="DESHUEZADO"/>
    <s v="HQ"/>
    <m/>
    <m/>
    <s v="VIERNES"/>
    <s v="SEMANA 31"/>
    <m/>
    <s v="NC-83-22"/>
    <s v="DANIEL GARRIDO"/>
    <s v="JORGE MEZA"/>
    <n v="62"/>
    <s v="Infraestructura"/>
    <s v="Manos / dedos"/>
    <s v="Herida cortante"/>
    <s v="Contacto con cuerpo cortante"/>
    <s v=" TRABAJADOR AL ESTAR RECOGIENDO PRODUCTO, PIERDE EL EQUILIBRIO Y SE AFIRMA DE BANDEJA METÁLICA, QUE ESTABA ROTA Y SE PRODUCE UN CORTE PROFUNDO EN SU MANO"/>
    <s v="CONDICION"/>
    <s v="SI"/>
    <s v="SI"/>
    <s v="NICOLAS GOMEZ "/>
    <s v="MICHEL SANCHEZ"/>
  </r>
  <r>
    <n v="2022"/>
    <x v="7"/>
    <s v="EL PAICO"/>
    <s v="MIRANDA MEDINA"/>
    <s v="ANDRES"/>
    <s v="MASCULINO"/>
    <s v="9125540-5"/>
    <d v="2022-05-23T00:00:00"/>
    <n v="3"/>
    <d v="2022-08-26T00:00:00"/>
    <s v="NUEVO"/>
    <d v="2022-08-29T00:00:00"/>
    <m/>
    <m/>
    <n v="47"/>
    <s v="CTP"/>
    <m/>
    <m/>
    <s v="IQF Y CALIBRADO"/>
    <s v="CALIBRADO"/>
    <s v="OPERARIO"/>
    <s v="CALIBRADO"/>
    <s v="N/A"/>
    <s v="TARDE"/>
    <d v="1899-12-30T23:25:00"/>
    <s v="VIERNES"/>
    <s v="SEMANA 34"/>
    <m/>
    <s v="NC-91-22"/>
    <s v="GUILLERMO NARVAEZ"/>
    <s v="MAXIMO CAMPOS"/>
    <n v="44"/>
    <s v="Otros"/>
    <s v="Pierna"/>
    <s v="Fractura"/>
    <s v="Caida de mismo nivel"/>
    <s v="TRABAJADOR SE ENCONTRABA TRASLADANDO PRODUCTO Y TROPIEZA CON BOLSA QUE SE RESBALA CON BOLSA QUE SE ENCONTRABA EN EL SUELO."/>
    <s v="CONDICION"/>
    <s v="SI"/>
    <s v="SI"/>
    <s v="NICOLAS GOMEZ "/>
    <s v="WLADIMIR CALDERON"/>
  </r>
  <r>
    <n v="2022"/>
    <x v="7"/>
    <s v="EL PAICO"/>
    <s v="SEPULVEDA SOTO"/>
    <s v="NELLY"/>
    <s v="FEMENINO"/>
    <s v="9455533-7"/>
    <d v="2019-12-09T00:00:00"/>
    <n v="32"/>
    <d v="2022-08-26T00:00:00"/>
    <s v="INTERMEDIO"/>
    <d v="2022-08-26T00:00:00"/>
    <m/>
    <m/>
    <s v=" "/>
    <s v="CTP"/>
    <m/>
    <m/>
    <s v="SSGG"/>
    <s v="SSGG"/>
    <s v="OPERARIO"/>
    <s v="RECEPCION AVE VIVA, PAVO"/>
    <s v="N/A"/>
    <s v="MAÑANA"/>
    <d v="1899-12-30T09:55:00"/>
    <s v="VIERNES"/>
    <s v="SEMANA 34"/>
    <m/>
    <s v="NC-92-22"/>
    <s v="CARLOS JIMENEZ"/>
    <s v="DAVID ROMO"/>
    <n v="57"/>
    <s v="Otros"/>
    <s v="Brazo"/>
    <s v="Fractura"/>
    <s v="Caida de distinto nivel"/>
    <s v="TRABAJADORA ESTABA ESPERANDO A SU COMPAÑERA EN LA RECPECION DE AVE VIVA, PAVO, AL GIRAR POR EL ANDEN NO SE FIJA EN DESNIVEL PISANDO EN FALSO LO QUE PRODUJO LA CAIDA OLPENADO SU BRAZO DERECHO Y COSTADO DERECHO CON LATA GUIA"/>
    <s v="ACCION"/>
    <s v="NO"/>
    <s v="SI"/>
    <s v="NICOLAS GOMEZ "/>
    <s v="WLADIMIR CALDERON"/>
  </r>
  <r>
    <n v="2022"/>
    <x v="8"/>
    <s v="EL PAICO"/>
    <s v="SANTIS"/>
    <s v="GONZALO"/>
    <s v="MASCULINO"/>
    <s v="20137874-5"/>
    <d v="2022-03-03T00:00:00"/>
    <n v="5"/>
    <d v="2022-09-01T00:00:00"/>
    <s v="NUEVO"/>
    <d v="2022-09-01T00:00:00"/>
    <s v="01-092022"/>
    <m/>
    <n v="0"/>
    <s v="STP"/>
    <m/>
    <m/>
    <s v="FAENACION"/>
    <s v="COLGADO DE POLLO"/>
    <s v="OPERARIO"/>
    <s v="COLGADO DE POLLO"/>
    <s v="N/A"/>
    <s v="MAÑANA"/>
    <d v="1899-12-30T05:45:00"/>
    <s v="JUEVES"/>
    <s v="SEMANA 35"/>
    <m/>
    <s v="NC-111-22"/>
    <s v="NICOLAS MOYANO"/>
    <s v="ANTONIO RIVAS"/>
    <n v="22"/>
    <s v="Materiales"/>
    <s v="Manos / dedos"/>
    <s v="Otros"/>
    <s v="Otros"/>
    <s v="TRABAJADOR SE ENCONTRABA EN LINEA DE DESAPILADO DE JABAS Y REFIERE HABERSE EGANCHADO SU DEDO VIENDOSE AFECTADA SU UÑA EN DEDO INDICE DE MANO DERECHA"/>
    <s v="ACCION"/>
    <s v="SI"/>
    <s v="SI"/>
    <s v="NICOLAS GOMEZ "/>
    <s v="WLADIMIR CALDERON"/>
  </r>
  <r>
    <n v="2022"/>
    <x v="8"/>
    <s v="EL PAICO"/>
    <s v="TORO CANIULAO"/>
    <s v="JUAN"/>
    <s v="MASCULINO"/>
    <s v=" 20464275-3"/>
    <d v="2020-06-16T00:00:00"/>
    <n v="26"/>
    <d v="2022-09-07T00:00:00"/>
    <s v="INTERMEDIO"/>
    <d v="2022-09-07T00:00:00"/>
    <m/>
    <m/>
    <n v="67"/>
    <s v="CTP"/>
    <s v="LGF"/>
    <s v="LGF 2-LGF 7"/>
    <s v="IQF Y CALIBRADO"/>
    <s v="IQF"/>
    <s v="OPERARIO"/>
    <s v="INYECTORA IQF 4"/>
    <s v="LINEA IQF (CINTAS, CONGELADORES, INYECTORAS)"/>
    <s v="TARDE"/>
    <s v="18-40"/>
    <s v="MIERCOLES"/>
    <s v="SEMANA 36"/>
    <m/>
    <s v="NC-94-22"/>
    <s v="GUILLERMO NARVAEZ"/>
    <s v="FERNANDO FUENTEALBA"/>
    <n v="22"/>
    <s v="Maquinarias"/>
    <s v="Brazo"/>
    <s v="Atrición"/>
    <s v="Atrapamiento"/>
    <s v="TRABAJADOR SE ENCONTRABA OPERANO MAQUINA INYECTORA DE IQF 4, AL VER ACUMULACION DE PRODUCTO EL TRABAJADOR DECIDE ABRIR LAS PUERTAS DE LA INYECTORA PARA RETIRAR EL PRODUCTO SIN HABER DETENIDO LA MAQUINA, EN ESE MOMENTO EL TRABAJADOR SUFRE ATRICCION DE SU DEDO INDICE, AFECTANDO SU FALANJE DISTAL SUPERIOR DERECHA. "/>
    <s v="ACCION"/>
    <s v="SI"/>
    <s v="SI"/>
    <s v="NICOLAS GOMEZ "/>
    <s v="WLADIMIR CALDERON"/>
  </r>
  <r>
    <n v="2022"/>
    <x v="8"/>
    <s v="EL PAICO"/>
    <s v="ARAYA MOYANO"/>
    <s v="MARIA INES"/>
    <s v="FEMENINO"/>
    <s v="10999607-6"/>
    <d v="2014-11-10T00:00:00"/>
    <n v="93"/>
    <d v="2022-09-09T00:00:00"/>
    <s v="ANTIGUO"/>
    <d v="2022-09-12T00:00:00"/>
    <d v="2022-09-13T00:00:00"/>
    <m/>
    <n v="4"/>
    <s v="CTP"/>
    <s v="LGF"/>
    <s v="LGF 8"/>
    <s v="SSGG"/>
    <s v="ASEO PRE OPERACIONAL"/>
    <s v="OPERARIO"/>
    <s v="CHILLER DE AIRE"/>
    <s v="MANGUERA MEZCLADOR"/>
    <s v="NOCHE"/>
    <d v="1899-12-30T03:30:00"/>
    <s v="VIERNES"/>
    <s v="SEMANA 36"/>
    <m/>
    <s v="NC-99-22"/>
    <s v="CARLOS JIMENEZ"/>
    <s v="LUIS URBINA"/>
    <n v="56"/>
    <s v="Otros"/>
    <s v="Tronco"/>
    <s v="Contusión"/>
    <s v="Golpeado por"/>
    <s v="TRABAJADORA SE ENCONTRABA ENSEÑANDOLE A UN COMPAÑERO DE TRABAJO A REALIZAR EL ASEO PR OPERACIONAL EN SECTOR CHILLER DE AGUA, AL MOMENTO QUE SE CORTA EL AGUA DEL MEZCLADRO Y SE CORTA EL AGUA, SALIO VAPOR DE LA MANGUERA EXPLOTANDO O GOLPEANDO EL PECHO DE LA COLABORADORA."/>
    <s v="CONDICION"/>
    <s v="SI"/>
    <s v="SI"/>
    <s v="NICOLAS GOMEZ "/>
    <s v="GABRIELA CABEZAS"/>
  </r>
  <r>
    <n v="2022"/>
    <x v="8"/>
    <s v="EL PAICO"/>
    <s v="JOSEPH"/>
    <s v="NATALIE"/>
    <s v="FEMENINO"/>
    <s v="27024170-0"/>
    <d v="2021-12-21T00:00:00"/>
    <n v="8"/>
    <d v="2022-09-10T00:00:00"/>
    <s v="NUEVO"/>
    <s v="10-09-2022"/>
    <s v="11-09-2022"/>
    <m/>
    <s v=" "/>
    <s v="STP"/>
    <m/>
    <m/>
    <s v="IQF Y CALIBRADO"/>
    <s v="CALIBRADO"/>
    <s v="OPERARIO"/>
    <s v="CALIBRADO"/>
    <s v="N/A"/>
    <s v="MAÑANA"/>
    <d v="1899-12-30T09:30:00"/>
    <s v="SABADO"/>
    <s v="SEMANA 36"/>
    <m/>
    <m/>
    <s v="GUILLERMO NARVAEZ"/>
    <s v="MIGUEL HENRRIQUEZ"/>
    <n v="29"/>
    <s v="Materia Prima"/>
    <s v="Cabeza"/>
    <s v="Contusión"/>
    <s v="Golpeado por"/>
    <s v="TRABAJADORA SE ENCONTRABA EN EMBOLSADORA, AL PRESIONAR CON EL PIE PARA QUE LA BOLSA DE ABRA Y PUDIESE CAER PRODUCTO GONGELADO ESTE CAE GOLPEANDO ZONA FRONTAL IZQUIERDA DE LA CABEZA"/>
    <s v="ACCION"/>
    <s v="SI"/>
    <s v="NO"/>
    <s v="NICOLAS GOMEZ "/>
    <s v="MICHEL SANCHEZ"/>
  </r>
  <r>
    <n v="2022"/>
    <x v="8"/>
    <s v="EL PAICO"/>
    <s v="GONZALEZ VERGARA"/>
    <s v="VALESKA"/>
    <s v="FEMENINO"/>
    <s v="21168581-6"/>
    <d v="2022-06-14T00:00:00"/>
    <n v="2"/>
    <d v="2022-09-13T00:00:00"/>
    <s v="NUEVO"/>
    <d v="2022-09-13T00:00:00"/>
    <d v="2022-09-13T00:00:00"/>
    <m/>
    <s v=" "/>
    <s v="STP"/>
    <m/>
    <m/>
    <s v="IQF Y CALIBRADO"/>
    <s v="CALIBRADO"/>
    <s v="OPERARIO"/>
    <s v="CALIBRADO"/>
    <s v="N/A"/>
    <s v="TARDE"/>
    <d v="1899-12-30T23:46:00"/>
    <s v="MARTES"/>
    <s v="SEMANA 37"/>
    <m/>
    <m/>
    <s v="GUILLERMO NARVAEZ"/>
    <s v="MIGUEL HENRRIQUEZ"/>
    <n v="19"/>
    <s v="Materia Prima"/>
    <s v="Tronco"/>
    <s v="Contusión"/>
    <s v="Golpeado por"/>
    <s v="TRABAJADORA SE ENCONTRABA EN EMBOLSADORA, AL PRESIONAR CON EL PIE PARA QUE LA MAQUINA SE DETUVIESE SE PROYECTA PRODUCTO CONGELADO GOLPENADO SU TORAX"/>
    <s v="ACCION"/>
    <s v="SI"/>
    <s v="NO"/>
    <s v="NICOLAS GOMEZ "/>
    <s v="CRISTIAN JHON"/>
  </r>
  <r>
    <n v="2022"/>
    <x v="8"/>
    <s v="EL PAICO"/>
    <s v="NAVARRETE CARDENAS"/>
    <s v="CATALINA DEL PILAR"/>
    <s v="FEMENINO"/>
    <s v="14621196-3"/>
    <d v="2020-01-06T00:00:00"/>
    <n v="32"/>
    <d v="2022-09-21T00:00:00"/>
    <s v="INTERMEDIO"/>
    <d v="2022-09-22T00:00:00"/>
    <d v="2022-09-22T00:00:00"/>
    <m/>
    <s v=" "/>
    <s v="STP"/>
    <m/>
    <m/>
    <s v="TROZADO DE POLLO"/>
    <s v="DESHUESADO"/>
    <s v="OPERARIO"/>
    <s v="DESHUEZADO"/>
    <s v="N/A"/>
    <s v="TARDE"/>
    <d v="1899-12-30T19:00:00"/>
    <s v="MIERCOLES"/>
    <s v="SEMANA 38"/>
    <m/>
    <s v="NC-100-22"/>
    <s v="DANIEL GARRIDO"/>
    <s v="JORGE MEZA"/>
    <n v="41"/>
    <s v="Materiales"/>
    <s v="Manos / dedos"/>
    <s v="Torsión"/>
    <s v="Atrapamiento"/>
    <s v="TRABAJADORA SE ENCONTRA DESEMPEÑANDOSE EN DESHUEZADO, AL MOMENTO DE IR A VACIAR LA BANDEJA CON PRODUCTO SE ENREDO SU DEDO ANULAR PRODUCTO DEL GUANTE Y LA BANDEJA LO QUE PRODUJO UNA TOSION EN LA PARTE MENCIONADA"/>
    <s v="ACCION"/>
    <s v="SI"/>
    <s v="SI"/>
    <s v="NICOLAS GOMEZ "/>
    <s v="MICHEL SANCHEZ"/>
  </r>
  <r>
    <n v="2022"/>
    <x v="8"/>
    <s v="EL PAICO"/>
    <s v="FEBRES PEREZ"/>
    <s v="EUGENIO ANDRES"/>
    <s v="MASCULINO"/>
    <s v="15097360-0"/>
    <d v="2006-08-01T00:00:00"/>
    <n v="193"/>
    <d v="2022-09-21T00:00:00"/>
    <s v="ANTIGUO"/>
    <s v="21-09-2022"/>
    <s v="21-09-2022"/>
    <m/>
    <s v=" "/>
    <s v="STP"/>
    <s v="LGF"/>
    <s v="LGF 4 "/>
    <s v="IQF Y CALIBRADO"/>
    <s v="IQF"/>
    <s v="OPERARIO"/>
    <s v="IQF"/>
    <s v="EQUIPO PARA MOVIMIENTO DE CARGA (GRUAS O TRANSPALETAS)"/>
    <s v="MAÑANA"/>
    <d v="1899-12-30T14:05:00"/>
    <s v="MIERCOLES"/>
    <s v="SEMANA 38"/>
    <m/>
    <m/>
    <s v="GUILLERMO NARVAEZ"/>
    <s v="FRANCISCO SANCHEZ"/>
    <n v="42"/>
    <s v="Maquinarias"/>
    <s v="Pie"/>
    <s v="Contusión"/>
    <s v="Golpeado por"/>
    <s v="TRABAJADOR SE ENCONTRABA CARGADO PRODUCTO AL MONTACARGA AL PERCATARSE QUE VENIA UNA EQUIPO PARA MOVIMIENTO DE CARGA (GRUAS O TRANSPALETAS) SE HACE A UN LADO, EL OPERARIO DE ESTA TRASPALETA PIERDE EL CONTROL Y GOPEA LA TRASPALETA QUE SE ENCONTRABA A UN COSTADO DEL TRABAJADOR, ESTA TERMINA GOLPEANDO SU PIERNA DERECHA"/>
    <s v="ACCION"/>
    <s v="SI"/>
    <s v="NO"/>
    <s v="NICOLAS GOMEZ "/>
    <s v="CRISTIAN JHON"/>
  </r>
  <r>
    <n v="2022"/>
    <x v="8"/>
    <s v="EL PAICO"/>
    <s v="AHUMADA MARTINEZ"/>
    <s v="FERNANDO"/>
    <s v="MASCULINO"/>
    <s v="62127724-4"/>
    <d v="2014-04-28T00:00:00"/>
    <n v="100"/>
    <d v="2022-09-21T00:00:00"/>
    <s v="ANTIGUO"/>
    <s v="21-09-2022"/>
    <s v="21-09-2022"/>
    <m/>
    <s v=" "/>
    <s v="STP"/>
    <m/>
    <m/>
    <s v="SSGG"/>
    <s v="ASEO OPERACIONAL"/>
    <s v="OPERARIO"/>
    <s v="PASILLO SAG"/>
    <s v="N/A"/>
    <s v="TARDE"/>
    <d v="1899-12-30T17:05:00"/>
    <s v="MIERCOLES"/>
    <s v="SEMANA 38"/>
    <m/>
    <m/>
    <s v="CARLOS JIMENEZ"/>
    <s v="SERGIO AQUEVEQUE"/>
    <n v="69"/>
    <s v="Otros"/>
    <s v="Espalda"/>
    <s v="Otros"/>
    <s v="Caida de mismo nivel"/>
    <s v="TRABAJADOR SE ENCONTRABA TRANSITANDO POR PASILLO SAG CUANDO SE LE CAEN LOS AUDIFONOS Y AL QUERER RECOGERLOS LOS PISA CAYENDO DE ESPALDA GOLPEANDOSE LA ESPALDA ."/>
    <s v="ACCION"/>
    <s v="NO"/>
    <s v="NO"/>
    <s v="NICOLAS GOMEZ "/>
    <s v="CRISTIAN JHON"/>
  </r>
  <r>
    <n v="2022"/>
    <x v="9"/>
    <s v="EL PAICO"/>
    <s v="RICHARD CHARLES"/>
    <s v="JOHN"/>
    <s v="MASCULINO"/>
    <s v="26235243-9"/>
    <d v="2018-08-20T00:00:00"/>
    <n v="49"/>
    <d v="2022-10-04T00:00:00"/>
    <s v="ANTIGUO"/>
    <d v="2022-10-04T00:00:00"/>
    <d v="2022-10-05T00:00:00"/>
    <m/>
    <s v=" "/>
    <s v="CTP"/>
    <s v="LGF"/>
    <s v="LGF 7"/>
    <s v="FAENACION"/>
    <s v="EVISCERADO POLLOS"/>
    <s v="OPERARIO"/>
    <s v="EVISCERADO"/>
    <s v="VENTILADOR"/>
    <s v="TARDE"/>
    <d v="1899-12-30T15:50:00"/>
    <s v="MARTES"/>
    <s v="SEMANA 40"/>
    <m/>
    <s v="NC-104-22"/>
    <s v="NICOLAS MOYANO"/>
    <s v="ERWIN GATICA"/>
    <n v="27"/>
    <s v="Maquinarias"/>
    <s v="Manos / dedos"/>
    <s v="Herida cortante"/>
    <s v="Contacto con cuerpo cortante"/>
    <s v="TRABAJADOR SE ENCONTRABA ACOMODANDO UNA BOLSA QUE HABIA SIDO INSTALADA EN UN VENTILADOR FUNCIONANDO, ESTO SE HACIA YA QUE LOS VENTILADORES DE LA SALA NO CONTABAN CON INSTERRUPTORES INDEPENDIENTES AL MOMENTO DE ACOMODAR LA BOLSA  EL TRABAJAOR INTRODUCE SUS DEDOS POR UN ESPACIO ENTRE LA REJILLA, EN ESE MOMENTO LAS ASPAS ATRAPAN SU MANO Y CORTAN SU DEDO MEDIO Y ANULAR"/>
    <s v="ACCION"/>
    <s v="NO"/>
    <s v="SI"/>
    <s v="NICOLAS GOMEZ "/>
    <s v="MICHEL SANCHEZ"/>
  </r>
  <r>
    <n v="2022"/>
    <x v="9"/>
    <s v="EL PAICO"/>
    <s v="ORTEGA ESPINOZA"/>
    <s v="DANIELA CAROLINA"/>
    <s v="FEMENINO"/>
    <s v="19411324-2"/>
    <d v="2020-02-03T00:00:00"/>
    <n v="32"/>
    <d v="2022-10-06T00:00:00"/>
    <s v="INTERMEDIO"/>
    <s v="12-10-2022"/>
    <s v="13-10-2022"/>
    <m/>
    <m/>
    <s v="STP"/>
    <m/>
    <m/>
    <s v="FAENACION"/>
    <s v="DESHUESE PECHUGA POLLOS A"/>
    <s v="OPERARIO"/>
    <s v="DESHUESADO"/>
    <s v="N/A"/>
    <s v="TARDE"/>
    <d v="1899-12-30T22:00:00"/>
    <s v="MARTES"/>
    <s v="SEMANA 41"/>
    <m/>
    <m/>
    <s v="NICOLAS MOYANO"/>
    <s v="JORGE MEZA"/>
    <n v="32"/>
    <s v="Otros"/>
    <s v="Pierna"/>
    <s v="Contusión"/>
    <s v="Golpeado por"/>
    <s v="CONSULTA POR MOLESTIA EN REGION LATERAL DE PIERNA DERECHA PRODUCTO DE CONTUSION DEL DIA 06/10"/>
    <s v="CONDICION"/>
    <s v="SI"/>
    <s v="NO"/>
    <s v="NICOLAS GOMEZ "/>
    <m/>
  </r>
  <r>
    <n v="2022"/>
    <x v="9"/>
    <s v="EL PAICO"/>
    <s v="SAGREDO FROST"/>
    <s v="CARLOS"/>
    <s v="MASCULINO"/>
    <s v="18598241-6"/>
    <d v="2013-05-02T00:00:00"/>
    <n v="113"/>
    <d v="2022-10-07T00:00:00"/>
    <s v="ANTIGUO"/>
    <d v="2022-10-07T00:00:00"/>
    <d v="2022-10-07T00:00:00"/>
    <m/>
    <s v=" "/>
    <s v="STP"/>
    <m/>
    <m/>
    <s v="FRIGORIFICO"/>
    <s v="CAMARA"/>
    <s v="OPERARIO"/>
    <s v="ESTACIONAMIENTO"/>
    <s v="N/A"/>
    <s v="MAÑANA"/>
    <d v="1899-12-30T05:24:00"/>
    <s v="VIERNES"/>
    <s v="SEMANA 40"/>
    <m/>
    <s v="NC-112-22"/>
    <s v="FRANCISCO QUEZADA"/>
    <s v="JUAN VILLAVICENCIO"/>
    <n v="29"/>
    <s v="Otros"/>
    <s v="Pie"/>
    <s v="Torsión"/>
    <s v="Caida de distinto nivel"/>
    <s v="TRABAJADOR ESTABA BAJANDO DE TRANSPORTE DE LA PLANTA, AL PISAR, ESTE PISA MAL Y SE TUERCE EL PIE DERECHO A NIVEL DEL TOBILLO"/>
    <s v="ACCION"/>
    <s v="NO"/>
    <s v="SI"/>
    <s v="NICOLAS GOMEZ "/>
    <s v="GABRIELA CABEZAS"/>
  </r>
  <r>
    <n v="2022"/>
    <x v="9"/>
    <s v="EL PAICO"/>
    <s v="SANTIS RAMIREZ"/>
    <s v="JANIS"/>
    <s v="FEMENINO"/>
    <s v="19858836-9"/>
    <d v="2021-05-10T00:00:00"/>
    <n v="17"/>
    <d v="2022-10-14T00:00:00"/>
    <s v="NUEVO"/>
    <d v="2022-10-14T00:00:00"/>
    <s v="14-10-2022"/>
    <m/>
    <s v=" "/>
    <s v="CTP"/>
    <m/>
    <m/>
    <s v="TROZADO DE POLLO"/>
    <s v="DESHUESADO"/>
    <s v="OPERARIO"/>
    <s v="SALA DE PROCEDIEMIENTOS"/>
    <s v="N/A"/>
    <s v="TARDE"/>
    <d v="1899-12-30T18:45:00"/>
    <s v="VIERNES"/>
    <s v="SEMANA 41"/>
    <m/>
    <s v="N° 115-22"/>
    <s v="DANIEL GARRIDO"/>
    <s v="RAMIRO RAMIREZ"/>
    <n v="24"/>
    <s v="Otros"/>
    <s v="Ojos"/>
    <s v="Contusión"/>
    <s v="Golpeado por"/>
    <s v="TRABAJADOR AL MOMENTO DE RECOGER UN PRODUCTO DEL SUELO EN SALA DE PROCEDIMIENTOS (LINEA ISHIDA) CAE UN PRODUCTO DE LA LINEA EN LA CARA, ESPECIFICAMENTE EN EL OJO IZQUERDO, EL CUAL PRODUJO UNA IRRITACION E INCHAZON EN LA ZONA AFECTADA."/>
    <s v="CONDICION"/>
    <s v="SI"/>
    <s v="SI"/>
    <s v="ALAN CARRASCO"/>
    <s v="GABRIELA CABEZAS"/>
  </r>
  <r>
    <n v="2022"/>
    <x v="9"/>
    <s v="EL PAICO"/>
    <s v="BRAVO OSORIO"/>
    <s v="DAMARIS"/>
    <s v="FEMENINO"/>
    <s v=" 18834922-6"/>
    <d v="2022-08-08T00:00:00"/>
    <n v="2"/>
    <d v="2022-10-17T00:00:00"/>
    <s v="NUEVO"/>
    <s v="17-10-2022"/>
    <d v="2022-10-17T00:00:00"/>
    <m/>
    <n v="0"/>
    <s v="STP"/>
    <s v="LGF"/>
    <s v="LGF 2-LGF 7"/>
    <s v="IQF Y CALIBRADO"/>
    <s v="CALIBRADO"/>
    <s v="OPERARIO"/>
    <s v="LINEA ENZUNCHADORA MOSCA"/>
    <s v="LINEA ENZUNCHADORA MOSCA"/>
    <s v="TARDE"/>
    <d v="1899-12-30T18:15:00"/>
    <s v="LUNES"/>
    <s v="SEMANA 42"/>
    <m/>
    <m/>
    <s v="GUILLERMO NARVAEZ"/>
    <s v="MAXIMO CAMPOS"/>
    <n v="28"/>
    <s v="Maquinarias"/>
    <s v="Manos / dedos"/>
    <s v="Atrición"/>
    <s v="Atrapamiento"/>
    <s v="Trabajadora sufra atrición en línea de alimentación pacmac, su trabajo consta de traspasar manualmente las cajas desde la línea de alimentación hacia la línea de enzunchadora, en ese momento la trabajadora introduce dedo medio superior izquierdo de manera involuntaria en el espacio existente entre la línea y la estructura de la cinta produciéndole corte en parte del cuerpo mencionada. "/>
    <s v="ACCION"/>
    <s v="SI"/>
    <s v="NO"/>
    <s v="NICOLAS GOMEZ "/>
    <s v="WLADIMIR CALDERON"/>
  </r>
  <r>
    <n v="2022"/>
    <x v="9"/>
    <s v="EL PAICO"/>
    <s v="BENJAMIN CHARLOTIN"/>
    <s v="MANITHE"/>
    <s v="FEMENINO"/>
    <s v="26361757-6"/>
    <d v="2022-01-06T00:00:00"/>
    <n v="9"/>
    <d v="2022-10-17T00:00:00"/>
    <s v="NUEVO"/>
    <d v="2022-10-18T00:00:00"/>
    <m/>
    <m/>
    <n v="15"/>
    <s v="CTP"/>
    <s v="LGF"/>
    <m/>
    <s v="SSGG"/>
    <s v="T.AUTOMATICO"/>
    <s v="OPERARIO"/>
    <s v="T. AUTOMATICO"/>
    <s v="EQUIPO PARA MOVIMIENTO DE CARGA (GRUAS O TRANSPALETAS)"/>
    <s v="NOCHE"/>
    <d v="1899-12-30T22:45:00"/>
    <s v="LUNES"/>
    <s v="SEMANA 42"/>
    <m/>
    <s v="N° 121-22"/>
    <s v="CARLOS JIMENEZ"/>
    <s v="JORDAN FARIAS"/>
    <n v="46"/>
    <s v="Maquinarias"/>
    <s v="Espalda"/>
    <s v="Contusión"/>
    <s v="Golpeado por"/>
    <s v="AL ESTAR HACIENDO ASEO ES GOLPEADA CON UNA TRASPALETA CON BANDEJAS "/>
    <s v="CONDICION"/>
    <s v="SI"/>
    <s v="SI"/>
    <s v="NICOLAS GOMEZ "/>
    <s v="WLADIMIR CALDERON"/>
  </r>
  <r>
    <n v="2022"/>
    <x v="9"/>
    <s v="EL PAICO"/>
    <s v="CALDERON"/>
    <s v="JAIME"/>
    <s v="FEMENINO"/>
    <s v="13558440-1"/>
    <d v="2002-04-17T00:00:00"/>
    <n v="246"/>
    <d v="2022-10-18T00:00:00"/>
    <s v="ANTIGUO"/>
    <m/>
    <m/>
    <m/>
    <m/>
    <s v="STP"/>
    <m/>
    <m/>
    <s v="TROZADO DE POLLO"/>
    <s v="T. AUTOMATICO"/>
    <s v="OPERARIO"/>
    <s v="T.AUTOMATICO"/>
    <s v="GANCHOS DE COLGADO"/>
    <s v="TARDE"/>
    <d v="1899-12-30T21:30:00"/>
    <s v="MARTES"/>
    <s v="SEMANA 42"/>
    <m/>
    <m/>
    <s v="DANIEL GARRIDO"/>
    <s v="ARNALDO VERA"/>
    <n v="43"/>
    <s v="Materiales"/>
    <s v="Brazo"/>
    <s v="Contusión"/>
    <s v="Golpeado por"/>
    <s v="TRABAJADOR REFIERE GOLPE EN HOMBRE PRODUCTO DE LA CAIDA DE UN GANCHO AL SACAR UN BINS EN SALA DE TROZADO UTOMATICO."/>
    <s v="CONDICION"/>
    <s v="SI"/>
    <s v="NO"/>
    <s v="NICOLAS GOMEZ"/>
    <s v="GABRIELA CABEZAS"/>
  </r>
  <r>
    <n v="2022"/>
    <x v="9"/>
    <s v="EL PAICO "/>
    <s v="CHARLES"/>
    <s v="OLY"/>
    <s v="MASCULINO"/>
    <s v="25968215-0"/>
    <d v="2021-08-11T00:00:00"/>
    <n v="14"/>
    <d v="2022-10-18T00:00:00"/>
    <s v="NUEVO"/>
    <m/>
    <m/>
    <m/>
    <m/>
    <s v="STP"/>
    <m/>
    <m/>
    <s v="TROZADO DE POLLO"/>
    <s v="T. AUTOMATICO"/>
    <s v="OPERARIO"/>
    <s v="T.AUTOMATICO"/>
    <s v="N/A"/>
    <s v="TARDE"/>
    <d v="1899-12-30T17:00:00"/>
    <s v="MARTES"/>
    <s v="SEMANA 42"/>
    <m/>
    <m/>
    <s v="DANIEL GARRIDO"/>
    <s v="ARNALDO VERA"/>
    <n v="50"/>
    <s v="Materia Prima"/>
    <s v="Ojos"/>
    <s v="Otros"/>
    <s v="Proyeccion de particulas"/>
    <s v="EL TRABAJADOR SE ENCONTRABA MANIPULANDO PRODUCTO EN LA LINEA DE AUTOMATICO, PRODUCTO DEL COLGADO Y TROZADO EN LINEAS AREAS LE CAE LIQUIDO EN LOS OJOS"/>
    <s v="CONDICION"/>
    <s v="SI"/>
    <s v="NO"/>
    <s v="NICOLAS GOMEZ"/>
    <s v="GABRIELA CABEZAS"/>
  </r>
  <r>
    <n v="2022"/>
    <x v="9"/>
    <s v="EL PAICO"/>
    <s v="PEREZ AGUIRRE"/>
    <s v="CHRISTOPHER "/>
    <s v="MASCULINO"/>
    <s v="18079969-9"/>
    <d v="2020-11-09T00:00:00"/>
    <n v="23"/>
    <d v="2022-10-20T00:00:00"/>
    <s v="INTERMEDIO"/>
    <d v="2022-10-20T00:00:00"/>
    <d v="2023-02-19T00:00:00"/>
    <m/>
    <m/>
    <s v="CTP"/>
    <m/>
    <m/>
    <s v="TROZADO DE POLLO"/>
    <s v="T. AUTOMATICO"/>
    <s v="OPERARIO"/>
    <s v="MULTICANCHA"/>
    <s v="N/A"/>
    <s v="TARDE"/>
    <d v="1899-12-30T16:45:00"/>
    <s v="JUEVES"/>
    <s v="SEMANA 42"/>
    <m/>
    <s v="N° 122-22"/>
    <s v="DANIEL GARRIDO"/>
    <s v="RAMIRO RAMIREZ"/>
    <n v="30"/>
    <s v="Otros"/>
    <s v="Pierna"/>
    <s v="Contusión"/>
    <s v="Golpeado contra"/>
    <s v="TRABAJADOR PRESENTA CONTUSION EN REGION TIBIAL DERECHA POR PATADA EN PARTIDO DE FUTBOL ORGANIZADO POR LA EMPRESA"/>
    <s v="ACCION"/>
    <s v="NO"/>
    <s v="SI"/>
    <s v="NICOLAS GOMEZ"/>
    <s v="MICHEL SANCHEZ"/>
  </r>
  <r>
    <n v="2022"/>
    <x v="9"/>
    <s v="EL PAICO"/>
    <s v="GONZALEZ CABELLO"/>
    <s v="LETICIA"/>
    <s v="FEMENINO"/>
    <s v="17397627-5"/>
    <d v="2017-08-07T00:00:00"/>
    <n v="62"/>
    <d v="2022-10-20T00:00:00"/>
    <s v="ANTIGUO"/>
    <m/>
    <m/>
    <m/>
    <m/>
    <s v="STP"/>
    <m/>
    <m/>
    <s v="SSGG"/>
    <s v="ASEO PRE OPERACIONAL"/>
    <s v="OPERARIO"/>
    <s v="PULPA"/>
    <s v="N/A"/>
    <s v="NOCHE"/>
    <d v="1899-12-30T03:00:00"/>
    <s v="MIERCOLES"/>
    <s v="SEMANA 42"/>
    <m/>
    <m/>
    <s v="CARLOS JIMENEZ"/>
    <s v="LUIS URBINA"/>
    <n v="33"/>
    <s v="Materiales"/>
    <s v="Brazo"/>
    <s v="Contusión"/>
    <s v="Caida de mismo nivel"/>
    <s v="TRABAJADORA REFIERE CAIDA A NIVEL AL LLEVAR UNA MANGUERA LA PSA Y CAE SOBRE LAS BARRERAS DE CONTENSION GONPEANDOSE BRAZO Y MUÑECA DERECHA."/>
    <s v="CONDICION"/>
    <s v="SI"/>
    <s v="NO"/>
    <s v="NICOLAS GOMEZ"/>
    <s v="CRISTIAN JHON"/>
  </r>
  <r>
    <n v="2022"/>
    <x v="9"/>
    <s v="EL PAICO"/>
    <s v="ATABALES MORALES"/>
    <s v="MANUEL"/>
    <s v="MASCULINO"/>
    <s v="15405907-5"/>
    <d v="2022-07-12T00:00:00"/>
    <n v="3"/>
    <d v="2022-10-20T00:00:00"/>
    <s v="NUEVO"/>
    <m/>
    <m/>
    <m/>
    <m/>
    <s v="STP"/>
    <m/>
    <m/>
    <s v="TROZADO DE POLLO"/>
    <s v="DESHUESADO"/>
    <s v="OPERARIO"/>
    <s v="PASILLO CAMARA 208"/>
    <s v="N/A"/>
    <s v="TARDE "/>
    <d v="1899-12-30T20:30:00"/>
    <s v="JUEVES"/>
    <s v="SEMANA 42"/>
    <m/>
    <m/>
    <s v="DANIEL GARRIDO"/>
    <s v="JORGE MEZA"/>
    <n v="40"/>
    <s v="Infraestructura"/>
    <s v="Pie"/>
    <s v="Torsión"/>
    <s v="Otros"/>
    <s v="TRABAJADOR SUFRE TORSION DE TOBILLO DERECHO LUGO DE PISAR REJILLA QUE SE ENCONTRABA SUELTA FUERA DE CAMARA 208 AL MOVILIZAR UN BINS "/>
    <s v="CONDICION"/>
    <s v="SI"/>
    <s v="NO"/>
    <s v="NICOLAS GOMEZ"/>
    <s v="MICHEL SANCHEZ"/>
  </r>
  <r>
    <n v="2022"/>
    <x v="9"/>
    <s v="EL PAICO"/>
    <s v="ZUÑIGA"/>
    <s v="DAVID"/>
    <s v="MASCULINO"/>
    <s v="18920912-6"/>
    <d v="2022-09-12T00:00:00"/>
    <n v="1"/>
    <d v="2022-10-22T00:00:00"/>
    <s v="NUEVO"/>
    <d v="2022-10-24T00:00:00"/>
    <d v="2022-10-26T00:00:00"/>
    <m/>
    <n v="3"/>
    <s v="CTP"/>
    <m/>
    <m/>
    <s v="SSGG"/>
    <s v="LAVADO DE BANDEJAS"/>
    <s v="OPERARIO"/>
    <s v="ACOPIO DE BANDEJAS"/>
    <s v="N/A"/>
    <s v="TARDE"/>
    <d v="1899-12-30T16:30:00"/>
    <s v="SABADO"/>
    <s v="SEMANA 42"/>
    <m/>
    <s v="N° 123-22 "/>
    <s v="CARLOS JIMENEZ"/>
    <s v="SERGIO AQUEVEQUE"/>
    <n v="28"/>
    <s v="Materiales"/>
    <s v="Rostro"/>
    <s v="Herida cortante"/>
    <s v="Golpeado por"/>
    <s v="TRABAJADOR SUFRE HERIDA CORTANTE POR LA CAIDA DE UNA BANDEJA ROTA SOBRE SU CABEZA "/>
    <s v="ACCION"/>
    <s v="SI"/>
    <s v="SI"/>
    <s v="NICOLAS GOMEZ "/>
    <s v="GABRIELA CABEZAS"/>
  </r>
  <r>
    <n v="2022"/>
    <x v="9"/>
    <s v="EL PAICO"/>
    <s v="BRAVO CARBRERO"/>
    <s v="DANIEL "/>
    <s v="MASCULINO"/>
    <s v="7909217-7"/>
    <d v="2005-03-22T00:00:00"/>
    <n v="211"/>
    <d v="2022-10-27T00:00:00"/>
    <s v="ANTIGUO"/>
    <m/>
    <m/>
    <m/>
    <m/>
    <s v="STP"/>
    <m/>
    <m/>
    <s v="SSGG"/>
    <s v="FAENA"/>
    <s v="OPERARIO"/>
    <s v="EVICERADO"/>
    <s v="N/A"/>
    <s v="TARDE"/>
    <d v="1899-12-30T16:45:00"/>
    <s v="JUVES"/>
    <s v="SEMANA 43"/>
    <m/>
    <m/>
    <s v="CARLOS JIMENEZ"/>
    <s v="SERGIO AQUEVEQUE"/>
    <n v="65"/>
    <s v="Otros"/>
    <s v="Espalda"/>
    <s v="Contusión"/>
    <s v="Caida de mismo nivel"/>
    <s v="AL ESTAR HACIENDO ASEO EN EVICERADO, EL TRABAJADOR RESBALA, TENIENDO UNA CONTUSION EN LA ESPALDA"/>
    <s v="CONDICION "/>
    <s v="SI"/>
    <s v="NO"/>
    <s v="ALAN CARRASCO"/>
    <s v="CRISTINA JOHN "/>
  </r>
  <r>
    <n v="2022"/>
    <x v="9"/>
    <s v="EL PAICO"/>
    <s v="MANRRIQUEZ GARCIA"/>
    <s v="JOSEPH"/>
    <s v="MASCULINO"/>
    <s v="20663031-0"/>
    <d v="2019-12-16T00:00:00"/>
    <n v="34"/>
    <d v="2022-10-28T00:00:00"/>
    <s v="INTERMEDIO"/>
    <m/>
    <m/>
    <m/>
    <m/>
    <s v="STP"/>
    <s v="LGF"/>
    <m/>
    <s v="IQF Y CALIBRADO"/>
    <s v="CAMRA 208"/>
    <s v="OPERARIO"/>
    <s v="PASILLO CAMARA 208"/>
    <s v="EQUIPO PARA MOVIMIENTO DE CARGA (GRUAS O TRANSPALETAS)"/>
    <s v="MAÑANA"/>
    <d v="1899-12-30T05:15:00"/>
    <s v="VIERNES"/>
    <s v="SEMANA 43"/>
    <m/>
    <m/>
    <s v="DANIEL GARRIDO"/>
    <s v="FRANCISCO SANCHEZ"/>
    <n v="22"/>
    <s v="Vehículos"/>
    <s v="Multiples"/>
    <s v="Contusión"/>
    <s v="Golpeado contra"/>
    <s v="EN PASILLO HACIA CAMARA 208 SE PRODUCE CHOQUE CON EQUIPO PARA MOVIMIENTO DE CARGA (GRUAS O TRANSPALETAS) Y CON LA FUERZA DEL CHOQUE SE GOLPEA CON VARANDA DE LA MQUINA "/>
    <s v="ACCION"/>
    <s v="SI"/>
    <s v="NO"/>
    <s v="NICOLAS GOMEZ"/>
    <s v="Michelle Sanchez "/>
  </r>
  <r>
    <n v="2022"/>
    <x v="10"/>
    <s v="EL PAICO"/>
    <s v="CONTANZO CIFUENTES"/>
    <s v="GERARDO"/>
    <s v="MASCULINO"/>
    <s v="9955135-6"/>
    <d v="2022-03-16T00:00:00"/>
    <n v="7"/>
    <d v="2022-11-02T00:00:00"/>
    <s v="NUEVO"/>
    <m/>
    <m/>
    <m/>
    <m/>
    <s v="STP"/>
    <m/>
    <m/>
    <s v="IQF Y CALIBRADO"/>
    <s v="IQF"/>
    <s v="OPERARIO"/>
    <s v="IQF 1"/>
    <s v="N/A"/>
    <s v="MAÑANA"/>
    <d v="1899-12-30T11:40:00"/>
    <s v="MIERCOLES"/>
    <s v="SEMANA 44"/>
    <m/>
    <m/>
    <s v="GUILLERMO NARVAEZ"/>
    <s v="FRANCISCO SANCHEZ"/>
    <n v="57"/>
    <s v="Otros"/>
    <s v="Rostro"/>
    <s v="Herida cortante"/>
    <s v="Otros"/>
    <s v="TRABAJADOR SUFRE HERIDA CORTANTE EN FRENTE AL ACOMODARSE LOS FONOS"/>
    <s v="ACCION"/>
    <s v="SI"/>
    <s v="NO"/>
    <s v="NICOLAS GOMEZ"/>
    <s v="WLADIMIR CALDERON"/>
  </r>
  <r>
    <n v="2022"/>
    <x v="10"/>
    <s v="EL PAICO"/>
    <s v="VERA VERA"/>
    <s v="LUIS"/>
    <s v="MASCULINO"/>
    <s v="11231428-8"/>
    <d v="1993-11-23T00:00:00"/>
    <n v="347"/>
    <d v="2022-11-03T00:00:00"/>
    <s v="ANTIGUO"/>
    <d v="2022-11-04T00:00:00"/>
    <m/>
    <m/>
    <n v="9"/>
    <s v="CTP"/>
    <s v="LGF"/>
    <s v="LGF 4"/>
    <s v="IQF Y CALIBRADO"/>
    <s v="CALIBRADO"/>
    <s v="OPERARIO"/>
    <s v="PASILLO C"/>
    <s v="EQUIPO PARA MOVIMIENTO DE CARGA (GRUAS O TRANSPALETAS)"/>
    <s v="TARDE"/>
    <d v="1899-12-30T21:33:00"/>
    <s v="JUEVES"/>
    <s v="SEMANA 44"/>
    <m/>
    <s v="N° 124-22"/>
    <s v="GUILLERMO NARVAEZ"/>
    <s v="FERNANDO FUENTEALBA"/>
    <n v="54"/>
    <s v="Equipos Transporte de carga"/>
    <s v="Pie"/>
    <s v="Fractura"/>
    <s v="Golpeado por"/>
    <s v="TRABAJADOR SE ENCONTRABA DEJANDO FILM EN PASILLO C, POR UN COSTADO PASA UN MOVILIZADOR DE PP CON PALLET DE PRODUCTO FRESCO, A CAUSA DEL POCO ESPACIO EN EL PASILLO EL MOVILIZADOR GOLPEA TRANSPALTA MANUAL LA CUAL IMPACTA AL COLABORADOR EN EL TOBILLO. "/>
    <s v="ACCION"/>
    <s v="SI"/>
    <s v="SI"/>
    <s v="NICOLAS GOMEZ"/>
    <s v="GABRIELA CABEZAS"/>
  </r>
  <r>
    <n v="2022"/>
    <x v="10"/>
    <s v="EL PAICO"/>
    <s v=" CANTILLANA CARDENA"/>
    <s v="ACLICIO "/>
    <s v="MASCULINO"/>
    <s v=" 9868246-5"/>
    <d v="2019-06-24T00:00:00"/>
    <n v="40"/>
    <d v="2022-11-05T00:00:00"/>
    <s v="ANTIGUO"/>
    <m/>
    <m/>
    <m/>
    <s v=" "/>
    <s v="STP"/>
    <m/>
    <m/>
    <s v="P. POSTERIORES"/>
    <s v="P. POSTERIORES"/>
    <s v="OPERARIO"/>
    <s v="P. POSTERIORES"/>
    <s v="N/A"/>
    <s v="MAÑANA"/>
    <d v="1899-12-30T14:00:00"/>
    <s v="SABADO"/>
    <s v="SEMANA 44"/>
    <m/>
    <m/>
    <s v="OCTAVIO MUÑOZ"/>
    <s v="MARCO QUINTANILLA "/>
    <n v="59"/>
    <s v="Cajas"/>
    <s v="Pierna"/>
    <s v="Contusión"/>
    <s v="Golpeado por"/>
    <s v=" AL VACIAR BANDEJAS, UNA DE ESTAS SE RESBALA Y CAE SOBRE SU RODILLA IZQUERDA."/>
    <s v="ACCION"/>
    <s v="SI"/>
    <s v="NO"/>
    <s v="ALAN CARRASCO"/>
    <s v="Michelle Sanchez "/>
  </r>
  <r>
    <n v="2022"/>
    <x v="10"/>
    <s v="EL PAICO"/>
    <s v="REYES MORENO"/>
    <s v="RODRIGO "/>
    <s v="MASCULINO"/>
    <s v="14140258-7"/>
    <d v="2017-04-03T00:00:00"/>
    <n v="67"/>
    <d v="2022-11-05T00:00:00"/>
    <s v="ANTIGUO"/>
    <m/>
    <m/>
    <m/>
    <m/>
    <s v="STP"/>
    <m/>
    <m/>
    <s v="SSGG"/>
    <s v="TRAYECTO"/>
    <s v="OPERARIO"/>
    <s v="TRAYECTO"/>
    <s v="N/A"/>
    <s v="TARDE"/>
    <d v="1899-12-30T20:15:00"/>
    <s v="SABADO"/>
    <s v="SEMANA 45"/>
    <m/>
    <m/>
    <s v="CARLOS JIMENEZ"/>
    <s v="PATRICIO PALACIOS"/>
    <n v="41"/>
    <m/>
    <m/>
    <s v=" "/>
    <m/>
    <s v="TRABAJADOR AL TRASLADARSE DE SU DOMICILIO A LUGAR DE TRABAJO, SUFRE HERIDAS CORTANTES EN ZONA PLANTAR PIE IZQUIERDO, EN VIA PUBLICA, AVENIDA LOS LIBERTADORES CERCA DE LA RED."/>
    <s v="CONDICION"/>
    <s v="NO"/>
    <s v="NO"/>
    <s v="ALAN CARRASCO"/>
    <s v="Michelle Sanchez "/>
  </r>
  <r>
    <n v="2022"/>
    <x v="10"/>
    <s v="EL PAICO"/>
    <s v="GOMEZ VASQUEZ"/>
    <s v="SEBASTIAN "/>
    <s v="MASCULINO"/>
    <s v="20138626-8 "/>
    <d v="2022-08-08T00:00:00"/>
    <n v="2"/>
    <d v="2022-11-07T00:00:00"/>
    <s v="NUEVO"/>
    <d v="2022-11-08T00:00:00"/>
    <m/>
    <m/>
    <n v="0"/>
    <s v="STP"/>
    <m/>
    <m/>
    <s v="IQF Y CALIBRADO"/>
    <s v="CALIBRADO"/>
    <s v="OPERARIO"/>
    <s v="CALIBRADO"/>
    <s v="N/A"/>
    <s v="TARDE"/>
    <d v="1899-12-30T17:50:00"/>
    <s v="LUNES"/>
    <s v="SEMANA 45"/>
    <m/>
    <m/>
    <s v="GUILLERMO NARVAEZ"/>
    <s v="MIGUEL HENRRIQUEZ"/>
    <n v="24"/>
    <s v="Otros"/>
    <s v="Cabeza"/>
    <s v="Contusión"/>
    <s v="Caida de mismo nivel"/>
    <s v="TRABAJADOR TRANSPORTANTO TAPAS DE CAJA RESBALA PISANDO UN CARTON, SUFRIENDO UN GOLPE EN LA CABEZA Y ESPALDA  "/>
    <s v="CONDICION"/>
    <s v="SI"/>
    <s v="SI"/>
    <s v="ALAN CARRASCO"/>
    <s v="GABRIELA CABEZAS"/>
  </r>
  <r>
    <n v="2022"/>
    <x v="10"/>
    <s v="EL PAICO"/>
    <s v="QUEZADA GUERRERO"/>
    <s v="JUAN"/>
    <s v="MASCULINO"/>
    <s v="10653499-3"/>
    <d v="2019-07-22T00:00:00"/>
    <n v="39"/>
    <d v="2022-11-07T00:00:00"/>
    <s v="ANTIGUO"/>
    <d v="2022-11-07T00:00:00"/>
    <m/>
    <m/>
    <s v=" "/>
    <s v="STP"/>
    <m/>
    <m/>
    <s v="TROZADO DE POLLO"/>
    <s v="DESHUESADO"/>
    <s v="OPERARIO"/>
    <s v="PAÑOL"/>
    <s v="N/A"/>
    <s v="TARDE"/>
    <d v="1899-12-30T16:33:00"/>
    <s v="LUNES"/>
    <s v="SEMANA 45"/>
    <m/>
    <m/>
    <s v="DANIEL GARRIDO"/>
    <s v="JORGE MEZA"/>
    <n v="50"/>
    <s v="Herramientas de mano"/>
    <s v="Rostro"/>
    <s v="Herida cortante"/>
    <s v="Golpeado por"/>
    <s v="TRABAJADOR ESTABA RETIRANDO IMPLEMETOS EN PAÑOL, AL MONETO DE GIRAR RECIBE UN GOLPE POR BARRE AGUA POR ACCIDENTES, PRODUCIENDOLE UN CORTE EN EL POMULO IZQUERDO"/>
    <s v="ACCION"/>
    <s v="SI"/>
    <s v="NO"/>
    <s v="ALAN CARRASCO"/>
    <s v="GABRIELA CABEZAS"/>
  </r>
  <r>
    <n v="2022"/>
    <x v="10"/>
    <s v="EL PAICO"/>
    <s v="CATALAN ALCAINO"/>
    <s v="ANDREW"/>
    <s v="MASCULINO"/>
    <s v="21173568-6"/>
    <d v="2022-03-15T00:00:00"/>
    <n v="7"/>
    <d v="2022-11-08T00:00:00"/>
    <s v="NUEVO"/>
    <m/>
    <m/>
    <m/>
    <s v=" "/>
    <s v="STP"/>
    <m/>
    <m/>
    <s v="FRIGORIFICO"/>
    <s v="FRIGORIFICO "/>
    <s v="OPERARIO"/>
    <s v="FRIGORIFICO"/>
    <s v="N/A"/>
    <s v="TARDE"/>
    <d v="1899-12-30T17:05:00"/>
    <s v="MARTES"/>
    <s v="SEMANA 45"/>
    <m/>
    <m/>
    <s v="FRANCISCO QUEZADA"/>
    <s v="JUAN VILLAVICENCIO"/>
    <n v="19"/>
    <s v="Cajas"/>
    <s v="Manos / dedos"/>
    <s v="Otros"/>
    <s v="Sobreesfuerzo"/>
    <s v="TRABAJADOR AL LEVANTAR UN CAJA, SUFRE TIRON EN ANTEBRAZO IZQUEDO "/>
    <s v="ACCION"/>
    <s v="SI"/>
    <s v="NO"/>
    <s v="ALAN CARRASCO"/>
    <s v="CRISTIAN JHON"/>
  </r>
  <r>
    <n v="2022"/>
    <x v="10"/>
    <s v="EL PAICO"/>
    <s v="BARRAZA PERALTA"/>
    <s v="ISABEL MARGARITA"/>
    <s v="FEMENINO"/>
    <s v="9683999-5"/>
    <d v="2013-11-18T00:00:00"/>
    <n v="107"/>
    <d v="2022-11-08T00:00:00"/>
    <s v="ANTIGUO"/>
    <d v="2022-11-09T00:00:00"/>
    <d v="2022-11-10T00:00:00"/>
    <d v="2022-11-11T00:00:00"/>
    <n v="9"/>
    <s v="CTP"/>
    <s v="LGF"/>
    <s v="LGF 4 "/>
    <s v="SSGG"/>
    <s v="SSGG"/>
    <s v="OPERARIO"/>
    <s v="PASILLO IQF 4"/>
    <s v="EQUIPO PARA MOVIMIENTO DE CARGA (GRUAS O TRANSPALETAS)"/>
    <s v="TARDE"/>
    <d v="1899-12-30T16:50:00"/>
    <s v="MARTES"/>
    <s v="SEMANA 45"/>
    <m/>
    <s v="N° 129-22 "/>
    <s v="CARLOS JIMENEZ"/>
    <s v="SERGIO AQUEVEQUE"/>
    <n v="58"/>
    <s v="Equipos Transporte de carga"/>
    <s v="Rostro"/>
    <s v="Contusión"/>
    <s v="Golpeado por"/>
    <s v="AL ESTAR HACIENDO ASEO UN TRABAJADOR EN UNA TRASPALETA LA GOLPEA POR DETRÁS CON UN BINS EN EL COXIS CAYENDO DE CARA EN UNA ESTRUCTURA METALICA DE UNA MAQUINA"/>
    <s v="ACCION"/>
    <s v="SI"/>
    <s v="SI"/>
    <s v="ALAN CARRASCO"/>
    <s v="CRISTIAN JHON"/>
  </r>
  <r>
    <n v="2022"/>
    <x v="10"/>
    <s v="EL PAICO"/>
    <s v="AGUIRRE ESTAY"/>
    <s v="NICOLAS "/>
    <s v="MASCULINO"/>
    <s v="19924313-6"/>
    <d v="2022-02-15T00:00:00"/>
    <n v="8"/>
    <d v="2022-11-08T00:00:00"/>
    <s v="NUEVO"/>
    <d v="2022-11-09T00:00:00"/>
    <m/>
    <m/>
    <n v="0"/>
    <s v="STP"/>
    <m/>
    <m/>
    <s v="TROZADO DE POLLO"/>
    <s v="DESHUESADO"/>
    <s v="OPERARIO"/>
    <s v="DESHUESADO"/>
    <s v="N/A"/>
    <s v="TARDE"/>
    <d v="1899-12-30T20:30:00"/>
    <s v="MARTES"/>
    <s v="SEMANA 45"/>
    <m/>
    <s v="N° 132-22"/>
    <s v="DANIEL GARRIDO"/>
    <s v="JORGE MEZA"/>
    <n v="24"/>
    <s v="Herramientas de mano"/>
    <s v="Rostro"/>
    <s v="Herida cortante"/>
    <s v="Golpeado por"/>
    <s v="TRABAJADOR AL TOMAR RASTRILLO HUMEDO HACE PALANCA EN EL BINS Y SE RESBALA MANGO DEL RASTRILLO, GOLPEANDOLO EN EL ROSTRO (NARIZ) PRODUCIENDO UNA HERIRA CORTANTES "/>
    <s v="ACCION"/>
    <s v="SI"/>
    <s v="SI"/>
    <s v="ALAN CARRASCO"/>
    <s v="CRISTIAN JHON"/>
  </r>
  <r>
    <n v="2022"/>
    <x v="10"/>
    <s v="EL PAICO"/>
    <s v=" MENDEZ DEL CASTILLO"/>
    <s v="DANIELA "/>
    <s v="FEMENINO"/>
    <s v=" 15822820-3"/>
    <d v="2021-01-25T00:00:00"/>
    <n v="21"/>
    <d v="2022-11-09T00:00:00"/>
    <s v="INTERMEDIO"/>
    <m/>
    <m/>
    <m/>
    <s v=" "/>
    <s v="STP"/>
    <m/>
    <m/>
    <s v="TROZADO DE POLLO"/>
    <s v="T. AUTOMATICO "/>
    <s v="OPERARIO"/>
    <s v="T. AUTOMATICO"/>
    <s v="N/A"/>
    <s v="TARDE"/>
    <d v="1899-12-30T21:00:00"/>
    <s v="JUEVES"/>
    <s v="SEMANA 45"/>
    <m/>
    <m/>
    <s v="DANIEL GARRIDO"/>
    <s v="RAMIRO RAMIREZ"/>
    <n v="37"/>
    <s v="Otros"/>
    <s v="Cabeza"/>
    <s v="Contusión"/>
    <s v="Golpeado por"/>
    <s v=" TRABAJADOR SUFRE CONTUSION EN REGION PARIETAL IZQUIERDA DEL CRANEO CON PRODUCTO (PECHUGA) QUE CAE DESDE LINEA, AL CORTAR ALAS EN MESA DE TRABAJO, CAE PRODUCTO SOBRE SU CABEZA EN AUTOMATICO, TROZADO DE POLLO"/>
    <s v="CONDICION "/>
    <s v="SI"/>
    <s v="NO"/>
    <s v="ALAN CARRASCO"/>
    <s v="Michelle Sanchez "/>
  </r>
  <r>
    <n v="2022"/>
    <x v="10"/>
    <s v="EL PAICO"/>
    <s v="MEJIAS BASTIDAS"/>
    <s v="MAURO ESTEBAN"/>
    <s v="MASCULINO"/>
    <s v="17567967-7"/>
    <d v="2019-07-29T00:00:00"/>
    <n v="39"/>
    <d v="2022-11-09T00:00:00"/>
    <s v="ANTIGUO"/>
    <d v="2022-11-09T00:00:00"/>
    <m/>
    <m/>
    <n v="0"/>
    <s v="STP"/>
    <m/>
    <m/>
    <s v="FRIGORIFICO"/>
    <s v="FRIGORIFICO "/>
    <s v="OPERARIO"/>
    <s v="SALA DE BATERIAS"/>
    <s v="N/A"/>
    <s v="MAÑANA"/>
    <d v="1899-12-30T12:20:00"/>
    <s v="MIERCOLES"/>
    <s v="SEMANA 45"/>
    <m/>
    <s v="NC-131-22"/>
    <s v="FRACISCO QUEZADA"/>
    <s v="ALEJANDRO TORRES"/>
    <n v="32"/>
    <s v="Otros"/>
    <s v="Manos / dedos"/>
    <s v="Contusión"/>
    <s v="Golpeado por"/>
    <s v="TRABAJADOR SUFRE CONTUSION EN FALANGE PROXIMAL DEL DEDO INDICE IZQUIERDO AL CAMBIAR TAPA DE BATERIA DE TRASPALETA, EN SALA DE BATERIAS "/>
    <s v="ACCION"/>
    <s v="SI"/>
    <s v="SI"/>
    <s v="ALAN CARRASCO"/>
    <s v="Michelle Sanchez "/>
  </r>
  <r>
    <n v="2022"/>
    <x v="10"/>
    <s v="EL PAICO"/>
    <s v="AGUILERA SERRANO"/>
    <s v="MARITZA"/>
    <s v="FEMENINO"/>
    <s v="12859577-5"/>
    <d v="2016-12-16T00:00:00"/>
    <n v="70"/>
    <d v="2022-11-09T00:00:00"/>
    <s v="ANTIGUO"/>
    <m/>
    <m/>
    <m/>
    <m/>
    <s v="STP"/>
    <m/>
    <m/>
    <s v="P. POSTERIORES"/>
    <s v="P. POSTERIORES"/>
    <s v="OPERARIO"/>
    <s v="REPORTE DE CAJAS"/>
    <s v="N/A"/>
    <s v="MAÑANA"/>
    <d v="1899-12-30T07:15:00"/>
    <s v="JUEVES"/>
    <s v="SEMANA 45"/>
    <m/>
    <m/>
    <s v="OCTAVIO MUÑOZ"/>
    <s v="MARCOS QUINTANILLA"/>
    <n v="47"/>
    <s v="Otros"/>
    <s v="Rostro"/>
    <s v="Contusión"/>
    <s v="Golpeado por"/>
    <s v="TRABAJDORA SUFRE CONTUSION EN POMULO IZQUIERDO, AL ESTAR ORDENANDO TAPAS EN ESTANTE EN REPORTE DE CAJAS, LINEA CONGELADOS  "/>
    <s v="CONDICION"/>
    <s v="SI"/>
    <s v="NO"/>
    <s v="ALAN CARRASCO"/>
    <s v="Michelle Sanchez "/>
  </r>
  <r>
    <n v="2022"/>
    <x v="10"/>
    <s v="EL PAICO"/>
    <s v="  DARIUS"/>
    <s v="OLSON "/>
    <s v="MASCULINO"/>
    <s v="26368007-3 "/>
    <d v="2018-08-20T00:00:00"/>
    <n v="50"/>
    <d v="2022-11-09T00:00:00"/>
    <s v="ANTIGUO"/>
    <m/>
    <m/>
    <m/>
    <s v=" "/>
    <s v="STP"/>
    <m/>
    <m/>
    <s v="TROZADO DE POLLO"/>
    <s v="T. AUTOMATICO "/>
    <s v="OPERARIO"/>
    <s v="T. AUTOMATICO"/>
    <s v="N/A"/>
    <s v="TARDE"/>
    <d v="1899-12-30T22:40:00"/>
    <s v="MIERCOLES"/>
    <s v="SEMANA 45"/>
    <m/>
    <m/>
    <s v="DANIEL GARRIDO"/>
    <s v="RAMIRO RAMIREZ"/>
    <n v="33"/>
    <s v="Superficies de trabajo"/>
    <s v="Brazo"/>
    <s v="Contusión"/>
    <s v="Caida de mismo nivel"/>
    <s v="TRABAJADOR SUFRE CAIDA A MISMO NIVEL MAS CONTUSION EN HOMBRO IZQUIERDO AL RESBALAR CON CUERO DE POLLO QUE DE ENCONTRABA EN EL SUELO, AL SACAR UN BINS VACIO, SE RESBALA Y SUFRE CAIDA EN AUTOMATICO, TROZADO DE POLLO"/>
    <s v="CONDICION"/>
    <s v="SI"/>
    <s v="NO"/>
    <s v="ALAN CARRASCO"/>
    <s v="Michelle Sanchez "/>
  </r>
  <r>
    <n v="2022"/>
    <x v="10"/>
    <s v="EL PAICO"/>
    <s v="GOMEZ RIVERA"/>
    <s v="SIMON "/>
    <s v="MASCULINO"/>
    <s v="20973779-5 "/>
    <d v="2022-11-07T00:00:00"/>
    <n v="0"/>
    <d v="2022-11-09T00:00:00"/>
    <s v="NUEVO"/>
    <s v="                                                                "/>
    <m/>
    <m/>
    <s v=" "/>
    <s v="STP"/>
    <m/>
    <m/>
    <s v="TROZADO DE POLLO"/>
    <s v="DESHUESADO"/>
    <s v="OPERARIO"/>
    <s v="DESHUESADO"/>
    <s v="N/A"/>
    <s v="MAÑANA "/>
    <d v="1899-12-30T13:15:00"/>
    <s v="MIERCOLES"/>
    <s v="SEMANA 45"/>
    <m/>
    <m/>
    <s v="DANIEL GARRIDO "/>
    <s v="JOSE CARVALLO"/>
    <n v="20"/>
    <s v="Cajas"/>
    <s v="Manos / dedos"/>
    <s v="Otros"/>
    <s v="Contacto con cuerpo cortante"/>
    <s v="TRABAJADOR AL ESTAR  MANIPULANDO CAJAS CON ALAS DE POLLO, SIENTE SENSACION PULSATIL EN DEDO INDICE IZQUIERDO, EN AREA DE DESHUESADO "/>
    <s v="ACCION"/>
    <s v="SI"/>
    <s v="NO"/>
    <s v="ALAN CARRASCO"/>
    <s v="Michelle Sanchez "/>
  </r>
  <r>
    <n v="2022"/>
    <x v="10"/>
    <s v="EL PAICO"/>
    <s v="ORTIZ GONZALEZ"/>
    <s v="AUGUSTO"/>
    <s v="MASCULINO"/>
    <s v="15532741-3"/>
    <d v="2022-07-25T00:00:00"/>
    <n v="3"/>
    <d v="2022-11-10T00:00:00"/>
    <s v="NUEVO"/>
    <d v="2022-11-10T00:00:00"/>
    <m/>
    <m/>
    <n v="8"/>
    <s v="CTP"/>
    <m/>
    <m/>
    <s v="P. POSTERIORES"/>
    <s v="PULPA"/>
    <s v="OPERARIO"/>
    <s v="PULPA"/>
    <s v="N/A"/>
    <s v="MAÑANA"/>
    <d v="1899-12-30T06:50:00"/>
    <s v="JUEVES"/>
    <s v="SEMANA 45"/>
    <m/>
    <s v="NC-128-22"/>
    <s v="OCTAVIO MUÑOZ"/>
    <s v="MARCO QUINTANILLA "/>
    <n v="40"/>
    <s v="Superficies de trabajo"/>
    <s v="Manos / dedos"/>
    <s v="Contusión"/>
    <s v="Caida de mismo nivel"/>
    <s v="TRABAJADOR SUFRE CAIDA A NIVEL PRODUCO DE AGUA EN EL PISO AL MOVILIZAR UN BINS, TRABAJADOR RESBALA, CAE Y APOYA TODO SU PESO SOBRE SU MANO DERECHA"/>
    <s v="CONDICION"/>
    <s v="SI"/>
    <s v="SI"/>
    <s v="NICOLAS GOMEZ"/>
    <s v="WLADIMIR CALDERON"/>
  </r>
  <r>
    <n v="2022"/>
    <x v="1"/>
    <s v="EL PAICO"/>
    <s v="ASTORGA"/>
    <s v="RAFAEL "/>
    <s v="MASCULINO"/>
    <s v=" 14007893-K"/>
    <d v="1981-08-16T00:00:00"/>
    <n v="494"/>
    <d v="2022-11-10T00:00:00"/>
    <s v="ANTIGUO"/>
    <m/>
    <m/>
    <m/>
    <n v="0"/>
    <s v="STP"/>
    <m/>
    <m/>
    <s v="TROZADO DE POLLO"/>
    <s v="DESHUESADO"/>
    <s v="SUPERVISOR"/>
    <s v="DESHUEZADO"/>
    <s v="N/A"/>
    <s v="TARDE"/>
    <d v="1899-12-30T19:30:00"/>
    <s v="LUNES"/>
    <s v="SEMANA 02"/>
    <m/>
    <m/>
    <s v="DANIEL GARRIDO"/>
    <s v="RAFAEL ASTORGA"/>
    <n v="40"/>
    <s v="Materia Prima"/>
    <s v="Pie"/>
    <s v="Contusión"/>
    <s v="Caida de mismo nivel"/>
    <s v=" A pisar un trozo de cuero de pollo que se encontraba en el piso, sufre caída a mismo nivel mas contusión en rodilla izquierda. Se observa leve aumento de volumen, sin disfunción en la movilidad."/>
    <s v="CONDICION"/>
    <s v="NO"/>
    <s v="NO"/>
    <s v="PEDRO MOREIRA"/>
    <s v="MICHEL SANCHEZ"/>
  </r>
  <r>
    <n v="2022"/>
    <x v="10"/>
    <s v="EL PAICO"/>
    <s v="RUIZ GOMEZ"/>
    <s v="SERGIO"/>
    <s v="MASCULINO"/>
    <s v="7133688-3 "/>
    <d v="2009-02-05T00:00:00"/>
    <n v="165"/>
    <d v="2022-11-10T00:00:00"/>
    <s v="ANTIGUO"/>
    <m/>
    <m/>
    <m/>
    <s v=" "/>
    <s v="STP"/>
    <m/>
    <m/>
    <s v="SSGG"/>
    <s v="T. AUTOMATICO "/>
    <s v="OPERARIO"/>
    <s v="T. AUTOMATICO"/>
    <s v="N/A"/>
    <s v="TARDE"/>
    <d v="1899-12-30T23:45:00"/>
    <s v="JUEVES"/>
    <s v="SEMANA 45"/>
    <m/>
    <m/>
    <s v="CARLOS JIMENEZ"/>
    <s v="PATRICIO PALACIOS"/>
    <n v="65"/>
    <s v="Superficies de trabajo"/>
    <s v="Tronco"/>
    <s v="Contusión"/>
    <s v="Caida de distinto nivel"/>
    <s v=" TRABAJADOR SUFRE CAIDA DE TARIMA DE 1 MT DE ALTURA, GOLPEANDOSE EN REGION LUMBAR , AL PASAR DE LA CINTA A LA TARIMA EN T. AUTOMATICO "/>
    <s v="CONDICION"/>
    <s v="SI"/>
    <s v="NO"/>
    <s v="ALAN CARRASCO"/>
    <s v="WLADIMIR CALDERON"/>
  </r>
  <r>
    <n v="2022"/>
    <x v="10"/>
    <s v="EL PAICO"/>
    <s v="ORELLANA RIQUELME "/>
    <s v="ALEXIS"/>
    <s v="MASCULINO"/>
    <s v="20136863-4"/>
    <d v="1999-04-08T00:00:00"/>
    <n v="283"/>
    <d v="2022-11-12T00:00:00"/>
    <s v="ANTIGUO"/>
    <m/>
    <m/>
    <m/>
    <m/>
    <s v="STP"/>
    <s v="LGF"/>
    <s v="LGF 8"/>
    <s v="TROZADO DE PAVO"/>
    <s v="T. PAVO"/>
    <s v="OPERARIO"/>
    <s v="T. PAVO"/>
    <s v="MAQUINA ESCALDADORA"/>
    <s v="MAÑANA"/>
    <d v="1899-12-30T05:30:00"/>
    <s v="SABADO"/>
    <s v="SEMANA 45"/>
    <m/>
    <m/>
    <s v="GUILLERMO NARVAEZ"/>
    <s v="JAQUELIN PAVEZ"/>
    <n v="23"/>
    <s v="Otros"/>
    <s v="Brazo"/>
    <s v="Quemadura"/>
    <s v="Contacto con temperaturas extremas"/>
    <s v="TRABAJADOR AL SACAR AGUA CALIENTE DE LA MAQUINA ESCALDADORA, SUFRE QUEMADURA DE PRIMER GRADO EN  EL ANTEBRAZO IZQUIERDO, EN MAQUINA ESCALDADORA"/>
    <s v="ACCION"/>
    <s v="SI"/>
    <s v="NO"/>
    <s v="ALAN CARRASCO"/>
    <s v="CRISTIAN JHON"/>
  </r>
  <r>
    <n v="2022"/>
    <x v="11"/>
    <s v="MALHUE"/>
    <s v="MARTINEZ GAMBOA"/>
    <s v="RICHARD"/>
    <s v="MASCULINO"/>
    <s v="20870815-5"/>
    <m/>
    <m/>
    <d v="2022-11-15T00:00:00"/>
    <m/>
    <m/>
    <m/>
    <m/>
    <m/>
    <m/>
    <m/>
    <m/>
    <m/>
    <m/>
    <m/>
    <m/>
    <m/>
    <m/>
    <m/>
    <m/>
    <m/>
    <m/>
    <m/>
    <m/>
    <m/>
    <m/>
    <m/>
    <m/>
    <m/>
    <m/>
    <s v="Refiere quemadura química con detergente clorado en pierna izquierda"/>
    <m/>
    <m/>
    <m/>
    <m/>
    <m/>
  </r>
  <r>
    <n v="2022"/>
    <x v="10"/>
    <s v="EL PAICO"/>
    <s v="NORAMBUENA RIOS"/>
    <s v="CAROLA"/>
    <s v="FEMENINO"/>
    <s v="13250517-9 "/>
    <d v="2017-03-25T00:00:00"/>
    <n v="67"/>
    <d v="2022-11-16T00:00:00"/>
    <s v="ANTIGUO"/>
    <m/>
    <m/>
    <m/>
    <s v=" "/>
    <s v="STP"/>
    <m/>
    <m/>
    <s v="TROZADO DE POLLO"/>
    <s v="T. AUTOMATICO "/>
    <s v="OPERARIO"/>
    <s v="DESHUESADO"/>
    <s v="MESA DE TRABAJO/TRASPALETA MANUAL "/>
    <s v="TARDE"/>
    <d v="1899-12-30T15:40:00"/>
    <s v="MIERCOLES"/>
    <s v="SEMANA 46"/>
    <m/>
    <m/>
    <s v="DANIEL GARRIDO"/>
    <s v="JORGE MEZA"/>
    <n v="44"/>
    <s v="Equipos Transporte de carga"/>
    <s v="Tronco"/>
    <s v="Contusión"/>
    <s v="Golpeado por"/>
    <s v=" TRABAJADOR SUFRE GOLPE EN EL ABDOMEN, AL PASAR TRASPALETA MANUAL GOLPEA LA MESA DE TRABAJO, TENIENDO COMO RESULTADO DE REBOTE DEL GOLPE, EN EL AREA DE DESHUESADO"/>
    <s v="CONDICION"/>
    <s v="SI"/>
    <s v="NO"/>
    <s v="ALAN CARRASCO"/>
    <s v="CRISTIAN JHON"/>
  </r>
  <r>
    <n v="2022"/>
    <x v="10"/>
    <s v="EL PAICO"/>
    <s v="ATABALES MORALES "/>
    <s v=" MANUEL "/>
    <s v="MASCULINO"/>
    <s v="15405907-5 "/>
    <d v="2022-07-12T00:00:00"/>
    <n v="4"/>
    <d v="2022-11-17T00:00:00"/>
    <s v="NUEVO"/>
    <m/>
    <m/>
    <m/>
    <s v=" "/>
    <s v="STP"/>
    <s v="LGF"/>
    <s v="LGF 4"/>
    <s v="TROZADO DE POLLO"/>
    <s v="T. AUTOMATICO "/>
    <s v="OPERARIO"/>
    <s v="ROMANA"/>
    <s v="EQUIPO PARA MOVIMIENTO DE CARGA (GRUAS O TRANSPALETAS)"/>
    <s v="TARDE"/>
    <d v="1899-12-30T22:40:00"/>
    <s v="JUEVES"/>
    <s v="SEMANA 46"/>
    <m/>
    <m/>
    <s v="DANIEL GARRIDO"/>
    <s v="JOSE CARVALLO"/>
    <n v="40"/>
    <s v="Equipos Transporte de carga"/>
    <s v="Pierna"/>
    <s v="Contusión"/>
    <s v="Golpeado contra"/>
    <s v="TRABAJADOR DIRIGIENDOSE HACIA ROMANA CON UN BINS CON PRODUCTO PARA PESARLO, SALE DESDE EL T. AUTOMATICO Y COMPAÑERO CON OTRO BINS, NO PUDO FRENAR APRETANDO LA EXTREMIDAD ENTRE LAS DOS ESTRUCTURAS, SUFRIENDO GOLPE EN EXTREMIDAD INFERIOR DERECHA (MUSLO), ENTRE T. AUTOMATICO Y ROMANA . "/>
    <s v="ACCION"/>
    <s v="SI"/>
    <s v="NO"/>
    <s v="ALAN CARRASCO"/>
    <s v="Michelle Sanchez "/>
  </r>
  <r>
    <n v="2022"/>
    <x v="10"/>
    <s v="EL PAICO"/>
    <s v=" JEREZ MUGA"/>
    <s v="DANIEL"/>
    <s v="MASCULINO"/>
    <s v="14007926-K "/>
    <d v="2002-08-22T00:00:00"/>
    <n v="242"/>
    <d v="2022-11-18T00:00:00"/>
    <s v="ANTIGUO"/>
    <d v="2022-11-19T00:00:00"/>
    <m/>
    <m/>
    <s v=" "/>
    <s v="STP"/>
    <m/>
    <m/>
    <s v="TROZADO DE POLLO"/>
    <s v="T. AUTOMATICO "/>
    <s v="OPERARIO"/>
    <s v="DESHUESADO"/>
    <s v="N/A"/>
    <s v="TARDE"/>
    <d v="1899-12-30T23:15:00"/>
    <s v="VIERNES"/>
    <s v="SEMANA 46"/>
    <m/>
    <m/>
    <s v="DANIEL GARRIDO"/>
    <s v="JOSE CARVALLO"/>
    <n v="41"/>
    <s v="Otros"/>
    <s v="Manos / dedos"/>
    <s v="Otros"/>
    <s v="Otros"/>
    <s v="TRABAJADOR INGRESA POR DOLOR E INFLAMACION EN DEDO INDICE DERECHO, AL LIMPIAR PECHUGAS EN LINEA DE DESHUESADO."/>
    <s v="ACCION"/>
    <s v="SI"/>
    <s v="NO"/>
    <s v="ALAN CARRASCO"/>
    <s v="Michelle Sanchez "/>
  </r>
  <r>
    <n v="2022"/>
    <x v="10"/>
    <s v="EL PAICO"/>
    <s v=" AEDO PALMA"/>
    <s v="ALEXIS"/>
    <s v="MASCULINO"/>
    <s v="14028518-8 "/>
    <d v="2022-11-17T00:00:00"/>
    <n v="0"/>
    <d v="2022-11-21T00:00:00"/>
    <s v="NUEVO"/>
    <m/>
    <m/>
    <m/>
    <s v=" "/>
    <s v="STP"/>
    <m/>
    <m/>
    <s v="TROZADO DE POLLO"/>
    <s v="T. AUTOMATICO "/>
    <s v="OPERARIO"/>
    <s v="T. AUTOMATICO"/>
    <s v="N/A"/>
    <s v="MAÑANA"/>
    <d v="1899-12-30T13:15:00"/>
    <s v="LUNES"/>
    <s v="SEMANA 47"/>
    <m/>
    <m/>
    <s v="DANIEL GARRIDO"/>
    <s v="ARNALDO VERA"/>
    <s v=" "/>
    <s v="Cajas"/>
    <s v="Manos / dedos"/>
    <s v="Torsión"/>
    <s v="Sobreesfuerzo"/>
    <s v=" TRABAJDOR AL TIRAR CAJA CON PRODUCTO SUFRE TORSION DE MUÑECA DERECHA EN T. AUTOMATICO "/>
    <s v="ACCION"/>
    <s v="SI"/>
    <s v="NO"/>
    <s v="ALAN CARRASCO"/>
    <s v="Michelle Sanchez "/>
  </r>
  <r>
    <n v="2022"/>
    <x v="10"/>
    <s v="EL PAICO"/>
    <s v=" INFANTE GUTIERREZ"/>
    <s v="TERESA  "/>
    <s v="FEMENINO"/>
    <s v="16795621-1 "/>
    <d v="2014-10-06T00:00:00"/>
    <n v="97"/>
    <d v="2022-11-21T00:00:00"/>
    <s v="ANTIGUO"/>
    <d v="2022-11-22T00:00:00"/>
    <m/>
    <m/>
    <n v="0"/>
    <s v="STP"/>
    <m/>
    <m/>
    <s v="SSGG"/>
    <s v="SSGG"/>
    <s v="OPERARIO"/>
    <s v="METALQUIMIA"/>
    <s v="N/A"/>
    <s v="TARDE"/>
    <d v="1899-12-30T05:00:00"/>
    <s v="LUNES"/>
    <s v="SEMANA 47"/>
    <m/>
    <s v="N° 130-22 "/>
    <s v="CARLOS JIMENEZ"/>
    <s v=" PATRICIO PALACIOS"/>
    <n v="35"/>
    <s v="Producto quimico"/>
    <s v="Ojos"/>
    <s v="Otros"/>
    <s v="Contacto con sustancias corrosivas"/>
    <s v=" TRABAJADOR AL REALIZAR LIMPIEZA EN MAQUINA METALQUIMIA DE T. DE PAVO,  ENTRA LIQUIDO AL OJO IZQUERDO MIENTRAS REALIZABA LA LABOR."/>
    <s v="ACCION"/>
    <s v="SI"/>
    <s v="SI"/>
    <s v="ALAN CARRASCO"/>
    <s v="Michelle Sanchez "/>
  </r>
  <r>
    <n v="2022"/>
    <x v="10"/>
    <s v="EL PAICO"/>
    <s v="BASAURE CONSTANZO "/>
    <s v="PAOLO "/>
    <s v="MASCULINO"/>
    <s v="18966531-8"/>
    <d v="2022-11-07T00:00:00"/>
    <n v="0"/>
    <d v="2022-11-22T00:00:00"/>
    <s v="NUEVO"/>
    <m/>
    <m/>
    <m/>
    <s v=" "/>
    <s v="STP"/>
    <m/>
    <m/>
    <s v="TROZADO DE POLLO"/>
    <s v="T. AUTOMATICO "/>
    <s v="OPERARIO"/>
    <s v="T. AUTOMATICO"/>
    <s v="N/A"/>
    <s v="TARDE"/>
    <d v="1899-12-30T13:25:00"/>
    <s v="MARTES"/>
    <s v="SEMANA 47"/>
    <m/>
    <m/>
    <s v="DANIEL GARRIDO"/>
    <s v="ARNALDO VERA"/>
    <n v="23"/>
    <s v="Otros"/>
    <s v="Brazo"/>
    <s v="Contusión"/>
    <s v="Golpeado contra"/>
    <s v=" TRABAJADOR AL REALIZAR CARGA DE CAJAS SE GOLPEA EN ANTEBRAZO CON MESA DE PROLIJADO AL GIRARSE, EN T. AUTOMATICO"/>
    <s v="ACCION"/>
    <s v="SI"/>
    <s v="NO"/>
    <s v="NICOLAS GOMEZ"/>
    <s v="CRISTIAN JHON"/>
  </r>
  <r>
    <n v="2022"/>
    <x v="10"/>
    <s v="EL PAICO"/>
    <s v="DONOSO OLGUIN"/>
    <s v="CRISTOPHER"/>
    <s v="MASCULINO"/>
    <s v="18347480-4"/>
    <d v="1993-05-14T00:00:00"/>
    <n v="354"/>
    <d v="2022-11-23T00:00:00"/>
    <s v="ANTIGUO"/>
    <m/>
    <m/>
    <m/>
    <s v=" "/>
    <s v="STP"/>
    <m/>
    <m/>
    <s v="MANTENCION"/>
    <s v="MANTENCION"/>
    <s v="OPERARIO"/>
    <s v="DESPLUMADO DE POLLO"/>
    <s v="N/A"/>
    <s v="TARDE"/>
    <d v="1899-12-30T22:30:00"/>
    <s v="MIERCOLES"/>
    <s v="SEMANA 47"/>
    <m/>
    <m/>
    <s v="VICTOR GOMEZ"/>
    <s v="ISMAEL SANTIS "/>
    <n v="29"/>
    <s v="Producto quimico"/>
    <s v="Espalda"/>
    <s v="Quemadura"/>
    <s v="Contacto con sustancias corrosivas"/>
    <s v="TRABAJADOR LE CAE DETERGENTE EN LA ESPALDA, GENERANDO IRRITACION EN LA ZONA, EN EL DESPLUMADO DE POLLO "/>
    <s v="CONDICION"/>
    <s v="SI"/>
    <s v="NO"/>
    <s v="ALAN CARRASCO"/>
    <s v="GABRIELA CABEZAS"/>
  </r>
  <r>
    <n v="2022"/>
    <x v="10"/>
    <s v="EL PAICO"/>
    <s v="MUÑOZ GOMEZ"/>
    <s v="KEVIN "/>
    <s v="MASCULINO"/>
    <s v="20973124-K"/>
    <d v="2022-11-06T00:00:00"/>
    <n v="0"/>
    <d v="2022-11-26T00:00:00"/>
    <s v="NUEVO"/>
    <m/>
    <m/>
    <m/>
    <s v=" "/>
    <s v=" "/>
    <m/>
    <m/>
    <s v="TROZADO DE POLLO"/>
    <s v="DESHUESADO"/>
    <s v="OPERARIO"/>
    <s v="DESHUESADO"/>
    <s v="N/A"/>
    <s v="MAÑANA"/>
    <d v="1899-12-30T05:00:00"/>
    <s v="SABADO"/>
    <s v="SEMANA 47"/>
    <m/>
    <m/>
    <s v="DANIEL GARRIDO"/>
    <s v="JOSE CARVALLO"/>
    <s v=" "/>
    <s v="Cajas"/>
    <s v="Manos / dedos"/>
    <s v="Otros"/>
    <s v="Sobreesfuerzo"/>
    <s v="TRABAJDOR AL LEVANTAR CAJAS SIENTE TIRON EN MUÑECA DERECHA, DONDE SE PALETISAN PIELES DE POLLO."/>
    <s v="ACCION"/>
    <s v="SI"/>
    <s v="NO"/>
    <s v="ALAN CARRASCO"/>
    <s v="CRISTIAN JHON"/>
  </r>
  <r>
    <n v="2022"/>
    <x v="10"/>
    <s v="EL PAICO"/>
    <s v="  RAMIREZ MORALES"/>
    <s v="CALOLINA "/>
    <s v="FEMENINO"/>
    <s v=" 23587865-8"/>
    <d v="2016-11-28T00:00:00"/>
    <n v="72"/>
    <d v="2022-11-30T00:00:00"/>
    <s v="ANTIGUO"/>
    <m/>
    <m/>
    <m/>
    <s v=" "/>
    <s v=" "/>
    <s v="LGF"/>
    <s v="LGF 4"/>
    <s v="TROZADO DE POLLO"/>
    <s v="DESHUESADO"/>
    <s v="OPERARIO"/>
    <s v="DESHUESADO"/>
    <s v="EQUIPO PARA MOVIMIENTO DE CARGA (GRUAS O TRANSPALETAS)"/>
    <s v="TARDE"/>
    <d v="1899-12-30T16:20:00"/>
    <s v="MIERCOLES"/>
    <s v="SEMANA 48"/>
    <m/>
    <m/>
    <s v="DANIEL GARRIDO"/>
    <s v="JOSE CARVALLO"/>
    <n v="40"/>
    <s v="Equipos Transporte de carga"/>
    <s v="Pierna"/>
    <s v="Contusión"/>
    <s v="Golpeado por"/>
    <s v="TRABAJADOR  ES IMPACTADA POR TRANSPALETA ELECTRICA CON BINS EN SU PIERNA IZQUERDA, EN CURVA HQ, ESTABA EN ZONA DELIMITADA PARA TRANSITAR, Y AL MOMENTO DE GIRAR ES IMPATADA "/>
    <s v="CONDICION "/>
    <s v="SI"/>
    <s v="NO"/>
    <s v="NICOLAS GOMEZ"/>
    <s v="WLADIMIR CALDERON"/>
  </r>
  <r>
    <n v="2022"/>
    <x v="10"/>
    <s v="EL PAICO"/>
    <s v=" HERNANDEZ JARA"/>
    <s v="GUILLERMO SEGUNDO "/>
    <s v="MASCULINO"/>
    <s v=" 9964280-7"/>
    <d v="2006-11-03T00:00:00"/>
    <n v="192"/>
    <d v="2022-11-30T00:00:00"/>
    <s v="ANTIGUO"/>
    <d v="2022-12-01T00:00:00"/>
    <m/>
    <m/>
    <n v="0"/>
    <s v="STP"/>
    <s v="LGF"/>
    <s v="LGF 4"/>
    <s v="IQF Y CALIBRADO"/>
    <s v="IQF"/>
    <s v="OPERARIO"/>
    <s v="PASILLO IQF"/>
    <s v="EQUIPO PARA MOVIMIENTO DE CARGA (GRUAS O TRANSPALETAS)"/>
    <s v="TARDE"/>
    <d v="1899-12-30T19:40:00"/>
    <s v="MIRCOLES"/>
    <s v="SEMANA 48"/>
    <m/>
    <s v="NC° 140-22"/>
    <s v="GUILLERMO NARVAEZ"/>
    <s v="MAXIMO CAMPOS"/>
    <n v="58"/>
    <s v="Equipos Transporte de carga"/>
    <s v="Tronco"/>
    <s v="Contusión"/>
    <s v="Golpeado por"/>
    <s v="TRABAJADOR VIENE TRASPORTANDO BINS CON TRASPALETA MANUAL, CIRCULANDO POR PASILLO DE COLGADO DE BANDEJAS DESDE IQF 1 HACIA IQF 4, EN ESE MOMENTO EN CURVA DE HQ, UN OPERADOR DE TRASPALETA ELECTRICA DE TPO, GOLPEA EL BINS DE ADELANTE, PRODUCTO DEL IMPACTO, EMPUJA TRASPALETA MANUAL PRODUCIENDOLE UN GOLPE EN ESPALDA AL TRABAJADOR."/>
    <s v="ACCION"/>
    <s v="SI"/>
    <s v="SI"/>
    <s v="NICOLAS GOMEZ"/>
    <s v="WLADIMIR CALDERON"/>
  </r>
  <r>
    <n v="2022"/>
    <x v="10"/>
    <s v="EL PAICO"/>
    <s v="DE LA PARRA"/>
    <s v="IKER"/>
    <s v="MASCULINO"/>
    <s v="24656580-5"/>
    <d v="2022-08-18T00:00:00"/>
    <n v="3"/>
    <d v="2022-11-30T00:00:00"/>
    <s v="NUEVO"/>
    <d v="2022-12-01T00:00:00"/>
    <m/>
    <m/>
    <n v="10"/>
    <s v="CTP"/>
    <m/>
    <m/>
    <s v="TROZADO DE POLLO"/>
    <s v="DESHUESADO"/>
    <s v="OPERARIO"/>
    <s v="PASILLO CAMARA 208"/>
    <s v="EQUIPO PARA MOVIMIENTO DE CARGA (GRUAS O TRANSPALETAS)"/>
    <s v="TARDE"/>
    <d v="1899-12-30T15:30:00"/>
    <s v="MIERCOLES"/>
    <s v="SEMANA 48"/>
    <m/>
    <s v="N° 136-22"/>
    <s v="DANIEL GARRIDO"/>
    <s v="JOSE CARVALLO"/>
    <n v="18"/>
    <s v="Equipos Transporte de carga"/>
    <s v="Brazo"/>
    <s v="Otros"/>
    <s v="Sobreesfuerzo"/>
    <s v="TRABAJADOR SE ENCONTRABA MOVILIZANDO TRANSPALETA MANUAL POR PASILLO DE CAMARA 208, EN UNA MALA MANIOBRA DONDE SE PIERDE EL CONTROL DE LA TRANSPALETA EL TRABAJADOR REALIZA UN SOBREESFUERZO LO QUE PROVOCA UNA IPER EXTENSION DE LA MUÑACA LO QUE LE PROVOCA UNA PUNTADA Y FUERTE DOLOR EN LA ZONA"/>
    <s v="ACCION"/>
    <s v="SI"/>
    <s v="SI"/>
    <s v="NICOLAS GOMEZ"/>
    <s v="WLADIMIR CALDERON"/>
  </r>
  <r>
    <n v="2022"/>
    <x v="12"/>
    <s v="EL PAICO"/>
    <s v="SUFRIN"/>
    <s v="JUNIOR"/>
    <s v="MASCULINO"/>
    <s v="26376527-3"/>
    <d v="2022-03-07T00:00:00"/>
    <n v="8"/>
    <d v="2022-12-02T00:00:00"/>
    <s v="NUEVO"/>
    <m/>
    <m/>
    <m/>
    <s v=" "/>
    <s v="STP"/>
    <m/>
    <m/>
    <s v="TROZADO DE POLLO"/>
    <s v="DESHUESADO"/>
    <s v="OPERARIO"/>
    <s v="DESHUESADO"/>
    <s v="N/A"/>
    <s v="TARDE"/>
    <d v="1899-12-30T16:50:00"/>
    <s v="VIERNES"/>
    <s v="SEMANA 48"/>
    <m/>
    <m/>
    <s v="DANIEL GARRIDO"/>
    <s v="JOSE CARVALLO"/>
    <n v="29"/>
    <s v="Bandejas"/>
    <s v="Brazo"/>
    <s v="Otros"/>
    <s v="Sobreesfuerzo"/>
    <s v="TRABAJADOR SE ENCONTRABA EN SANITIZADO DE PRODUCTO EN LA LINEA DE DESHUESADO, AL MOMENTO DE SACAR UNA DE LAS BANDEJAS QUE SE ENCONTRABA SUMERJIDA ESTA SE RESBALA POR LO QUE AL TRATAR DE QUE NO SE DE VUELTA EL TRABAJADOR REALIZADA UN MOVIMIENTO BRUSCO Y DE SOBREESFUERZO POR LO QUE SIENTE TIRON EN HOMBRO IZQUIERDO."/>
    <s v="ACCION"/>
    <s v="SI"/>
    <s v="NO"/>
    <s v="NICOLAS GOMEZ"/>
    <s v="CRISTIAN JHON"/>
  </r>
  <r>
    <n v="2022"/>
    <x v="12"/>
    <s v="EL PAICO"/>
    <s v="ROJAS MORALES"/>
    <s v="RAFAELA"/>
    <s v="FEMENINO"/>
    <s v="13772206-2"/>
    <d v="2011-05-02T00:00:00"/>
    <n v="139"/>
    <d v="2022-12-02T00:00:00"/>
    <s v="ANTIGUO"/>
    <m/>
    <m/>
    <m/>
    <s v=" "/>
    <s v="STP"/>
    <m/>
    <m/>
    <s v="FAENACION"/>
    <s v="EVISCERADO DE POLLO"/>
    <s v="OPERARIO"/>
    <s v="EVISCERADO DE POLLO"/>
    <s v="LIMPIADORA DE CONTRES"/>
    <s v="TARDE"/>
    <d v="1899-12-30T19:25:00"/>
    <s v="VIERNES"/>
    <s v="SEMANA 48"/>
    <m/>
    <m/>
    <s v="NICOLAS MOYANO"/>
    <s v=" "/>
    <n v="42"/>
    <s v="Maquinarias"/>
    <s v="Manos / dedos"/>
    <s v="Herida cortante"/>
    <s v="Contacto con cuerpo cortante"/>
    <s v="TRABAJADORA SE ENCONTRABA TRABAJANDO EN MAQUINA LIMPIADORA DE CONTRES, DURANTE EL PROCESO LA TRABAJADORA SE CORTA CON REBARBA SOBRE SALIENTE EN EL BORDE DEL RODILLO"/>
    <s v="CONDICION"/>
    <s v="SI"/>
    <s v="NO"/>
    <s v="NICOLAS GOMEZ"/>
    <s v="CRISTIAN JHON"/>
  </r>
  <r>
    <n v="2022"/>
    <x v="12"/>
    <s v="EL PAICO"/>
    <s v="CACERES BRAVO"/>
    <s v="LUIS"/>
    <s v="MASCULINO"/>
    <s v="19213174-K"/>
    <d v="2019-01-02T00:00:00"/>
    <n v="47"/>
    <d v="2022-12-03T00:00:00"/>
    <s v="ANTIGUO"/>
    <d v="2022-12-05T00:00:00"/>
    <d v="2022-12-05T00:00:00"/>
    <m/>
    <n v="0"/>
    <s v="STP"/>
    <m/>
    <m/>
    <s v="TROZADO DE POLLO"/>
    <s v="DESHUESADO"/>
    <s v="OPERARIO"/>
    <s v="LINEA SANITIZADO DE FILETILLO"/>
    <s v="N/A"/>
    <s v="MAÑANA"/>
    <d v="1899-12-30T12:00:00"/>
    <s v="SABADO"/>
    <s v="SEMANA 48"/>
    <m/>
    <m/>
    <s v="DANIEL GARRIDO"/>
    <s v="JORGE MEZA"/>
    <n v="26"/>
    <s v="Otros"/>
    <s v="Ojos"/>
    <s v="Conjuntivitis"/>
    <s v="Proyeccion de particulas"/>
    <s v="TRABAJADOR SE ENCONTRABA CAMINANDO POR SECTOR DE SANITIZADO DE FILETILLO, EN ESE MOMENTO CAE LIQUIDO AL BINS DE SANITIAZADO Y ESTE SE PROYECTA SOBRE OJO DEL TRABAJADOR PRODUCINDO MOLESTAR"/>
    <s v="CONDICION"/>
    <s v="NO"/>
    <s v="NO"/>
    <s v="ALAN CARRASCO"/>
    <s v="Michelle Sanchez "/>
  </r>
  <r>
    <n v="2022"/>
    <x v="12"/>
    <s v="EL PAICO"/>
    <s v="GONZALEZ ALFARO"/>
    <s v="ELIZABETH  "/>
    <s v="FEMENINO"/>
    <s v="12314382-5"/>
    <d v="2017-08-16T00:00:00"/>
    <n v="63"/>
    <d v="2022-12-04T00:00:00"/>
    <s v="ANTIGUO"/>
    <m/>
    <m/>
    <m/>
    <m/>
    <s v="STP"/>
    <m/>
    <m/>
    <s v="SSGG"/>
    <s v="ASEO PREOPERACIONAL"/>
    <s v="OPERARIO"/>
    <s v="CHILLER DE MENUDENCIA"/>
    <s v="N/A"/>
    <s v="NOCHE"/>
    <d v="1899-12-30T23:00:00"/>
    <s v="DOMINGO"/>
    <s v="SEMANA 48"/>
    <m/>
    <m/>
    <s v="CARLOS JIMENEZ"/>
    <s v="PATRICIO PALACIOS"/>
    <n v="49"/>
    <s v="Otros"/>
    <s v="Brazo"/>
    <s v="Contusión"/>
    <s v="Caida de mismo nivel"/>
    <s v="TRABAJADORA SE ENCONTRABA CAMINANDO POR SECTOR CHILLER DE MENUNCIA, AL TRANSITAR TROPIESA CON MANGUERA LO QUE PRODUCE QUE ELLA SUFRA CAIDA A NIVEL GOLPEANDO POMULO IZQUIERDO "/>
    <s v="CONDICION"/>
    <s v="SI"/>
    <s v="NO"/>
    <s v="NICOLAS GOMEZ"/>
    <s v="WLADIMIR CALDERON"/>
  </r>
  <r>
    <n v="2022"/>
    <x v="12"/>
    <s v="EL PAICO"/>
    <s v="ARTIGAS MARICAN"/>
    <s v="GLADYS"/>
    <s v="FEMENINO"/>
    <s v="12208557-0"/>
    <d v="2022-11-15T00:00:00"/>
    <n v="0"/>
    <d v="2022-12-05T00:00:00"/>
    <s v="NUEVO"/>
    <m/>
    <m/>
    <m/>
    <n v="0"/>
    <s v="STP"/>
    <m/>
    <m/>
    <s v="IQF Y CALIBRADO"/>
    <s v="IQF"/>
    <s v="OPERARIO"/>
    <s v="CAMARINES"/>
    <s v="N/A"/>
    <s v="MAÑANA"/>
    <d v="1899-12-30T08:45:00"/>
    <s v="LUNES"/>
    <s v="SEMANA 49"/>
    <m/>
    <m/>
    <s v="GUILLERMO NARVAEZ"/>
    <s v="FERNANDO FUENTEALBA"/>
    <n v="50"/>
    <s v="Otros"/>
    <s v="Rostro"/>
    <s v="Otros"/>
    <s v="Otros"/>
    <s v="TRABAJADORA INGRESA A SPA POR UNA PICAZON Y ENROJECIMIENTO EN CUELLO INDICANDO QUE ES PRODUCTO DEL UNIFORME YA QUE ESTO NO LE SUCEDE CON SU ROPA"/>
    <s v="CONDICION"/>
    <s v="NO"/>
    <s v="NO"/>
    <s v="NICOLAS GOMEZ"/>
    <s v="GABRIELA CABEZAS"/>
  </r>
  <r>
    <n v="2022"/>
    <x v="12"/>
    <s v="EL PAICO"/>
    <s v="HERRERA PARDO"/>
    <s v="ROBERTO "/>
    <s v="MASCULINO"/>
    <s v="13771002-1"/>
    <d v="2000-08-18T00:00:00"/>
    <n v="267"/>
    <d v="2022-12-09T00:00:00"/>
    <s v="ANTIGUO"/>
    <m/>
    <m/>
    <m/>
    <m/>
    <s v="STP"/>
    <m/>
    <m/>
    <s v="FAENACION"/>
    <s v="RECEPCION DE AVES"/>
    <s v="OPERARIO"/>
    <s v="RECEPCION DE AVES"/>
    <s v="N/A"/>
    <s v="MAÑANA"/>
    <d v="1899-12-30T05:40:00"/>
    <s v="VIERNES"/>
    <s v="SEMANA 49"/>
    <m/>
    <m/>
    <s v="NICOLAS MOYANO"/>
    <s v="ANTONIO RIVAS"/>
    <n v="42"/>
    <s v="Infraestructura"/>
    <s v="Manos / dedos"/>
    <s v="Contusión"/>
    <s v="Golpeado por"/>
    <s v="TRABAJADOR SUFRE GOLPE EN DEDO INDICE DE MANO DERECHO CON PILAR AL ESTAR REVISANDO GANCHOS EN LA LINEA DE GOLGADO, RECEPCION DE AVES"/>
    <s v="ACCION"/>
    <s v="SI"/>
    <s v="NO"/>
    <s v="NICOLAS GOMEZ"/>
    <s v="WLADIMIR CALDERON"/>
  </r>
  <r>
    <n v="2022"/>
    <x v="12"/>
    <s v="EL PAICO"/>
    <s v="HERNANDEZ"/>
    <s v="JORGE  "/>
    <s v="MASCULINO"/>
    <s v="18487241-2"/>
    <d v="2019-05-22T00:00:00"/>
    <n v="42"/>
    <d v="2022-12-10T00:00:00"/>
    <s v="ANTIGUO"/>
    <m/>
    <m/>
    <m/>
    <s v=" "/>
    <s v="STP"/>
    <m/>
    <m/>
    <s v="P. POSTERIORES"/>
    <s v="PULPA"/>
    <s v="OPERARIO"/>
    <s v="CONGELADO DE BLOQUES"/>
    <s v="N/A"/>
    <s v="MAÑANA"/>
    <d v="1899-12-30T14:30:00"/>
    <s v="SABADO"/>
    <s v="SEMANA 49"/>
    <m/>
    <m/>
    <s v="OCTAVIO MUÑOZ"/>
    <s v="MARCO QUINTANILLA "/>
    <n v="29"/>
    <s v="Materia Prima"/>
    <s v="Manos / dedos"/>
    <s v="Contusión"/>
    <s v="Golpeado por"/>
    <s v="TRABAJADOR SUFRE ATRISION DE DEDO ANULAR IZQUIERDO AL MOMENTO DE  ESTAR DESCARGANDO PLACAS DE PRODUCTO CONGELADO "/>
    <s v="ACCION"/>
    <s v="SI"/>
    <s v="NO"/>
    <s v="NICOLAS GOMEZ"/>
    <s v="CRISTIAN JHON"/>
  </r>
  <r>
    <n v="2022"/>
    <x v="12"/>
    <s v="EL PAICO"/>
    <s v="PEREZ LAGOS"/>
    <s v="CARLOS "/>
    <s v="MASCULINO"/>
    <s v="21007455-4"/>
    <d v="2021-05-17T00:00:00"/>
    <n v="18"/>
    <d v="2022-12-12T00:00:00"/>
    <s v="NUEVO"/>
    <m/>
    <m/>
    <m/>
    <m/>
    <s v="STP"/>
    <m/>
    <m/>
    <s v="TROZADO DE POLLO"/>
    <s v="T. AUTOMATICO "/>
    <s v="OPERARIO"/>
    <s v="T. AUTOMATICO"/>
    <s v="N/A"/>
    <s v="MAÑANA"/>
    <d v="1899-12-30T10:40:00"/>
    <s v="LUNES"/>
    <s v="SEMANA 50"/>
    <m/>
    <m/>
    <s v="DANIEL GARRIDO"/>
    <s v="JORGE MEZA"/>
    <n v="20"/>
    <s v="Otros"/>
    <s v="Manos / dedos"/>
    <s v="Contusión"/>
    <s v="Caida de mismo nivel"/>
    <s v="TRABAJADOR PRESENTA DOLENCIA EN DEDO INDICE DE MANO IZQUIERDA PRODUCTO DE APOYARSE SOBRE SU MANO AL SUFRIR UNA CAIDA A MISMO NIVEL CUANDO ESTABA INGRESANDO A SALA DE TROZADO AUTOMATICO"/>
    <s v="ACCION"/>
    <s v="NO"/>
    <s v="NO"/>
    <s v="NICOLAS GOMEZ"/>
    <s v="WLADIMIR CALDERON"/>
  </r>
  <r>
    <n v="2022"/>
    <x v="12"/>
    <s v="EL PAICO"/>
    <s v="SANMARTIN ANDRADE"/>
    <s v="JORDAN"/>
    <s v="MASCULINO"/>
    <s v="17631969-0"/>
    <d v="2022-10-17T00:00:00"/>
    <n v="1"/>
    <d v="2022-12-12T00:00:00"/>
    <s v="NUEVO"/>
    <m/>
    <m/>
    <m/>
    <m/>
    <s v="STP"/>
    <s v="LGF"/>
    <s v="LGF 4"/>
    <s v="FRIGORIFICO"/>
    <s v="CAMARA"/>
    <s v="OPERARIO"/>
    <s v="CAMARA"/>
    <s v="EQUIPO PARA MOVIMIENTO DE CARGA (GRUAS O TRANSPALETAS)"/>
    <s v="TARDE"/>
    <d v="1899-12-30T18:45:00"/>
    <s v="LUNES"/>
    <s v="SEMANA 50"/>
    <m/>
    <m/>
    <s v="FRANCISCO QUEZADA"/>
    <s v="ALEJANDRO TORRES"/>
    <n v="31"/>
    <s v="Equipos Transporte de carga"/>
    <s v="Pie"/>
    <s v="Torsión"/>
    <s v="Golpeado por"/>
    <s v="TRABAJADOR SUFRE ATRISION DE SU PIE IZQUIERDA PROBOCADO POR UNA TRANSPALETA ELECTRICA LA CUAL NO SE PERCATA DE QUES ENCUENTRA EL TRABAJADOR EN LA PARTE POSTERIOR DE LOS PALLETS QUE SE DISPONIA A MOVER, POR LO QUE MUEVE UN PALLET LLENO DE PRODUCTO Y OTRO VACIO SIENDO ESTE ULTIMO EL QUE ATRISION PIE DE TRABAJADOR CONTRA ESTRUCTURA METALICA"/>
    <s v="ACCION"/>
    <s v="SI"/>
    <s v="NO"/>
    <s v="NICOLAS GOMEZ"/>
    <s v="WLADIMIR CALDERON"/>
  </r>
  <r>
    <n v="2022"/>
    <x v="12"/>
    <s v="EL PAICO"/>
    <s v="CARVALLO"/>
    <s v="JOSE "/>
    <s v="MASCULINO"/>
    <s v="15404926-6"/>
    <d v="2005-06-18T00:00:00"/>
    <n v="209"/>
    <d v="2022-12-12T00:00:00"/>
    <s v="ANTIGUO"/>
    <m/>
    <m/>
    <m/>
    <m/>
    <s v="STP"/>
    <m/>
    <m/>
    <s v="TROZADO DE POLLO"/>
    <s v="DESHUESADO"/>
    <s v="SUPERVISOR"/>
    <s v="DESHUESADO"/>
    <s v="CUCHILLO"/>
    <s v="TARDE"/>
    <d v="1899-12-30T21:30:00"/>
    <s v="LUNES"/>
    <s v="SEMANA 50"/>
    <m/>
    <m/>
    <s v="DANIEL GARRIDO"/>
    <s v="JOSE CARVALLO"/>
    <n v="40"/>
    <s v="Cuchillo"/>
    <s v="Manos / dedos"/>
    <s v="Herida cortante"/>
    <s v="Contacto con cuerpo cortante"/>
    <s v="TRABAJADOR INDICA QUE SE ENCONTRABA EN SALA DE DESHUESADO ENSEÑANDO A TRABAJADOR NUEVO EN LINEA DE PROLIJADO, EL MOMENTO DE FINALIZAR EL TRABAJADOR PROCEDE A GUARDAR EL CUCHILLO EN EL ESPACIO DESTINADO EN ESE MOMENTO ESTE RESBALA CON FILO HACIA AFUERA PRODUCIENDO CORTE EN DEDO MEÑIQUE DE MANO IZQUIERDA"/>
    <s v="ACCION"/>
    <s v="SI"/>
    <s v="NO"/>
    <s v="NICOLAS GOMEZ"/>
    <s v="WLADIMIR CALDERON"/>
  </r>
  <r>
    <n v="2022"/>
    <x v="12"/>
    <s v="EL PAICO"/>
    <s v="MENA DURAN"/>
    <s v="ESTEBAN  "/>
    <s v="MASCULINO"/>
    <s v="17210692-7"/>
    <d v="2021-01-06T00:00:00"/>
    <n v="23"/>
    <d v="2022-12-13T00:00:00"/>
    <s v="INTERMEDIO"/>
    <m/>
    <m/>
    <m/>
    <m/>
    <s v="STP"/>
    <s v="LGF"/>
    <s v="LGF 2 - LGF 7"/>
    <s v="FAENACION"/>
    <s v="EVISCERADO DE POLLO"/>
    <s v="OPERARIO"/>
    <s v="EVISCERADO DE POLLO"/>
    <s v="REPASADORA DE CORAZON"/>
    <s v="MAÑANA"/>
    <d v="1899-12-30T12:00:00"/>
    <s v="MARTES"/>
    <s v="SEMANA 50"/>
    <m/>
    <m/>
    <s v="NICOLAS MOYANO"/>
    <s v="CESAR CARTAGENA"/>
    <n v="32"/>
    <s v="Maquinarias"/>
    <s v="Manos / dedos"/>
    <s v="Herida cortante"/>
    <s v="Atrapamiento"/>
    <s v="TRABAJADOR AL PONER TAPA DE MAQUINA  REPASADORA DE CORAZON EN SU LUGAR ESTA SE CAE Y SU MANO SE VA HACIA DENTRO DE LA MAQUINA DONDE ESTA UNA CADENA QUE LE REALIZA UN CORTE EN DEDO INDICE DE MANO DERECHA."/>
    <s v="ACCION"/>
    <s v="SI"/>
    <s v="NO"/>
    <s v="NICOLAS GOMEZ"/>
    <s v="GABRIELA CABEZAS"/>
  </r>
  <r>
    <n v="2022"/>
    <x v="12"/>
    <s v="EL PAICO"/>
    <s v="GOMEZ JORQUERA"/>
    <s v="JORGE "/>
    <s v="MASCULINO"/>
    <s v="15401311-3"/>
    <d v="2020-12-09T00:00:00"/>
    <n v="24"/>
    <d v="2022-12-13T00:00:00"/>
    <s v="INTERMEDIO"/>
    <m/>
    <m/>
    <m/>
    <m/>
    <s v="STP"/>
    <m/>
    <m/>
    <s v="FAENACION"/>
    <s v="EVISCERADO DE POLLO"/>
    <s v="OPERARIO"/>
    <s v="EVISCERADO DE POLLO"/>
    <s v="N/A"/>
    <s v="MAÑANA"/>
    <d v="1899-12-30T11:10:00"/>
    <s v="MARTES"/>
    <s v="SEMANA 50"/>
    <m/>
    <m/>
    <s v="NICOLAS MOYANO"/>
    <s v="CESAR CARTAGENA"/>
    <n v="40"/>
    <s v="Materiales"/>
    <s v="Brazo"/>
    <s v="Otros"/>
    <s v="Sobreesfuerzo"/>
    <s v="TRABAJADOR INGRESA A SPA POR MOLESTIA EN ANTEBRAZO DERECHO ESTO PRODUCTO DE LEVANTAR UNA MANGUERA EN LA SALA"/>
    <s v="ACCION"/>
    <s v="NO"/>
    <s v="NO"/>
    <s v="NICOLAS GOMEZ"/>
    <s v="GABRIELA CABEZAS"/>
  </r>
  <r>
    <n v="2022"/>
    <x v="12"/>
    <s v="EL PAICO "/>
    <s v="SALGADO SIL"/>
    <s v="JOSE"/>
    <s v="MASCULINO"/>
    <s v="15355520-6"/>
    <d v="2020-05-20T00:00:00"/>
    <n v="30"/>
    <d v="2022-12-14T00:00:00"/>
    <s v="INTERMEDIO"/>
    <m/>
    <m/>
    <m/>
    <s v=" "/>
    <s v="STP"/>
    <m/>
    <m/>
    <s v="FAENACION"/>
    <s v="DESPLUMADO DE POLLOS"/>
    <s v="OPERARIO"/>
    <s v="DESPLUMADO DE POLLO"/>
    <s v="N/A"/>
    <s v="TARDE"/>
    <d v="1899-12-30T20:05:00"/>
    <s v="MIERCOLES"/>
    <s v="SEMANA 50"/>
    <m/>
    <m/>
    <s v="NICOLAS MOYANO"/>
    <s v="CESAR CARTAGENA"/>
    <n v="39"/>
    <s v="Equipo electricos"/>
    <s v="Brazo"/>
    <s v="Otros"/>
    <s v="Contacto con electricidad"/>
    <s v="TRABAJADOR SE DIRIGIA A CORTAR EL SUIMINISTRO DE AGUA EN LA CORTADORA DE CABEZAS, SALA DE ECALDADO Y DESPLUMADO, EN ESE MOMENTO TOCA PARED Y TUBO DE CONDUIT CON HUMEDAD LA CUAL TRASPASO LAS HUINCHA AISLANTE DANDOLE UNA DESCARGA AL TRABAJADOR"/>
    <s v="CONDICION"/>
    <s v="SI"/>
    <s v="NO"/>
    <s v="NICOLAS GOMEZ"/>
    <s v="CRISTIAN JHON"/>
  </r>
  <r>
    <n v="2022"/>
    <x v="12"/>
    <s v="EL PAICO"/>
    <s v="ORTIZ ESPINOZA"/>
    <s v="LAURA "/>
    <s v="FEMENINO"/>
    <s v="13239518-7"/>
    <d v="2020-02-10T00:00:00"/>
    <n v="34"/>
    <d v="2022-12-14T00:00:00"/>
    <s v="INTERMEDIO"/>
    <m/>
    <m/>
    <m/>
    <s v=" "/>
    <s v="STP"/>
    <m/>
    <m/>
    <s v="P. POSTERIORES"/>
    <s v="P. POSTERIORES"/>
    <s v="OPERARIO"/>
    <s v="REPORTE DE CAJAS"/>
    <s v="N/A"/>
    <s v="MAÑANA"/>
    <d v="1899-12-30T14:05:00"/>
    <s v="MIERCOLES"/>
    <s v="SEMANA 50"/>
    <m/>
    <m/>
    <s v="OCTAVIO MUÑOZ"/>
    <s v="EDGAR HERNANDEZ "/>
    <n v="46"/>
    <s v="Infraestructura"/>
    <s v="Manos / dedos"/>
    <s v="Contusión"/>
    <s v="Golpeado por"/>
    <s v="TRABAJADOR SE ENCONTRABA ETIQUETANDO CAJAS EN DROP POINT, AL MOMENTO DE LEVANTAR CAJA ESTE GOLPEA DEDO MEDIO DE MANO IZQUIERDA CON ESTRUCTURA METALICA"/>
    <s v="ACCION"/>
    <s v="SI"/>
    <s v="NO"/>
    <s v="NICOLAS GOMEZ"/>
    <s v="CRISTIAN JHON"/>
  </r>
  <r>
    <n v="2022"/>
    <x v="12"/>
    <s v="EL PAICO"/>
    <s v="ABARCA MENA"/>
    <s v="DIEGO "/>
    <s v="MASCULINO"/>
    <s v="20344903-8"/>
    <d v="2022-11-22T00:00:00"/>
    <n v="0"/>
    <d v="2022-12-15T00:00:00"/>
    <s v="NUEVO"/>
    <m/>
    <m/>
    <m/>
    <n v="0"/>
    <s v="STP"/>
    <m/>
    <m/>
    <s v="IQF Y CALIBRADO"/>
    <s v="CALIBRADO"/>
    <s v="OPERARIO"/>
    <s v="CALIBRADO"/>
    <s v="N/A"/>
    <s v="TARDE"/>
    <d v="1899-12-30T22:30:00"/>
    <s v="JUEVES"/>
    <s v="SEMANA 50"/>
    <m/>
    <m/>
    <s v="GUILLERMO NARVAEZ"/>
    <s v="FERNANDO FUENTEALBA"/>
    <n v="22"/>
    <s v="Otros"/>
    <s v="Pierna"/>
    <s v="Contusión"/>
    <s v="Caida de mismo nivel"/>
    <s v="TRABAJADOR ESTABA BAJANDO POR ESCALERA DE CALIBRADO EN ESE MOMENTO TROPIEZA Y SUFRE CAIDA A MISMO NIVEL GOLPEANDO ANTEBRAZO DERECHO Y RODILLA IZQUIERDA"/>
    <s v="ACCION"/>
    <s v="NO"/>
    <s v="NO"/>
    <s v="NICOLAS GOMEZ"/>
    <s v="Michelle Sanchez "/>
  </r>
  <r>
    <n v="2022"/>
    <x v="12"/>
    <s v="EL PAICO"/>
    <s v="ROCHA VARELA"/>
    <s v="MARIANA"/>
    <s v="FEMENINO"/>
    <s v="15596634-3"/>
    <d v="2021-02-09T00:00:00"/>
    <n v="22"/>
    <d v="2022-12-16T00:00:00"/>
    <s v="INTERMEDIO"/>
    <m/>
    <m/>
    <m/>
    <n v="0"/>
    <s v="STP"/>
    <m/>
    <m/>
    <s v="IQF Y CALIBRADO"/>
    <s v="CALIBRADO"/>
    <s v="OPERARIO"/>
    <s v="CALIBRADO"/>
    <s v="N/A"/>
    <s v="TARDE "/>
    <d v="1899-12-30T21:50:00"/>
    <s v="VIERNES"/>
    <s v="SEMANA 50"/>
    <m/>
    <m/>
    <s v="GUILLERMO NARVAEZ"/>
    <s v="FERNANDO FUENTEALBA"/>
    <n v="39"/>
    <s v="Infraestructura"/>
    <s v="Manos / dedos"/>
    <s v="Contusión"/>
    <s v="Golpeado por"/>
    <s v="TRABAJADOR SUFRE GOLPE EN DEDO MEÑIQUE IZQUIERDO AL MOMENTO DE ESTAR ACOMODANDO BANDEJAS EN CALIBRADO, GOLPE SE PRODUCE POR EL CONTACTO CON ESTRCUTURA METALICA"/>
    <s v="ACCION"/>
    <s v="SI"/>
    <s v="NO"/>
    <s v="NICOLAS GOMEZ"/>
    <s v="WLADIMIR CALDERON"/>
  </r>
  <r>
    <n v="2022"/>
    <x v="12"/>
    <s v="EL PAICO"/>
    <s v="CAYUMAN VENEGAS"/>
    <s v="JAIME "/>
    <s v="MASCULINO"/>
    <s v="15731693-1"/>
    <d v="2019-02-18T00:00:00"/>
    <n v="46"/>
    <d v="2022-12-19T00:00:00"/>
    <s v="ANTIGUO"/>
    <m/>
    <m/>
    <m/>
    <s v=" "/>
    <s v="STP"/>
    <m/>
    <m/>
    <s v="P. POSTERIORES"/>
    <s v="EMBALAJE Y ETIQUETADO"/>
    <s v="OPERARIO"/>
    <s v="EMBALAJE Y ETIQUETADO"/>
    <s v="N/A"/>
    <s v="MAÑANA"/>
    <d v="1899-12-30T07:25:00"/>
    <s v="LUNES"/>
    <s v="SEMANA 51"/>
    <m/>
    <m/>
    <s v="OCTAVIO MUÑOZ"/>
    <s v="ALEJANDRO SALAS"/>
    <n v="38"/>
    <s v="Infraestructura"/>
    <s v="Cabeza"/>
    <s v="Contusión"/>
    <s v="Golpeado contra"/>
    <s v="TRABAJDOR REFIERE ESTAR COLOCANDO FILM Y AL GIRAR SE GOLPE LA ZONA FRONTAL SUPERIOR EFECTUANDOSE UN CORTE SUPERFICIAL, CON UNA REJILLA QUE ESTA SOBRESALIENTE EN CARRO"/>
    <s v="ACCION"/>
    <s v="SI"/>
    <s v="NO"/>
    <s v="ALAN CARRASCO"/>
    <s v="GABRIELA CABEZAS"/>
  </r>
  <r>
    <n v="2022"/>
    <x v="12"/>
    <s v="EL PAICO"/>
    <s v="ACEVEDO NUÑEZ"/>
    <s v="NICOLE"/>
    <s v="FEMENINO"/>
    <s v="16562004-6"/>
    <d v="2021-06-09T00:00:00"/>
    <n v="18"/>
    <d v="2022-12-19T00:00:00"/>
    <s v="NUEVO"/>
    <m/>
    <m/>
    <m/>
    <n v="0"/>
    <s v="STP"/>
    <m/>
    <m/>
    <s v="IQF Y CALIBRADO"/>
    <s v="CALIBRADO"/>
    <s v="OPERARIO"/>
    <s v="CALIBRADO"/>
    <s v="ENZUNCHADORA MOSCA"/>
    <s v="MAÑANA"/>
    <d v="1899-12-30T07:15:00"/>
    <s v="LUNES"/>
    <s v="SEMANA 51"/>
    <m/>
    <m/>
    <s v="GUILLERMO NARVAEZ"/>
    <s v="FERNANDO FUENTEALBA"/>
    <n v="35"/>
    <s v="Maquinarias"/>
    <s v="Manos / dedos"/>
    <s v="Atrición"/>
    <s v="Atrapamiento"/>
    <s v="TRABAJADORA SUFRE ATRAPAMIENTO DE DORCHO DE SU MANO DERECHA, ESTA PRODUCTO DE DETENER UNA CAJA PARA EVITAR DE QUE PASARA SIN ZUNCHO, ACCIDENTE DE PRODUCE ENTRE ENZUNCHADORA MOSCA Y ESTRUCTURA METALICA DE LA PROPIA MAQUINA.  "/>
    <s v="CONDICION"/>
    <s v="SI"/>
    <s v="NO"/>
    <s v="NICOLAS GOMEZ"/>
    <s v="Michelle Sanchez "/>
  </r>
  <r>
    <n v="2022"/>
    <x v="12"/>
    <s v="EL PAICO"/>
    <s v="PINTO HINOJOSA"/>
    <s v="MARIA"/>
    <s v="FEMENINO"/>
    <s v="19057517-9"/>
    <d v="2020-01-20T00:00:00"/>
    <n v="35"/>
    <d v="2022-12-21T00:00:00"/>
    <s v="INTERMEDIO"/>
    <m/>
    <m/>
    <m/>
    <s v=" "/>
    <s v="STP"/>
    <m/>
    <m/>
    <s v="TROZADO DE POLLO"/>
    <s v="DESHUESADO"/>
    <s v="OPERARIO"/>
    <s v="PROLIJADO DE PECHUGA"/>
    <s v="N/A"/>
    <s v="TARDE"/>
    <d v="1899-12-30T16:00:00"/>
    <s v="MIERCOLES"/>
    <s v="SEMANA 51"/>
    <m/>
    <m/>
    <s v="DANIEL GARRIDO "/>
    <s v="JORGE MEZA"/>
    <n v="27"/>
    <s v="Otros"/>
    <s v="Ojos"/>
    <s v="Otros"/>
    <s v="Otros"/>
    <s v="TRABAJADOR AL ESTAR ESTRA EN LA LINE DE PRODUCCION EN DESHUEADO PROLIJANDO PRODUCTO (PECHUGA DE POLLO) Y SIENTE LIQUIDO EN SU OJO DERECHO ESPERA ½ HORA POR DOLOR LE AVISA A SUPERVISOR."/>
    <s v="ACCION"/>
    <s v="SI"/>
    <s v="NO"/>
    <s v="ALAN CARRASCO"/>
    <s v="GABRIELA CABEZAS"/>
  </r>
  <r>
    <n v="2022"/>
    <x v="12"/>
    <s v="EL PAICO"/>
    <s v="JORZILUS"/>
    <s v="ARNER"/>
    <s v="MASCULINO"/>
    <s v="26024374-8"/>
    <d v="2022-09-12T00:00:00"/>
    <n v="3"/>
    <d v="2022-12-22T00:00:00"/>
    <s v="NUEVO"/>
    <m/>
    <m/>
    <m/>
    <s v=" "/>
    <s v="STP"/>
    <m/>
    <m/>
    <s v="SSGG"/>
    <s v="DESHUESADO"/>
    <s v="OPERARIO"/>
    <s v="DESHUESADO"/>
    <s v="N/A"/>
    <s v="MAÑANA "/>
    <d v="1899-12-30T05:05:00"/>
    <s v="JUEVES"/>
    <s v="SEMANA 51"/>
    <m/>
    <m/>
    <s v="CARLOS JIMENEZ"/>
    <s v="SERGIO AQUEVEQUE"/>
    <n v="30"/>
    <s v="Otros"/>
    <s v="Ojos"/>
    <s v="Otros"/>
    <s v="Otros"/>
    <s v=" TRABAJDOR REFIERE PROYECCION DE LIQUIDO SANITIZANTE A OJO DERECH, CUANDO SANITIZABA LA MAQUINAS EN SALA DE POLLO, AL GOLPEAR EL LIQUIDO SANITIZANTE EN LA MAQUINA LE SALE PROYECTADO AL OJO DERECHO."/>
    <s v="ACCION"/>
    <s v="SI"/>
    <s v="NO"/>
    <s v="ALAN CARRASCO"/>
    <s v="GABRIELA CABEZAS"/>
  </r>
  <r>
    <n v="2022"/>
    <x v="12"/>
    <s v="EL PAICO"/>
    <s v="AÑASCO"/>
    <s v="JUAN PABLO"/>
    <s v="MASCULINO"/>
    <s v="16342126-7"/>
    <d v="2022-11-07T00:00:00"/>
    <n v="1"/>
    <d v="2022-12-23T00:00:00"/>
    <s v="NUEVO"/>
    <m/>
    <m/>
    <m/>
    <s v=" "/>
    <s v="STP"/>
    <m/>
    <m/>
    <s v="SSGG"/>
    <s v="ASEO PREOPERACIONAL"/>
    <s v="OPERARIO"/>
    <s v="EVISCERADO DE POLLO"/>
    <s v="N/A"/>
    <s v="NOCHE"/>
    <d v="1899-12-30T22:50:00"/>
    <s v="VIERNES"/>
    <s v="SEMANA 51"/>
    <m/>
    <m/>
    <s v="CARLOS JIMENEZ"/>
    <s v="LUIS URBINA"/>
    <s v=" "/>
    <s v="Materiales"/>
    <s v="Rostro"/>
    <s v="Quemadura"/>
    <s v="Contacto con temperaturas extremas"/>
    <s v="SUFRE QUEMADURA TIPO A-B EN ROSTRO (EN PARTE SUPERIOR DE CEJA DERECHA) CON AGUA CALIENE AL LAVAR MAQUINA CON MANGUERA, ESTA SE SUELTA Y SALPICA AGUA EN SU CARA"/>
    <s v="ACCION"/>
    <s v="SI"/>
    <s v="SI"/>
    <s v="NICOLAS GOMEZ"/>
    <s v="Michelle Sanchez "/>
  </r>
  <r>
    <n v="2022"/>
    <x v="12"/>
    <s v="EL PAICO"/>
    <s v="SILVA CHACON"/>
    <s v="PATRICIO"/>
    <s v="MASCULINO"/>
    <s v="13250728-7"/>
    <d v="2014-05-02T00:00:00"/>
    <n v="103"/>
    <d v="2022-12-23T00:00:00"/>
    <s v="ANTIGUO"/>
    <m/>
    <m/>
    <m/>
    <s v=" "/>
    <s v="STP"/>
    <m/>
    <m/>
    <s v="TROZADO DE POLLO"/>
    <s v="T. AUTOMATICO "/>
    <s v="OPERARIO"/>
    <s v="T. AUTOMATICO"/>
    <s v="N/A"/>
    <s v="MAÑANA"/>
    <d v="1899-12-30T07:30:00"/>
    <s v="VIERNES"/>
    <s v="SEMANA 51"/>
    <m/>
    <m/>
    <s v="DANIEL GARRIDO"/>
    <s v="ARNALDO VERA"/>
    <s v=" "/>
    <s v="Otros"/>
    <s v="Brazo"/>
    <s v="Otros"/>
    <s v="Sobreesfuerzo"/>
    <s v="TRABAJADOR INGRESA A SPA POR TIRON EN ANTEBRAZO DERECHO PRODUCIDO AL ESTAR GOLGANDO POLLOS EN TROZADO AUTOMATICO, TRABAJADOR PRESENTA PRESCRIPCION DE HACE UN AÑO POR EP DECLARADA"/>
    <s v="ACCION"/>
    <s v="SI"/>
    <s v="NO"/>
    <s v="NICOLAS GOMEZ"/>
    <s v="Michelle Sanchez "/>
  </r>
  <r>
    <n v="2022"/>
    <x v="12"/>
    <s v="EL PAICO"/>
    <s v="GONZALEZ MATELUNA"/>
    <s v="ERNESTO"/>
    <s v="MASCULINO"/>
    <s v="15402365-8"/>
    <d v="2011-06-13T00:00:00"/>
    <n v="138"/>
    <d v="2022-12-24T00:00:00"/>
    <s v="ANTIGUO"/>
    <m/>
    <m/>
    <m/>
    <n v="2"/>
    <s v="CTP"/>
    <m/>
    <m/>
    <s v="P. POSTERIORES"/>
    <s v="LINIA ISHIDA"/>
    <s v="OPERARIO"/>
    <s v="INYECTORA ISHIDA"/>
    <s v="N/A"/>
    <s v="NOCHE"/>
    <d v="1899-12-30T01:00:00"/>
    <s v="SABADO"/>
    <s v="SEMANA 51"/>
    <m/>
    <s v="N° 142-22"/>
    <s v="OCTAVIO MUÑOZ"/>
    <s v="ALEJANDRO SALAS"/>
    <s v=" "/>
    <s v="Producto quimico"/>
    <s v="Ojos"/>
    <s v="Conjuntivitis"/>
    <s v="Contacto con sustancias corrosivas"/>
    <s v="SUFRE SALPICADURA DE LIQUIDO (BIO-REMOVE) EN OJO IZQUIERDO AL VACIAR DETERGENTE EN EL ESTANQUE DE MAQUINA EN MAQUINA INYECTORA (ISHIDA)"/>
    <s v="ACCION"/>
    <s v="SI"/>
    <s v="SI"/>
    <s v="NICOLAS GOMEZ"/>
    <s v="Michelle Sanchez "/>
  </r>
  <r>
    <n v="2022"/>
    <x v="12"/>
    <s v="EL PAICO"/>
    <s v="VIDAL VERA"/>
    <s v="ALEXANDRA"/>
    <s v="FEMENINO"/>
    <s v="20137738-2"/>
    <d v="2021-06-17T00:00:00"/>
    <n v="18"/>
    <d v="2022-12-28T00:00:00"/>
    <s v="NUEVO"/>
    <m/>
    <m/>
    <m/>
    <s v=" "/>
    <s v="STP"/>
    <m/>
    <m/>
    <m/>
    <s v="CAMARA 208"/>
    <s v="OPERARIO"/>
    <s v="CAMARA 208"/>
    <s v="N/A"/>
    <s v="TARDE"/>
    <d v="1899-12-30T22:00:00"/>
    <s v="MIERCOLES"/>
    <s v="SEMANA 52"/>
    <m/>
    <m/>
    <s v="LUIS ESPEJO"/>
    <s v=" "/>
    <s v=" "/>
    <s v="Otros"/>
    <s v="Brazo"/>
    <s v="Otros"/>
    <s v="Sobreesfuerzo"/>
    <s v="trabajadora presenta dolencia en brazo derecho al tirar etiquetas en camara 208"/>
    <s v="ACCION"/>
    <s v="SI"/>
    <s v="NO"/>
    <s v="NICOLAS GOMEZ"/>
    <s v="WLADIMIR CALDERON"/>
  </r>
  <r>
    <n v="2022"/>
    <x v="12"/>
    <s v="EL PAICO"/>
    <s v="TRUJILLO VELOZO"/>
    <s v="ARIEL "/>
    <s v="MASCULINO"/>
    <s v="19067846-6"/>
    <d v="2022-06-22T00:00:00"/>
    <n v="6"/>
    <d v="2022-12-28T00:00:00"/>
    <s v="NUEVO"/>
    <m/>
    <m/>
    <m/>
    <s v=" "/>
    <s v="STP"/>
    <m/>
    <m/>
    <s v="SUMINISTRO"/>
    <s v="SUMINISTROS"/>
    <s v="TECNICO PREVENTIVO"/>
    <s v="ESTACIONAMIENTO"/>
    <s v="N/A"/>
    <s v="MAÑANA "/>
    <d v="1899-12-30T06:45:00"/>
    <s v="MIERCOLES "/>
    <s v="SEMANA 52"/>
    <m/>
    <m/>
    <s v="VICTOR GOMEZ"/>
    <s v="ANDRES MELILLAN "/>
    <n v="27"/>
    <s v="Otros"/>
    <s v="Pierna"/>
    <s v="Torsión"/>
    <s v="Otros"/>
    <s v="TRABAJADOR REFIERE DOLENCIA EN RODILLA DERECHA POR TORSION AL PISAR TIERRA SUELTA EN ESTACIONAMIENTO AL SACAR MOCHILA DE SU AUTO "/>
    <s v="ACCION"/>
    <s v="SI"/>
    <s v="NO"/>
    <s v="ALAN CARRASCO"/>
    <s v="WLADIMIR CALDERON"/>
  </r>
  <r>
    <n v="2022"/>
    <x v="12"/>
    <s v="EL PAICO"/>
    <s v="PLAZA PERES"/>
    <s v="MIGUEL"/>
    <s v="MASCULINO"/>
    <s v="20137087-6"/>
    <d v="2022-11-29T00:00:00"/>
    <n v="0"/>
    <d v="2022-12-28T00:00:00"/>
    <s v="NUEVO"/>
    <m/>
    <m/>
    <m/>
    <s v=" "/>
    <s v="STP"/>
    <m/>
    <m/>
    <s v="TROZADO DE POLLO"/>
    <s v="T. AUTOMATICO"/>
    <s v="OPERARIO"/>
    <s v="T. AUTOMATICO"/>
    <s v="CUCHILLO"/>
    <s v="TARDE"/>
    <d v="1899-12-30T00:05:00"/>
    <s v="JUEVES"/>
    <s v="SEMANA 52"/>
    <m/>
    <m/>
    <s v="DANIEL GARRIDO"/>
    <s v="ARNALDO VERA"/>
    <s v=" "/>
    <s v="Cuchillo"/>
    <s v="Manos / dedos"/>
    <s v="Herida cortante"/>
    <s v="Contacto con cuerpo cortante"/>
    <s v="Refiere   que al estar sacando pollos de un bins un compañero introduce un cuchillo al bins provocando una herida en su dedo índice superior izquierdo"/>
    <s v="ACCION"/>
    <s v="SI"/>
    <s v="NO"/>
    <s v="NICOLAS GOMEZ"/>
    <s v="WLADIMIR CALDERON"/>
  </r>
  <r>
    <n v="2022"/>
    <x v="12"/>
    <s v="EL PAICO"/>
    <s v="HENRIQUEZ VARGAS "/>
    <s v="FERNANDO "/>
    <s v="MASCULINO"/>
    <s v="18538961-8 "/>
    <d v="2022-11-04T00:00:00"/>
    <n v="1"/>
    <d v="2022-12-29T00:00:00"/>
    <s v="NUEVO"/>
    <m/>
    <m/>
    <m/>
    <s v=" "/>
    <s v="STP"/>
    <n v="0"/>
    <m/>
    <s v="MANTENCION"/>
    <s v="TRAYECTO"/>
    <s v="OPERADOR "/>
    <s v="TRAYECTO"/>
    <s v="TRAYECTO"/>
    <s v="NOCHE"/>
    <d v="1899-12-30T01:00:00"/>
    <s v="VIERNES"/>
    <s v="SEMANA 52"/>
    <m/>
    <m/>
    <s v="VICTOR GOMEZ"/>
    <s v="VICTOR GOMEZ"/>
    <n v="29"/>
    <s v="Otros"/>
    <s v="Otro"/>
    <s v="Contusión"/>
    <s v="Otros"/>
    <s v="sufre accidente trayecto el día 29/12/2022 a las 01:00 al llegar a su domicilio se cae de motocicleta."/>
    <s v="ACCION"/>
    <s v="NO"/>
    <s v="NO"/>
    <s v="ALAN CARRASCO"/>
    <s v="CRISTIAN JHON"/>
  </r>
  <r>
    <n v="2022"/>
    <x v="12"/>
    <s v="EL PAICO"/>
    <s v=" ESPINOZA MAHULEN "/>
    <s v=" CRISTIAN "/>
    <s v="MASCULINO"/>
    <s v="19847866-0 "/>
    <d v="2018-07-17T00:00:00"/>
    <n v="53"/>
    <d v="2022-12-30T00:00:00"/>
    <s v="ANTIGUO"/>
    <d v="2022-12-30T00:00:00"/>
    <m/>
    <d v="2023-01-25T00:00:00"/>
    <n v="46"/>
    <s v="CTP"/>
    <s v="LGF"/>
    <s v="LGF 7"/>
    <s v="FAENACION"/>
    <s v="RECPCION DE POLLO"/>
    <s v="OPERADOR "/>
    <s v="RECEPCION AVE VIVA"/>
    <s v="VENTILADOR "/>
    <s v="MAÑANA"/>
    <d v="1899-12-30T09:30:00"/>
    <s v="VIERNES"/>
    <s v="SEMANA 52"/>
    <m/>
    <s v="NC 143-22"/>
    <s v="NICOLAS MOYANO"/>
    <s v="ANTONIO RIVAS"/>
    <n v="25"/>
    <s v="Equipo electricos"/>
    <s v="Manos / dedos"/>
    <s v="Herida cortante"/>
    <s v="Contacto con cuerpo cortante"/>
    <s v="TRABAJDOR AL APOYARSE EN REJILLA DEL VENTILADOR, SE LE VA LA MANO HACIA LAS ASPAS VENTILADOR, PRODUCIENDOLE UNA HERIDA CORTANTE EN DEDO INDICE DE MANO DERECHA Y FRACTURA EN DEDO MEDIO "/>
    <s v="ACCION"/>
    <s v="SI"/>
    <s v="SI"/>
    <s v="ALAN CARRASCO"/>
    <s v="CRISTIAN JH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4889BE-F3BF-4EF4-9FEF-00E790749EE6}" name="TablaDinámica1"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B8" firstHeaderRow="1" firstDataRow="1" firstDataCol="1" rowPageCount="1" colPageCount="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5">
        <item x="3"/>
        <item x="1"/>
        <item x="0"/>
        <item x="2"/>
        <item t="default"/>
      </items>
    </pivotField>
    <pivotField showAll="0"/>
    <pivotField showAll="0"/>
    <pivotField axis="axisRow" dataField="1" showAll="0">
      <items count="10">
        <item x="1"/>
        <item x="6"/>
        <item x="4"/>
        <item x="5"/>
        <item x="7"/>
        <item x="0"/>
        <item x="3"/>
        <item x="2"/>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5">
    <i>
      <x/>
    </i>
    <i>
      <x v="2"/>
    </i>
    <i>
      <x v="4"/>
    </i>
    <i>
      <x v="5"/>
    </i>
    <i t="grand">
      <x/>
    </i>
  </rowItems>
  <colItems count="1">
    <i/>
  </colItems>
  <pageFields count="1">
    <pageField fld="15" item="1" hier="-1"/>
  </pageFields>
  <dataFields count="1">
    <dataField name="Cuenta de AREA"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A3B54B-F3AB-457D-86D1-704CB8513DDA}" name="TablaDinámica8"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D31:E34"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h="1" x="3"/>
        <item x="1"/>
        <item x="0"/>
        <item h="1" x="2"/>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3">
    <i>
      <x v="1"/>
    </i>
    <i>
      <x v="2"/>
    </i>
    <i t="grand">
      <x/>
    </i>
  </rowItems>
  <colItems count="1">
    <i/>
  </colItems>
  <dataFields count="1">
    <dataField name="Cuenta de AREA"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05F708-8F06-4378-9379-C2C6A9C0EBEA}" name="TablaDinámica4"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5:B39" firstHeaderRow="1" firstDataRow="1" firstDataCol="1"/>
  <pivotFields count="42">
    <pivotField showAll="0"/>
    <pivotField showAll="0"/>
    <pivotField showAll="0"/>
    <pivotField showAll="0"/>
    <pivotField showAll="0"/>
    <pivotField showAll="0"/>
    <pivotField showAll="0"/>
    <pivotField showAll="0"/>
    <pivotField showAll="0"/>
    <pivotField showAll="0"/>
    <pivotField axis="axisRow" showAll="0">
      <items count="5">
        <item x="0"/>
        <item x="2"/>
        <item x="1"/>
        <item h="1" x="3"/>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uenta de AREA"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1BF8F1-3FF1-4E62-828A-E572C3D8E171}" name="TablaDinámica17"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J10:K14" firstHeaderRow="1" firstDataRow="1" firstDataCol="1" rowPageCount="1" colPageCount="1"/>
  <pivotFields count="42">
    <pivotField showAll="0"/>
    <pivotField showAll="0"/>
    <pivotField showAll="0"/>
    <pivotField showAll="0"/>
    <pivotField showAll="0"/>
    <pivotField showAll="0"/>
    <pivotField showAll="0"/>
    <pivotField showAll="0"/>
    <pivotField showAll="0"/>
    <pivotField showAll="0"/>
    <pivotField axis="axisRow" showAll="0">
      <items count="5">
        <item x="0"/>
        <item x="2"/>
        <item x="1"/>
        <item h="1" x="3"/>
        <item t="default"/>
      </items>
    </pivotField>
    <pivotField showAll="0"/>
    <pivotField showAll="0"/>
    <pivotField showAll="0"/>
    <pivotField showAll="0"/>
    <pivotField axis="axisPage" dataField="1"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pageFields count="1">
    <pageField fld="15" item="1" hier="-1"/>
  </pageFields>
  <dataFields count="1">
    <dataField name="Cuenta de CLASIF ACC"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DF51FB-F548-422A-B0A3-95FDF4151EBA}" name="TablaDinámica12"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G19:H22"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4">
        <item h="1" x="2"/>
        <item x="1"/>
        <item x="0"/>
        <item t="default"/>
      </items>
    </pivotField>
    <pivotField showAll="0"/>
    <pivotField showAll="0"/>
    <pivotField showAll="0"/>
    <pivotField showAll="0"/>
  </pivotFields>
  <rowFields count="1">
    <field x="37"/>
  </rowFields>
  <rowItems count="3">
    <i>
      <x v="1"/>
    </i>
    <i>
      <x v="2"/>
    </i>
    <i t="grand">
      <x/>
    </i>
  </rowItems>
  <colItems count="1">
    <i/>
  </colItems>
  <dataFields count="1">
    <dataField name="Cuenta de TIPO ACCIDENTE"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748F2A5-53F6-4C34-8278-BACEF943DDD3}" name="TablaDinámica14"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G35:H38" firstHeaderRow="1" firstDataRow="1" firstDataCol="1" rowPageCount="1" colPageCount="1"/>
  <pivotFields count="42">
    <pivotField showAll="0"/>
    <pivotField axis="axisRow"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1"/>
  </rowFields>
  <rowItems count="3">
    <i>
      <x/>
    </i>
    <i>
      <x v="2"/>
    </i>
    <i t="grand">
      <x/>
    </i>
  </rowItems>
  <colItems count="1">
    <i/>
  </colItems>
  <pageFields count="1">
    <pageField fld="15" item="1" hier="-1"/>
  </pageFields>
  <dataFields count="1">
    <dataField name="Cuenta de TIPO ACCIDENTE"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44F7CC-3A60-4D13-BB44-D295AA1354E7}" name="TablaDinámica18"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J20:K23" firstHeaderRow="1" firstDataRow="1" firstDataCol="1" rowPageCount="2" colPageCount="1"/>
  <pivotFields count="42">
    <pivotField showAll="0"/>
    <pivotField showAll="0"/>
    <pivotField showAll="0"/>
    <pivotField showAll="0"/>
    <pivotField showAll="0"/>
    <pivotField showAll="0"/>
    <pivotField showAll="0"/>
    <pivotField showAll="0"/>
    <pivotField showAll="0"/>
    <pivotField showAll="0"/>
    <pivotField axis="axisRow" showAll="0">
      <items count="5">
        <item x="0"/>
        <item x="2"/>
        <item x="1"/>
        <item h="1" x="3"/>
        <item t="default"/>
      </items>
    </pivotField>
    <pivotField showAll="0"/>
    <pivotField showAll="0"/>
    <pivotField showAll="0"/>
    <pivotField showAll="0"/>
    <pivotField axis="axisPage" dataField="1"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4">
        <item x="2"/>
        <item x="0"/>
        <item x="1"/>
        <item t="default"/>
      </items>
    </pivotField>
    <pivotField showAll="0"/>
    <pivotField showAll="0"/>
  </pivotFields>
  <rowFields count="1">
    <field x="10"/>
  </rowFields>
  <rowItems count="3">
    <i>
      <x/>
    </i>
    <i>
      <x v="2"/>
    </i>
    <i t="grand">
      <x/>
    </i>
  </rowItems>
  <colItems count="1">
    <i/>
  </colItems>
  <pageFields count="2">
    <pageField fld="39" item="2" hier="-1"/>
    <pageField fld="15" item="2" hier="-1"/>
  </pageFields>
  <dataFields count="1">
    <dataField name="Cuenta de CLASIF ACC"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76CFF18-8F2F-4DDC-A56B-41331C83CEA0}" name="TablaDinámica9" cacheId="24"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D38:E40"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h="1" x="1"/>
        <item h="1" x="6"/>
        <item h="1" x="4"/>
        <item h="1" x="5"/>
        <item h="1" x="7"/>
        <item x="0"/>
        <item h="1" x="3"/>
        <item h="1" x="2"/>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2">
    <i>
      <x v="5"/>
    </i>
    <i t="grand">
      <x/>
    </i>
  </rowItems>
  <colItems count="1">
    <i/>
  </colItems>
  <dataFields count="1">
    <dataField name="Cuenta de AREA"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DD4B5DC-7F4D-4241-98B1-A8D94F3C8D84}" name="TablaDinámica15"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G44:H53"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10">
        <item x="1"/>
        <item x="6"/>
        <item x="4"/>
        <item x="5"/>
        <item x="7"/>
        <item x="0"/>
        <item x="3"/>
        <item x="2"/>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9">
    <i>
      <x/>
    </i>
    <i>
      <x v="1"/>
    </i>
    <i>
      <x v="2"/>
    </i>
    <i>
      <x v="3"/>
    </i>
    <i>
      <x v="4"/>
    </i>
    <i>
      <x v="5"/>
    </i>
    <i>
      <x v="6"/>
    </i>
    <i>
      <x v="7"/>
    </i>
    <i t="grand">
      <x/>
    </i>
  </rowItems>
  <colItems count="1">
    <i/>
  </colItems>
  <dataFields count="1">
    <dataField name="CLASIFICACION LGF."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E8CBD36-0D56-4071-8FF0-20C26B3F4909}" name="TablaDinámica7"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D12:E27"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6">
        <item x="10"/>
        <item x="11"/>
        <item x="6"/>
        <item x="4"/>
        <item x="2"/>
        <item x="13"/>
        <item x="12"/>
        <item x="3"/>
        <item x="7"/>
        <item x="5"/>
        <item x="8"/>
        <item x="9"/>
        <item x="1"/>
        <item x="0"/>
        <item h="1" x="14"/>
        <item t="default"/>
      </items>
    </pivotField>
    <pivotField showAll="0"/>
    <pivotField showAll="0"/>
    <pivotField showAll="0"/>
    <pivotField showAll="0"/>
    <pivotField showAll="0"/>
    <pivotField showAll="0"/>
    <pivotField showAll="0"/>
    <pivotField showAll="0"/>
    <pivotField showAll="0"/>
  </pivotFields>
  <rowFields count="1">
    <field x="32"/>
  </rowFields>
  <rowItems count="15">
    <i>
      <x/>
    </i>
    <i>
      <x v="1"/>
    </i>
    <i>
      <x v="2"/>
    </i>
    <i>
      <x v="3"/>
    </i>
    <i>
      <x v="4"/>
    </i>
    <i>
      <x v="5"/>
    </i>
    <i>
      <x v="6"/>
    </i>
    <i>
      <x v="7"/>
    </i>
    <i>
      <x v="8"/>
    </i>
    <i>
      <x v="9"/>
    </i>
    <i>
      <x v="10"/>
    </i>
    <i>
      <x v="11"/>
    </i>
    <i>
      <x v="12"/>
    </i>
    <i>
      <x v="13"/>
    </i>
    <i t="grand">
      <x/>
    </i>
  </rowItems>
  <colItems count="1">
    <i/>
  </colItems>
  <dataFields count="1">
    <dataField name="Cuenta de AGENTE ACC" fld="3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3CFF5A-E063-49AF-BDA8-82C525422AAE}" name="TablaDinámica3"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26:B33"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8">
        <item x="0"/>
        <item x="1"/>
        <item x="2"/>
        <item x="4"/>
        <item x="5"/>
        <item x="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7">
    <i>
      <x/>
    </i>
    <i>
      <x v="1"/>
    </i>
    <i>
      <x v="2"/>
    </i>
    <i>
      <x v="3"/>
    </i>
    <i>
      <x v="4"/>
    </i>
    <i>
      <x v="5"/>
    </i>
    <i t="grand">
      <x/>
    </i>
  </rowItems>
  <colItems count="1">
    <i/>
  </colItems>
  <dataFields count="1">
    <dataField name="Cuenta de AREA"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D89F3CD-1DE6-4057-8C00-648FD319F213}" name="TablaDinámica10"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G1:H5" firstHeaderRow="1" firstDataRow="1" firstDataCol="1"/>
  <pivotFields count="42">
    <pivotField showAll="0"/>
    <pivotField axis="axisRow"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1"/>
  </rowFields>
  <rowItems count="4">
    <i>
      <x/>
    </i>
    <i>
      <x v="1"/>
    </i>
    <i>
      <x v="2"/>
    </i>
    <i t="grand">
      <x/>
    </i>
  </rowItems>
  <colItems count="1">
    <i/>
  </colItems>
  <dataFields count="1">
    <dataField name="Cuenta de TIPO ACCIDENTE"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DE5262B-FD2D-47A7-850F-8902D174BF07}" name="TablaDinámica2"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11:B23"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h="1" x="11"/>
        <item x="6"/>
        <item x="5"/>
        <item x="0"/>
        <item x="3"/>
        <item x="2"/>
        <item x="9"/>
        <item x="10"/>
        <item x="4"/>
        <item x="8"/>
        <item x="1"/>
        <item x="7"/>
        <item t="default"/>
      </items>
    </pivotField>
    <pivotField showAll="0"/>
    <pivotField showAll="0"/>
    <pivotField showAll="0"/>
    <pivotField showAll="0"/>
    <pivotField showAll="0"/>
    <pivotField showAll="0"/>
  </pivotFields>
  <rowFields count="1">
    <field x="35"/>
  </rowFields>
  <rowItems count="12">
    <i>
      <x v="1"/>
    </i>
    <i>
      <x v="2"/>
    </i>
    <i>
      <x v="3"/>
    </i>
    <i>
      <x v="4"/>
    </i>
    <i>
      <x v="5"/>
    </i>
    <i>
      <x v="6"/>
    </i>
    <i>
      <x v="7"/>
    </i>
    <i>
      <x v="8"/>
    </i>
    <i>
      <x v="9"/>
    </i>
    <i>
      <x v="10"/>
    </i>
    <i>
      <x v="11"/>
    </i>
    <i t="grand">
      <x/>
    </i>
  </rowItems>
  <colItems count="1">
    <i/>
  </colItems>
  <dataFields count="1">
    <dataField name="Cuenta de TIPO ACCIDENTE"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1347A2F-EBFE-4855-A7CA-D484DF1A5D94}" name="TablaDinámica11"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G13:H16" firstHeaderRow="1" firstDataRow="1" firstDataCol="1"/>
  <pivotFields count="42">
    <pivotField showAll="0"/>
    <pivotField showAll="0"/>
    <pivotField showAll="0"/>
    <pivotField showAll="0"/>
    <pivotField showAll="0"/>
    <pivotField axis="axisRow" showAll="0">
      <items count="4">
        <item h="1"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5"/>
  </rowFields>
  <rowItems count="3">
    <i>
      <x v="1"/>
    </i>
    <i>
      <x v="2"/>
    </i>
    <i t="grand">
      <x/>
    </i>
  </rowItems>
  <colItems count="1">
    <i/>
  </colItems>
  <dataFields count="1">
    <dataField name="Cuenta de TIPO ACCIDENTE"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3952683-3E1A-4885-902B-9350058A028D}" name="TablaDinámica16"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J1:K3"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17"/>
  </rowFields>
  <rowItems count="2">
    <i>
      <x/>
    </i>
    <i t="grand">
      <x/>
    </i>
  </rowItems>
  <colItems count="1">
    <i/>
  </colItems>
  <dataFields count="1">
    <dataField name="Cuenta de TIPO ACCIDENTE"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7458D89-89C9-4125-8027-46FFF1F7FA21}" name="TablaDinámica13"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G26:H30"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23"/>
  </rowFields>
  <rowItems count="4">
    <i>
      <x/>
    </i>
    <i>
      <x v="1"/>
    </i>
    <i>
      <x v="2"/>
    </i>
    <i t="grand">
      <x/>
    </i>
  </rowItems>
  <colItems count="1">
    <i/>
  </colItems>
  <dataFields count="1">
    <dataField name="Cuenta de TIPO ACCIDENTE"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E5459AF-DB21-4128-9B75-0369A3B59283}" name="TablaDinámica6"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51:B59"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7"/>
        <item sd="0" x="2"/>
        <item sd="0" x="1"/>
        <item sd="0" x="4"/>
        <item sd="0" x="0"/>
        <item sd="0" x="3"/>
        <item sd="0" x="5"/>
        <item sd="0" x="6"/>
        <item t="default"/>
      </items>
    </pivotField>
    <pivotField showAll="0"/>
    <pivotField axis="axisRow" dataField="1" showAll="0">
      <items count="13">
        <item h="1" x="11"/>
        <item x="6"/>
        <item x="5"/>
        <item x="0"/>
        <item x="3"/>
        <item x="2"/>
        <item x="9"/>
        <item x="10"/>
        <item x="4"/>
        <item x="8"/>
        <item x="1"/>
        <item x="7"/>
        <item t="default"/>
      </items>
    </pivotField>
    <pivotField showAll="0"/>
    <pivotField showAll="0"/>
    <pivotField showAll="0"/>
    <pivotField showAll="0"/>
    <pivotField showAll="0"/>
    <pivotField showAll="0"/>
  </pivotFields>
  <rowFields count="2">
    <field x="33"/>
    <field x="35"/>
  </rowFields>
  <rowItems count="8">
    <i>
      <x v="1"/>
    </i>
    <i>
      <x v="2"/>
    </i>
    <i>
      <x v="3"/>
    </i>
    <i>
      <x v="4"/>
    </i>
    <i>
      <x v="5"/>
    </i>
    <i>
      <x v="6"/>
    </i>
    <i>
      <x v="7"/>
    </i>
    <i t="grand">
      <x/>
    </i>
  </rowItems>
  <colItems count="1">
    <i/>
  </colItems>
  <dataFields count="1">
    <dataField name="Cuenta de TIPO ACCIDENTE" fld="3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26A2AF-B345-4FEC-9BD5-9C0A4DABAE07}" name="TablaDinámica5"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42:B45"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h="1" x="2"/>
        <item x="1"/>
        <item x="0"/>
        <item t="default"/>
      </items>
    </pivotField>
    <pivotField showAll="0"/>
    <pivotField showAll="0"/>
    <pivotField showAll="0"/>
  </pivotFields>
  <rowFields count="1">
    <field x="38"/>
  </rowFields>
  <rowItems count="3">
    <i>
      <x v="1"/>
    </i>
    <i>
      <x v="2"/>
    </i>
    <i t="grand">
      <x/>
    </i>
  </rowItems>
  <colItems count="1">
    <i/>
  </colItems>
  <dataFields count="1">
    <dataField name="Cuenta de AREA"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E13B850-9707-401B-83BE-89C2BE1D130F}" name="TablaDinámica19" cacheId="24"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B8" firstHeaderRow="1" firstDataRow="1" firstDataCol="1" rowPageCount="1" colPageCount="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sd="0" x="1"/>
        <item sd="0" x="0"/>
        <item x="2"/>
        <item t="default"/>
      </items>
    </pivotField>
    <pivotField showAll="0"/>
    <pivotField showAll="0"/>
    <pivotField axis="axisRow" dataField="1" showAll="0">
      <items count="10">
        <item sd="0" x="1"/>
        <item sd="0" x="6"/>
        <item sd="0" x="4"/>
        <item sd="0" x="5"/>
        <item sd="0" x="7"/>
        <item sd="0" x="0"/>
        <item sd="0" x="3"/>
        <item sd="0" x="2"/>
        <item h="1" x="8"/>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24">
        <item x="22"/>
        <item x="18"/>
        <item x="16"/>
        <item x="13"/>
        <item x="6"/>
        <item x="10"/>
        <item x="2"/>
        <item x="9"/>
        <item x="19"/>
        <item x="12"/>
        <item x="11"/>
        <item x="14"/>
        <item x="4"/>
        <item x="5"/>
        <item x="15"/>
        <item x="8"/>
        <item x="20"/>
        <item x="3"/>
        <item x="7"/>
        <item x="1"/>
        <item x="17"/>
        <item x="0"/>
        <item x="21"/>
        <item t="default"/>
      </items>
    </pivotField>
    <pivotField showAll="0"/>
    <pivotField showAll="0"/>
    <pivotField showAll="0"/>
    <pivotField showAll="0"/>
    <pivotField showAll="0"/>
    <pivotField showAll="0"/>
    <pivotField showAll="0"/>
    <pivotField showAll="0"/>
    <pivotField axis="axisPage" showAll="0">
      <items count="4">
        <item x="2"/>
        <item x="0"/>
        <item x="1"/>
        <item t="default"/>
      </items>
    </pivotField>
    <pivotField showAll="0"/>
    <pivotField showAll="0"/>
  </pivotFields>
  <rowFields count="3">
    <field x="15"/>
    <field x="18"/>
    <field x="30"/>
  </rowFields>
  <rowItems count="5">
    <i>
      <x v="1"/>
    </i>
    <i>
      <x v="2"/>
    </i>
    <i>
      <x v="3"/>
    </i>
    <i r="1">
      <x v="2"/>
    </i>
    <i t="grand">
      <x/>
    </i>
  </rowItems>
  <colItems count="1">
    <i/>
  </colItems>
  <pageFields count="1">
    <pageField fld="39" item="2" hier="-1"/>
  </pageFields>
  <dataFields count="1">
    <dataField name="Cuenta de AREA"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A01B7CE-A193-47CA-8D5F-8D5E8BD9D78F}" name="TablaDinámica3" cacheId="3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2:B26" firstHeaderRow="1" firstDataRow="1" firstDataCol="1"/>
  <pivotFields count="42">
    <pivotField showAll="0"/>
    <pivotField axis="axisRow" dataField="1" showAll="0" sortType="ascending">
      <items count="14">
        <item x="1"/>
        <item x="2"/>
        <item x="3"/>
        <item x="5"/>
        <item x="0"/>
        <item x="6"/>
        <item x="7"/>
        <item x="8"/>
        <item x="9"/>
        <item x="10"/>
        <item x="12"/>
        <item x="4"/>
        <item x="11"/>
        <item t="default"/>
      </items>
    </pivotField>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4">
    <i>
      <x/>
    </i>
    <i>
      <x v="1"/>
    </i>
    <i>
      <x v="2"/>
    </i>
    <i>
      <x v="3"/>
    </i>
    <i>
      <x v="4"/>
    </i>
    <i>
      <x v="5"/>
    </i>
    <i>
      <x v="6"/>
    </i>
    <i>
      <x v="7"/>
    </i>
    <i>
      <x v="8"/>
    </i>
    <i>
      <x v="9"/>
    </i>
    <i>
      <x v="10"/>
    </i>
    <i>
      <x v="11"/>
    </i>
    <i>
      <x v="12"/>
    </i>
    <i t="grand">
      <x/>
    </i>
  </rowItems>
  <colItems count="1">
    <i/>
  </colItems>
  <dataFields count="1">
    <dataField name="Cuenta de ME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6B95FD-0B17-4A0E-A986-0999C21A5554}" name="Tabla dinámica1" cacheId="25"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4:B17" firstHeaderRow="1" firstDataRow="1" firstDataCol="1" rowPageCount="2" colPageCount="1"/>
  <pivotFields count="42">
    <pivotField axis="axisPage" compact="0" outline="0" showAll="0">
      <items count="4">
        <item x="0"/>
        <item h="1" x="2"/>
        <item h="1"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2">
        <item h="1" x="9"/>
        <item h="1" x="8"/>
        <item h="1" x="1"/>
        <item h="1" x="6"/>
        <item h="1" x="4"/>
        <item h="1" x="5"/>
        <item h="1" x="7"/>
        <item h="1" x="0"/>
        <item h="1" x="3"/>
        <item x="2"/>
        <item h="1" x="10"/>
        <item t="default"/>
      </items>
    </pivotField>
    <pivotField compact="0" outline="0" showAll="0"/>
    <pivotField compact="0" outline="0" showAll="0"/>
    <pivotField compact="0" outline="0" showAll="0">
      <items count="56">
        <item x="11"/>
        <item x="49"/>
        <item x="40"/>
        <item x="4"/>
        <item x="0"/>
        <item x="19"/>
        <item x="34"/>
        <item x="29"/>
        <item x="12"/>
        <item x="38"/>
        <item x="39"/>
        <item x="51"/>
        <item x="3"/>
        <item x="22"/>
        <item x="16"/>
        <item x="42"/>
        <item x="27"/>
        <item x="2"/>
        <item x="31"/>
        <item x="21"/>
        <item x="46"/>
        <item x="52"/>
        <item x="18"/>
        <item x="43"/>
        <item x="48"/>
        <item x="7"/>
        <item x="13"/>
        <item x="54"/>
        <item x="5"/>
        <item x="32"/>
        <item x="8"/>
        <item x="28"/>
        <item x="37"/>
        <item x="53"/>
        <item x="41"/>
        <item x="36"/>
        <item x="33"/>
        <item x="23"/>
        <item x="24"/>
        <item x="17"/>
        <item x="15"/>
        <item x="14"/>
        <item x="26"/>
        <item x="30"/>
        <item x="47"/>
        <item x="1"/>
        <item x="10"/>
        <item x="44"/>
        <item x="35"/>
        <item x="9"/>
        <item x="50"/>
        <item x="45"/>
        <item x="20"/>
        <item x="25"/>
        <item x="6"/>
        <item t="default"/>
      </items>
    </pivotField>
    <pivotField compact="0" outline="0" showAll="0">
      <items count="7">
        <item x="2"/>
        <item x="1"/>
        <item x="4"/>
        <item x="0"/>
        <item x="5"/>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7">
        <item x="10"/>
        <item x="11"/>
        <item x="6"/>
        <item x="4"/>
        <item x="2"/>
        <item x="13"/>
        <item x="12"/>
        <item x="3"/>
        <item x="7"/>
        <item x="5"/>
        <item x="8"/>
        <item x="14"/>
        <item x="9"/>
        <item x="1"/>
        <item x="0"/>
        <item x="15"/>
        <item t="default"/>
      </items>
    </pivotField>
    <pivotField axis="axisRow" dataField="1" compact="0" outline="0" showAll="0">
      <items count="15">
        <item x="12"/>
        <item x="6"/>
        <item x="9"/>
        <item x="8"/>
        <item x="2"/>
        <item x="11"/>
        <item x="1"/>
        <item x="10"/>
        <item x="7"/>
        <item x="4"/>
        <item x="0"/>
        <item x="3"/>
        <item x="5"/>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3"/>
  </rowFields>
  <rowItems count="13">
    <i>
      <x v="1"/>
    </i>
    <i>
      <x v="2"/>
    </i>
    <i>
      <x v="3"/>
    </i>
    <i>
      <x v="4"/>
    </i>
    <i>
      <x v="5"/>
    </i>
    <i>
      <x v="6"/>
    </i>
    <i>
      <x v="7"/>
    </i>
    <i>
      <x v="8"/>
    </i>
    <i>
      <x v="9"/>
    </i>
    <i>
      <x v="10"/>
    </i>
    <i>
      <x v="11"/>
    </i>
    <i>
      <x v="12"/>
    </i>
    <i t="grand">
      <x/>
    </i>
  </rowItems>
  <colItems count="1">
    <i/>
  </colItems>
  <pageFields count="2">
    <pageField fld="0" item="0" hier="-1"/>
    <pageField fld="18" hier="-1"/>
  </pageFields>
  <dataFields count="1">
    <dataField name="Cuenta de PARTE AFECTADA" fld="3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8B50047-A651-4FC3-B3BD-F72439681FAF}" name="TablaDinámica2" cacheId="25"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40:B45" firstHeaderRow="1" firstDataRow="1" firstDataCol="1" rowPageCount="2" colPageCount="1"/>
  <pivotFields count="42">
    <pivotField axis="axisPage" compact="0" outline="0" showAll="0">
      <items count="4">
        <item x="0"/>
        <item h="1" x="2"/>
        <item h="1"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2">
        <item h="1" x="9"/>
        <item h="1" x="8"/>
        <item x="1"/>
        <item h="1" x="6"/>
        <item h="1" x="4"/>
        <item h="1" x="5"/>
        <item h="1" x="7"/>
        <item h="1" x="0"/>
        <item h="1" x="3"/>
        <item h="1" x="2"/>
        <item h="1" x="10"/>
        <item t="default"/>
      </items>
    </pivotField>
    <pivotField compact="0" outline="0" showAll="0"/>
    <pivotField compact="0" outline="0" showAll="0"/>
    <pivotField compact="0" outline="0" showAll="0">
      <items count="56">
        <item x="11"/>
        <item x="49"/>
        <item x="40"/>
        <item x="4"/>
        <item x="0"/>
        <item x="19"/>
        <item x="34"/>
        <item x="29"/>
        <item x="12"/>
        <item x="38"/>
        <item x="39"/>
        <item x="51"/>
        <item x="3"/>
        <item x="22"/>
        <item x="16"/>
        <item x="42"/>
        <item x="27"/>
        <item x="2"/>
        <item x="31"/>
        <item x="21"/>
        <item x="46"/>
        <item x="52"/>
        <item x="18"/>
        <item x="43"/>
        <item x="48"/>
        <item x="7"/>
        <item x="13"/>
        <item x="54"/>
        <item x="5"/>
        <item x="32"/>
        <item x="8"/>
        <item x="28"/>
        <item x="37"/>
        <item x="53"/>
        <item x="41"/>
        <item x="36"/>
        <item x="33"/>
        <item x="23"/>
        <item x="24"/>
        <item x="17"/>
        <item x="15"/>
        <item x="14"/>
        <item x="26"/>
        <item x="30"/>
        <item x="47"/>
        <item x="1"/>
        <item x="10"/>
        <item x="44"/>
        <item x="35"/>
        <item x="9"/>
        <item x="50"/>
        <item x="45"/>
        <item x="20"/>
        <item x="25"/>
        <item x="6"/>
        <item t="default"/>
      </items>
    </pivotField>
    <pivotField compact="0" outline="0" showAll="0">
      <items count="7">
        <item x="2"/>
        <item x="1"/>
        <item x="4"/>
        <item x="0"/>
        <item x="5"/>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7">
        <item x="10"/>
        <item x="11"/>
        <item x="6"/>
        <item x="4"/>
        <item x="2"/>
        <item x="13"/>
        <item x="12"/>
        <item x="3"/>
        <item x="7"/>
        <item x="5"/>
        <item x="8"/>
        <item x="14"/>
        <item x="9"/>
        <item x="1"/>
        <item x="0"/>
        <item x="15"/>
        <item t="default"/>
      </items>
    </pivotField>
    <pivotField axis="axisRow" dataField="1" compact="0" outline="0" showAll="0">
      <items count="15">
        <item x="12"/>
        <item x="6"/>
        <item x="9"/>
        <item x="8"/>
        <item x="2"/>
        <item x="11"/>
        <item x="1"/>
        <item x="10"/>
        <item x="7"/>
        <item x="4"/>
        <item x="0"/>
        <item x="3"/>
        <item x="5"/>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3"/>
  </rowFields>
  <rowItems count="5">
    <i>
      <x v="4"/>
    </i>
    <i>
      <x v="6"/>
    </i>
    <i>
      <x v="9"/>
    </i>
    <i>
      <x v="10"/>
    </i>
    <i t="grand">
      <x/>
    </i>
  </rowItems>
  <colItems count="1">
    <i/>
  </colItems>
  <pageFields count="2">
    <pageField fld="0" item="0" hier="-1"/>
    <pageField fld="18" hier="-1"/>
  </pageFields>
  <dataFields count="1">
    <dataField name="Cuenta de PARTE AFECTADA" fld="3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7B0A3B8-C213-4C87-8170-DA302E3D2CF2}" name="TablaDinámica1" cacheId="25"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26:B33" firstHeaderRow="1" firstDataRow="1" firstDataCol="1" rowPageCount="2" colPageCount="1"/>
  <pivotFields count="42">
    <pivotField axis="axisPage" compact="0" outline="0" showAll="0">
      <items count="4">
        <item x="0"/>
        <item h="1" x="2"/>
        <item h="1"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2">
        <item h="1" x="9"/>
        <item h="1" x="8"/>
        <item h="1" x="1"/>
        <item h="1" x="6"/>
        <item h="1" x="4"/>
        <item h="1" x="5"/>
        <item h="1" x="7"/>
        <item x="0"/>
        <item h="1" x="3"/>
        <item h="1" x="2"/>
        <item h="1" x="10"/>
        <item t="default"/>
      </items>
    </pivotField>
    <pivotField compact="0" outline="0" showAll="0"/>
    <pivotField compact="0" outline="0" showAll="0"/>
    <pivotField compact="0" outline="0" showAll="0">
      <items count="56">
        <item x="11"/>
        <item x="49"/>
        <item x="40"/>
        <item x="4"/>
        <item x="0"/>
        <item x="19"/>
        <item x="34"/>
        <item x="29"/>
        <item x="12"/>
        <item x="38"/>
        <item x="39"/>
        <item x="51"/>
        <item x="3"/>
        <item x="22"/>
        <item x="16"/>
        <item x="42"/>
        <item x="27"/>
        <item x="2"/>
        <item x="31"/>
        <item x="21"/>
        <item x="46"/>
        <item x="52"/>
        <item x="18"/>
        <item x="43"/>
        <item x="48"/>
        <item x="7"/>
        <item x="13"/>
        <item x="54"/>
        <item x="5"/>
        <item x="32"/>
        <item x="8"/>
        <item x="28"/>
        <item x="37"/>
        <item x="53"/>
        <item x="41"/>
        <item x="36"/>
        <item x="33"/>
        <item x="23"/>
        <item x="24"/>
        <item x="17"/>
        <item x="15"/>
        <item x="14"/>
        <item x="26"/>
        <item x="30"/>
        <item x="47"/>
        <item x="1"/>
        <item x="10"/>
        <item x="44"/>
        <item x="35"/>
        <item x="9"/>
        <item x="50"/>
        <item x="45"/>
        <item x="20"/>
        <item x="25"/>
        <item x="6"/>
        <item t="default"/>
      </items>
    </pivotField>
    <pivotField compact="0" outline="0" showAll="0">
      <items count="7">
        <item x="2"/>
        <item x="1"/>
        <item x="4"/>
        <item x="0"/>
        <item x="5"/>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7">
        <item x="10"/>
        <item x="11"/>
        <item x="6"/>
        <item x="4"/>
        <item x="2"/>
        <item x="13"/>
        <item x="12"/>
        <item x="3"/>
        <item x="7"/>
        <item x="5"/>
        <item x="8"/>
        <item x="14"/>
        <item x="9"/>
        <item x="1"/>
        <item x="0"/>
        <item x="15"/>
        <item t="default"/>
      </items>
    </pivotField>
    <pivotField axis="axisRow" dataField="1" compact="0" outline="0" showAll="0">
      <items count="15">
        <item x="12"/>
        <item x="6"/>
        <item x="9"/>
        <item x="8"/>
        <item x="2"/>
        <item x="11"/>
        <item x="1"/>
        <item x="10"/>
        <item x="7"/>
        <item x="4"/>
        <item x="0"/>
        <item x="3"/>
        <item x="5"/>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3"/>
  </rowFields>
  <rowItems count="7">
    <i>
      <x v="1"/>
    </i>
    <i>
      <x v="4"/>
    </i>
    <i>
      <x v="6"/>
    </i>
    <i>
      <x v="7"/>
    </i>
    <i>
      <x v="9"/>
    </i>
    <i>
      <x v="10"/>
    </i>
    <i t="grand">
      <x/>
    </i>
  </rowItems>
  <colItems count="1">
    <i/>
  </colItems>
  <pageFields count="2">
    <pageField fld="0" item="0" hier="-1"/>
    <pageField fld="18" hier="-1"/>
  </pageFields>
  <dataFields count="1">
    <dataField name="Cuenta de PARTE AFECTADA" fld="3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A0C4-E0AC-46BA-B180-F4DEFE6A021D}" name="TablaDinámica11" cacheId="29"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A59:C66" firstHeaderRow="1" firstDataRow="2" firstDataCol="1"/>
  <pivotFields count="3">
    <pivotField axis="axisCol" allDrilled="1" subtotalTop="0" showAll="0" dataSourceSort="1" defaultSubtotal="0" defaultAttributeDrillState="1">
      <items count="1">
        <item s="1" x="0"/>
      </items>
    </pivotField>
    <pivotField axis="axisRow" allDrilled="1" subtotalTop="0" showAll="0" sortType="descending" defaultSubtotal="0" defaultAttributeDrillState="1">
      <items count="5">
        <item x="0"/>
        <item x="1"/>
        <item x="2"/>
        <item x="3"/>
        <item x="4"/>
      </items>
      <autoSortScope>
        <pivotArea dataOnly="0" outline="0" fieldPosition="0">
          <references count="2">
            <reference field="4294967294" count="1" selected="0">
              <x v="0"/>
            </reference>
            <reference field="0" count="1" selected="0">
              <x v="0"/>
            </reference>
          </references>
        </pivotArea>
      </autoSortScope>
    </pivotField>
    <pivotField dataField="1" subtotalTop="0" showAll="0" defaultSubtotal="0"/>
  </pivotFields>
  <rowFields count="1">
    <field x="1"/>
  </rowFields>
  <rowItems count="6">
    <i>
      <x v="1"/>
    </i>
    <i>
      <x v="3"/>
    </i>
    <i>
      <x v="2"/>
    </i>
    <i>
      <x v="4"/>
    </i>
    <i>
      <x/>
    </i>
    <i t="grand">
      <x/>
    </i>
  </rowItems>
  <colFields count="1">
    <field x="0"/>
  </colFields>
  <colItems count="2">
    <i>
      <x/>
    </i>
    <i t="grand">
      <x/>
    </i>
  </colItems>
  <dataFields count="1">
    <dataField name="Recuento de NATURALEZA DE LA LESION" fld="2" subtotal="count" baseField="0" baseItem="0"/>
  </dataFields>
  <chartFormats count="1">
    <chartFormat chart="0" format="0" series="1">
      <pivotArea type="data" outline="0" fieldPosition="0">
        <references count="2">
          <reference field="4294967294" count="1" selected="0">
            <x v="0"/>
          </reference>
          <reference field="0"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4"/>
  </rowHierarchiesUsage>
  <colHierarchiesUsage count="1">
    <colHierarchyUsage hierarchyUsage="1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7DF5B-8B95-47DB-AD7C-C11F4110BF82}" name="TablaDinámica12" cacheId="28" applyNumberFormats="0" applyBorderFormats="0" applyFontFormats="0" applyPatternFormats="0" applyAlignmentFormats="0" applyWidthHeightFormats="1" dataCaption="Valores" updatedVersion="8" minRefreshableVersion="3" useAutoFormatting="1" subtotalHiddenItems="1" itemPrintTitles="1" createdVersion="8" indent="0" outline="1" outlineData="1" multipleFieldFilters="0" chartFormat="4">
  <location ref="A68:C80" firstHeaderRow="1" firstDataRow="2" firstDataCol="1"/>
  <pivotFields count="3">
    <pivotField axis="axisCol" allDrilled="1" subtotalTop="0" showAll="0" dataSourceSort="1" defaultSubtotal="0" defaultAttributeDrillState="1">
      <items count="1">
        <item s="1" x="0"/>
      </items>
    </pivotField>
    <pivotField axis="axisRow" allDrilled="1" subtotalTop="0" showAll="0" sortType="descending" defaultSubtotal="0" defaultAttributeDrillState="1">
      <items count="10">
        <item x="0"/>
        <item x="1"/>
        <item x="2"/>
        <item x="3"/>
        <item x="4"/>
        <item x="5"/>
        <item x="6"/>
        <item x="7"/>
        <item x="8"/>
        <item x="9"/>
      </items>
      <autoSortScope>
        <pivotArea dataOnly="0" outline="0" fieldPosition="0">
          <references count="2">
            <reference field="4294967294" count="1" selected="0">
              <x v="0"/>
            </reference>
            <reference field="0" count="1" selected="0">
              <x v="0"/>
            </reference>
          </references>
        </pivotArea>
      </autoSortScope>
    </pivotField>
    <pivotField dataField="1" subtotalTop="0" showAll="0" defaultSubtotal="0"/>
  </pivotFields>
  <rowFields count="1">
    <field x="1"/>
  </rowFields>
  <rowItems count="11">
    <i>
      <x v="6"/>
    </i>
    <i>
      <x v="2"/>
    </i>
    <i>
      <x v="5"/>
    </i>
    <i>
      <x v="9"/>
    </i>
    <i>
      <x v="3"/>
    </i>
    <i>
      <x v="7"/>
    </i>
    <i>
      <x v="8"/>
    </i>
    <i>
      <x v="1"/>
    </i>
    <i>
      <x/>
    </i>
    <i>
      <x v="4"/>
    </i>
    <i t="grand">
      <x/>
    </i>
  </rowItems>
  <colFields count="1">
    <field x="0"/>
  </colFields>
  <colItems count="2">
    <i>
      <x/>
    </i>
    <i t="grand">
      <x/>
    </i>
  </colItems>
  <dataFields count="1">
    <dataField name="Recuento de TIPO ACCIDENTE" fld="2" subtotal="count" baseField="0" baseItem="0"/>
  </dataFields>
  <chartFormats count="3">
    <chartFormat chart="0"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0"/>
          </reference>
        </references>
      </pivotArea>
    </chartFormat>
    <chartFormat chart="2" format="2" series="1">
      <pivotArea type="data" outline="0" fieldPosition="0">
        <references count="2">
          <reference field="4294967294" count="1" selected="0">
            <x v="0"/>
          </reference>
          <reference field="0"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5"/>
  </rowHierarchiesUsage>
  <colHierarchiesUsage count="1">
    <colHierarchyUsage hierarchyUsage="1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CFEB5CB-55C2-448B-8960-CCF5425A676E}" name="TablaDinámica10" cacheId="3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A43:C57" firstHeaderRow="1" firstDataRow="2" firstDataCol="1"/>
  <pivotFields count="3">
    <pivotField axis="axisCol" allDrilled="1" subtotalTop="0" showAll="0" dataSourceSort="1" defaultSubtotal="0" defaultAttributeDrillState="1">
      <items count="1">
        <item s="1" x="0"/>
      </items>
    </pivotField>
    <pivotField axis="axisRow" allDrilled="1" subtotalTop="0" showAll="0" sortType="descending" defaultSubtotal="0" defaultAttributeDrillState="1">
      <items count="12">
        <item x="0"/>
        <item x="1"/>
        <item x="2"/>
        <item x="3"/>
        <item x="4"/>
        <item x="5"/>
        <item x="6"/>
        <item x="7"/>
        <item x="8"/>
        <item x="9"/>
        <item x="10"/>
        <item x="11"/>
      </items>
      <autoSortScope>
        <pivotArea dataOnly="0" outline="0" fieldPosition="0">
          <references count="2">
            <reference field="4294967294" count="1" selected="0">
              <x v="0"/>
            </reference>
            <reference field="0" count="1" selected="0">
              <x v="0"/>
            </reference>
          </references>
        </pivotArea>
      </autoSortScope>
    </pivotField>
    <pivotField dataField="1" subtotalTop="0" showAll="0" defaultSubtotal="0"/>
  </pivotFields>
  <rowFields count="1">
    <field x="1"/>
  </rowFields>
  <rowItems count="13">
    <i>
      <x v="3"/>
    </i>
    <i>
      <x/>
    </i>
    <i>
      <x v="9"/>
    </i>
    <i>
      <x v="5"/>
    </i>
    <i>
      <x v="10"/>
    </i>
    <i>
      <x v="1"/>
    </i>
    <i>
      <x v="8"/>
    </i>
    <i>
      <x v="2"/>
    </i>
    <i>
      <x v="11"/>
    </i>
    <i>
      <x v="6"/>
    </i>
    <i>
      <x v="4"/>
    </i>
    <i>
      <x v="7"/>
    </i>
    <i t="grand">
      <x/>
    </i>
  </rowItems>
  <colFields count="1">
    <field x="0"/>
  </colFields>
  <colItems count="2">
    <i>
      <x/>
    </i>
    <i t="grand">
      <x/>
    </i>
  </colItems>
  <dataFields count="1">
    <dataField name="Recuento de PARTE AFECTADA" fld="2" subtotal="count" baseField="0" baseItem="0"/>
  </dataFields>
  <chartFormats count="1">
    <chartFormat chart="0" format="0" series="1">
      <pivotArea type="data" outline="0" fieldPosition="0">
        <references count="2">
          <reference field="4294967294" count="1" selected="0">
            <x v="0"/>
          </reference>
          <reference field="0"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3"/>
  </rowHierarchiesUsage>
  <colHierarchiesUsage count="1">
    <colHierarchyUsage hierarchyUsage="1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DA41BD2-10D0-47A5-B0B2-3692FF708924}" name="TablaDinámica4" cacheId="27"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A3:B6" firstHeaderRow="1" firstDataRow="1" firstDataCol="1" rowPageCount="1" colPageCount="1"/>
  <pivotFields count="3">
    <pivotField axis="axisRow" allDrilled="1" subtotalTop="0" showAll="0" dataSourceSort="1" defaultSubtotal="0" defaultAttributeDrillState="1">
      <items count="2">
        <item x="0"/>
        <item x="1"/>
      </items>
    </pivotField>
    <pivotField dataField="1" subtotalTop="0" showAll="0" defaultSubtotal="0"/>
    <pivotField axis="axisPage" allDrilled="1" subtotalTop="0" showAll="0" dataSourceSort="1" defaultSubtotal="0" defaultAttributeDrillState="1"/>
  </pivotFields>
  <rowFields count="1">
    <field x="0"/>
  </rowFields>
  <rowItems count="3">
    <i>
      <x/>
    </i>
    <i>
      <x v="1"/>
    </i>
    <i t="grand">
      <x/>
    </i>
  </rowItems>
  <colItems count="1">
    <i/>
  </colItems>
  <pageFields count="1">
    <pageField fld="2" hier="18" name="[Rango].[AREA].&amp;[TROZADO DE POLLO]" cap="TROZADO DE POLLO"/>
  </pageFields>
  <dataFields count="1">
    <dataField name="Recuento de SECCION" fld="1"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nsolidado Accidentes!$A$6:$AP$357">
        <x15:activeTabTopLevelEntity name="[Rang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6EA752-F435-44A6-95E9-2A122F59AFC8}" name="TablaDinámica7" cacheId="2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A16:C23" firstHeaderRow="1" firstDataRow="2"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4">
        <item h="1" x="9"/>
        <item h="1" x="8"/>
        <item h="1" x="2"/>
        <item h="1" x="6"/>
        <item h="1" x="4"/>
        <item h="1" x="5"/>
        <item h="1" x="7"/>
        <item h="1" x="10"/>
        <item h="1" x="1"/>
        <item h="1" x="12"/>
        <item h="1" x="3"/>
        <item x="0"/>
        <item h="1" x="11"/>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2">
        <item x="29"/>
        <item x="43"/>
        <item x="18"/>
        <item x="45"/>
        <item x="32"/>
        <item x="46"/>
        <item x="16"/>
        <item x="28"/>
        <item x="13"/>
        <item x="7"/>
        <item x="10"/>
        <item x="23"/>
        <item x="22"/>
        <item x="38"/>
        <item x="36"/>
        <item x="35"/>
        <item x="2"/>
        <item x="8"/>
        <item x="40"/>
        <item x="30"/>
        <item x="24"/>
        <item m="1" x="50"/>
        <item x="44"/>
        <item x="42"/>
        <item x="34"/>
        <item x="19"/>
        <item x="39"/>
        <item m="1" x="49"/>
        <item x="31"/>
        <item x="11"/>
        <item x="12"/>
        <item x="14"/>
        <item x="48"/>
        <item x="4"/>
        <item x="41"/>
        <item x="21"/>
        <item x="26"/>
        <item x="6"/>
        <item x="15"/>
        <item x="9"/>
        <item x="20"/>
        <item x="5"/>
        <item x="0"/>
        <item x="3"/>
        <item x="17"/>
        <item x="1"/>
        <item x="25"/>
        <item x="27"/>
        <item x="47"/>
        <item x="33"/>
        <item x="37"/>
        <item t="default"/>
      </items>
      <autoSortScope>
        <pivotArea dataOnly="0" outline="0" fieldPosition="0">
          <references count="2">
            <reference field="4294967294" count="1" selected="0">
              <x v="0"/>
            </reference>
            <reference field="18" count="1" selected="0">
              <x v="1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6">
    <i>
      <x v="8"/>
    </i>
    <i>
      <x v="29"/>
    </i>
    <i>
      <x v="42"/>
    </i>
    <i>
      <x v="28"/>
    </i>
    <i>
      <x v="41"/>
    </i>
    <i t="grand">
      <x/>
    </i>
  </rowItems>
  <colFields count="1">
    <field x="18"/>
  </colFields>
  <colItems count="2">
    <i>
      <x v="11"/>
    </i>
    <i t="grand">
      <x/>
    </i>
  </colItems>
  <dataFields count="1">
    <dataField name="Cuenta de SUPERVISOR" fld="30" subtotal="count" baseField="0" baseItem="0"/>
  </dataFields>
  <chartFormats count="1">
    <chartFormat chart="0" format="0" series="1">
      <pivotArea type="data" outline="0" fieldPosition="0">
        <references count="2">
          <reference field="4294967294" count="1" selected="0">
            <x v="0"/>
          </reference>
          <reference field="18"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6E03BDC-3483-4891-AAE8-3E27853D98B2}" name="TablaDinámica5" cacheId="2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2">
  <location ref="A8:C12" firstHeaderRow="1" firstDataRow="2"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Col" showAll="0">
      <items count="14">
        <item h="1" x="9"/>
        <item h="1" x="8"/>
        <item h="1" x="2"/>
        <item h="1" x="6"/>
        <item h="1" x="4"/>
        <item h="1" x="5"/>
        <item h="1" x="7"/>
        <item h="1" x="10"/>
        <item h="1" x="1"/>
        <item h="1" x="12"/>
        <item h="1" x="3"/>
        <item x="0"/>
        <item h="1" x="11"/>
        <item t="default"/>
      </items>
    </pivotField>
    <pivotField axis="axisRow" showAll="0">
      <items count="62">
        <item x="1"/>
        <item x="42"/>
        <item x="53"/>
        <item x="31"/>
        <item x="5"/>
        <item x="20"/>
        <item x="33"/>
        <item x="14"/>
        <item x="28"/>
        <item x="47"/>
        <item x="12"/>
        <item x="8"/>
        <item x="60"/>
        <item x="39"/>
        <item x="16"/>
        <item x="4"/>
        <item x="43"/>
        <item x="21"/>
        <item x="19"/>
        <item x="55"/>
        <item x="15"/>
        <item x="56"/>
        <item x="40"/>
        <item x="26"/>
        <item x="2"/>
        <item x="25"/>
        <item x="52"/>
        <item x="32"/>
        <item x="46"/>
        <item x="29"/>
        <item x="13"/>
        <item x="38"/>
        <item x="6"/>
        <item x="36"/>
        <item x="59"/>
        <item x="45"/>
        <item x="37"/>
        <item x="57"/>
        <item x="35"/>
        <item x="48"/>
        <item x="34"/>
        <item x="24"/>
        <item x="22"/>
        <item x="7"/>
        <item x="10"/>
        <item x="54"/>
        <item x="58"/>
        <item x="11"/>
        <item x="18"/>
        <item x="9"/>
        <item x="27"/>
        <item x="30"/>
        <item x="23"/>
        <item h="1" x="41"/>
        <item x="0"/>
        <item x="50"/>
        <item x="44"/>
        <item x="49"/>
        <item x="3"/>
        <item x="17"/>
        <item x="5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3">
    <i>
      <x v="15"/>
    </i>
    <i>
      <x v="54"/>
    </i>
    <i t="grand">
      <x/>
    </i>
  </rowItems>
  <colFields count="1">
    <field x="18"/>
  </colFields>
  <colItems count="2">
    <i>
      <x v="11"/>
    </i>
    <i t="grand">
      <x/>
    </i>
  </colItems>
  <dataFields count="1">
    <dataField name="Cuenta de CLASIFICACION LGF" fld="17" subtotal="count" baseField="0" baseItem="0"/>
  </dataFields>
  <chartFormats count="1">
    <chartFormat chart="1" format="0" series="1">
      <pivotArea type="data" outline="0" fieldPosition="0">
        <references count="2">
          <reference field="4294967294" count="1" selected="0">
            <x v="0"/>
          </reference>
          <reference field="18"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92B1708-98D3-4882-AC47-98116F66F4E1}" name="TablaDinámica8" cacheId="2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A25:C41" firstHeaderRow="1" firstDataRow="2"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4">
        <item h="1" x="9"/>
        <item h="1" x="8"/>
        <item h="1" x="2"/>
        <item h="1" x="6"/>
        <item h="1" x="4"/>
        <item h="1" x="5"/>
        <item h="1" x="7"/>
        <item h="1" x="10"/>
        <item h="1" x="1"/>
        <item h="1" x="12"/>
        <item h="1" x="3"/>
        <item x="0"/>
        <item h="1"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9">
        <item x="9"/>
        <item x="11"/>
        <item x="6"/>
        <item x="5"/>
        <item x="2"/>
        <item x="17"/>
        <item x="13"/>
        <item x="12"/>
        <item x="4"/>
        <item x="7"/>
        <item x="10"/>
        <item x="0"/>
        <item x="14"/>
        <item x="8"/>
        <item x="3"/>
        <item x="1"/>
        <item x="15"/>
        <item x="16"/>
        <item t="default"/>
      </items>
      <autoSortScope>
        <pivotArea dataOnly="0" outline="0" fieldPosition="0">
          <references count="2">
            <reference field="4294967294" count="1" selected="0">
              <x v="0"/>
            </reference>
            <reference field="18" count="1" selected="0">
              <x v="11"/>
            </reference>
          </references>
        </pivotArea>
      </autoSortScope>
    </pivotField>
    <pivotField showAll="0"/>
    <pivotField showAll="0"/>
    <pivotField showAll="0"/>
    <pivotField showAll="0"/>
    <pivotField showAll="0"/>
    <pivotField showAll="0"/>
    <pivotField showAll="0"/>
    <pivotField showAll="0"/>
    <pivotField showAll="0"/>
  </pivotFields>
  <rowFields count="1">
    <field x="32"/>
  </rowFields>
  <rowItems count="15">
    <i>
      <x v="12"/>
    </i>
    <i>
      <x v="15"/>
    </i>
    <i>
      <x v="6"/>
    </i>
    <i>
      <x v="8"/>
    </i>
    <i>
      <x v="2"/>
    </i>
    <i>
      <x v="10"/>
    </i>
    <i>
      <x v="3"/>
    </i>
    <i>
      <x v="1"/>
    </i>
    <i>
      <x v="4"/>
    </i>
    <i>
      <x v="7"/>
    </i>
    <i>
      <x v="11"/>
    </i>
    <i>
      <x v="9"/>
    </i>
    <i>
      <x v="13"/>
    </i>
    <i>
      <x v="14"/>
    </i>
    <i t="grand">
      <x/>
    </i>
  </rowItems>
  <colFields count="1">
    <field x="18"/>
  </colFields>
  <colItems count="2">
    <i>
      <x v="11"/>
    </i>
    <i t="grand">
      <x/>
    </i>
  </colItems>
  <dataFields count="1">
    <dataField name="Cuenta de AGENTE ACC" fld="32" subtotal="count" baseField="0" baseItem="0"/>
  </dataFields>
  <chartFormats count="1">
    <chartFormat chart="0" format="0" series="1">
      <pivotArea type="data" outline="0" fieldPosition="0">
        <references count="2">
          <reference field="4294967294" count="1" selected="0">
            <x v="0"/>
          </reference>
          <reference field="18"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Q155" dT="2022-11-22T23:47:53.54" personId="{E4BE3981-7A34-44E1-8498-ADAA26786FB2}" id="{95BCF80C-0AC7-47F4-88D3-DA805DD14BF0}">
    <text xml:space="preserve">EVALUAR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20.xml"/><Relationship Id="rId1" Type="http://schemas.openxmlformats.org/officeDocument/2006/relationships/pivotTable" Target="../pivotTables/pivotTable19.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3.xml"/><Relationship Id="rId2" Type="http://schemas.openxmlformats.org/officeDocument/2006/relationships/pivotTable" Target="../pivotTables/pivotTable22.xml"/><Relationship Id="rId1" Type="http://schemas.openxmlformats.org/officeDocument/2006/relationships/pivotTable" Target="../pivotTables/pivotTable21.xml"/></Relationships>
</file>

<file path=xl/worksheets/_rels/sheet10.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pivotTable" Target="../pivotTables/pivotTable26.xml"/><Relationship Id="rId7" Type="http://schemas.openxmlformats.org/officeDocument/2006/relationships/pivotTable" Target="../pivotTables/pivotTable30.xml"/><Relationship Id="rId2" Type="http://schemas.openxmlformats.org/officeDocument/2006/relationships/pivotTable" Target="../pivotTables/pivotTable25.xml"/><Relationship Id="rId1" Type="http://schemas.openxmlformats.org/officeDocument/2006/relationships/pivotTable" Target="../pivotTables/pivotTable24.xml"/><Relationship Id="rId6" Type="http://schemas.openxmlformats.org/officeDocument/2006/relationships/pivotTable" Target="../pivotTables/pivotTable29.xml"/><Relationship Id="rId5" Type="http://schemas.openxmlformats.org/officeDocument/2006/relationships/pivotTable" Target="../pivotTables/pivotTable28.xml"/><Relationship Id="rId4" Type="http://schemas.openxmlformats.org/officeDocument/2006/relationships/pivotTable" Target="../pivotTables/pivotTable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P498"/>
  <sheetViews>
    <sheetView showGridLines="0" tabSelected="1" view="pageBreakPreview" zoomScale="89" zoomScaleNormal="98" zoomScaleSheetLayoutView="89" workbookViewId="0">
      <pane ySplit="6" topLeftCell="A13" activePane="bottomLeft" state="frozen"/>
      <selection activeCell="G1" sqref="G1"/>
      <selection pane="bottomLeft" activeCell="B13" sqref="B13:B24"/>
    </sheetView>
  </sheetViews>
  <sheetFormatPr baseColWidth="10" defaultColWidth="11.42578125" defaultRowHeight="12.75" x14ac:dyDescent="0.2"/>
  <cols>
    <col min="1" max="1" width="10.28515625" style="173" bestFit="1" customWidth="1"/>
    <col min="2" max="2" width="11.7109375" style="173" bestFit="1" customWidth="1"/>
    <col min="3" max="3" width="13.42578125" style="173" hidden="1" customWidth="1"/>
    <col min="4" max="4" width="23" style="173" hidden="1" customWidth="1"/>
    <col min="5" max="5" width="21" style="173" hidden="1" customWidth="1"/>
    <col min="6" max="6" width="18.7109375" style="173" hidden="1" customWidth="1"/>
    <col min="7" max="7" width="11.85546875" style="173" hidden="1" customWidth="1"/>
    <col min="8" max="8" width="16.85546875" style="173" hidden="1" customWidth="1"/>
    <col min="9" max="9" width="14.85546875" style="173" hidden="1" customWidth="1"/>
    <col min="10" max="10" width="18.140625" style="190" hidden="1" customWidth="1"/>
    <col min="11" max="11" width="18.5703125" style="190" hidden="1" customWidth="1"/>
    <col min="12" max="12" width="35.140625" style="173" hidden="1" customWidth="1"/>
    <col min="13" max="13" width="17.5703125" style="173" hidden="1" customWidth="1"/>
    <col min="14" max="14" width="17.85546875" style="173" hidden="1" customWidth="1"/>
    <col min="15" max="15" width="10.85546875" style="173" bestFit="1" customWidth="1"/>
    <col min="16" max="16" width="26.85546875" style="173" bestFit="1" customWidth="1"/>
    <col min="17" max="17" width="19.85546875" style="173" bestFit="1" customWidth="1"/>
    <col min="18" max="18" width="25" style="32" bestFit="1" customWidth="1"/>
    <col min="19" max="19" width="17.42578125" style="173" bestFit="1" customWidth="1"/>
    <col min="20" max="20" width="28" style="173" bestFit="1" customWidth="1"/>
    <col min="21" max="21" width="33.5703125" style="173" bestFit="1" customWidth="1"/>
    <col min="22" max="22" width="31.28515625" style="173" bestFit="1" customWidth="1"/>
    <col min="23" max="23" width="56.28515625" style="173" bestFit="1" customWidth="1"/>
    <col min="24" max="24" width="13.140625" style="173" bestFit="1" customWidth="1"/>
    <col min="25" max="25" width="11.7109375" style="173" bestFit="1" customWidth="1"/>
    <col min="26" max="26" width="10.85546875" style="173" bestFit="1" customWidth="1"/>
    <col min="27" max="27" width="14" style="173" bestFit="1" customWidth="1"/>
    <col min="28" max="28" width="14" style="32" bestFit="1" customWidth="1"/>
    <col min="29" max="29" width="10" style="210" bestFit="1" customWidth="1"/>
    <col min="30" max="30" width="19.28515625" style="173" bestFit="1" customWidth="1"/>
    <col min="31" max="31" width="21.7109375" style="173" bestFit="1" customWidth="1"/>
    <col min="32" max="32" width="11.5703125" style="173" bestFit="1" customWidth="1"/>
    <col min="33" max="33" width="26.28515625" style="173" bestFit="1" customWidth="1"/>
    <col min="34" max="34" width="16" style="173" bestFit="1" customWidth="1"/>
    <col min="35" max="35" width="24.7109375" style="173" bestFit="1" customWidth="1"/>
    <col min="36" max="36" width="33.5703125" style="173" bestFit="1" customWidth="1"/>
    <col min="37" max="37" width="255.7109375" style="174" bestFit="1" customWidth="1"/>
    <col min="38" max="38" width="17.28515625" style="32" bestFit="1" customWidth="1"/>
    <col min="39" max="39" width="15.42578125" style="32" bestFit="1" customWidth="1"/>
    <col min="40" max="40" width="18" style="32" bestFit="1" customWidth="1"/>
    <col min="41" max="41" width="21.140625" style="32" bestFit="1" customWidth="1"/>
    <col min="42" max="42" width="19.5703125" style="32" bestFit="1" customWidth="1"/>
    <col min="43" max="16384" width="11.42578125" style="175"/>
  </cols>
  <sheetData>
    <row r="1" spans="1:42" x14ac:dyDescent="0.2">
      <c r="E1" s="301" t="s">
        <v>0</v>
      </c>
      <c r="F1" s="301"/>
      <c r="G1" s="301"/>
      <c r="H1" s="301"/>
      <c r="I1" s="301"/>
      <c r="J1" s="302"/>
      <c r="K1" s="302"/>
      <c r="L1" s="301"/>
      <c r="M1" s="301"/>
      <c r="N1" s="301"/>
      <c r="O1" s="303"/>
    </row>
    <row r="2" spans="1:42" x14ac:dyDescent="0.2">
      <c r="E2" s="33"/>
      <c r="F2" s="32"/>
      <c r="J2" s="173"/>
      <c r="K2" s="173"/>
      <c r="AB2" s="175"/>
      <c r="AC2" s="211"/>
    </row>
    <row r="3" spans="1:42" x14ac:dyDescent="0.2">
      <c r="E3" s="32"/>
      <c r="F3" s="32"/>
      <c r="J3" s="173"/>
      <c r="K3" s="173"/>
      <c r="AB3" s="175"/>
      <c r="AC3" s="211"/>
      <c r="AK3" s="176"/>
    </row>
    <row r="4" spans="1:42" x14ac:dyDescent="0.2">
      <c r="E4" s="32"/>
      <c r="F4" s="32"/>
      <c r="J4" s="173"/>
      <c r="K4" s="173"/>
      <c r="AB4" s="175"/>
      <c r="AC4" s="211"/>
      <c r="AG4" s="176"/>
    </row>
    <row r="5" spans="1:42" x14ac:dyDescent="0.2">
      <c r="E5" s="32"/>
      <c r="F5" s="32"/>
      <c r="J5" s="173"/>
      <c r="K5" s="173"/>
      <c r="AB5" s="175"/>
      <c r="AC5" s="211"/>
    </row>
    <row r="6" spans="1:42" s="179" customFormat="1" ht="25.5" x14ac:dyDescent="0.2">
      <c r="A6" s="177" t="s">
        <v>1</v>
      </c>
      <c r="B6" s="177" t="s">
        <v>2</v>
      </c>
      <c r="C6" s="177" t="s">
        <v>3</v>
      </c>
      <c r="D6" s="177" t="s">
        <v>4</v>
      </c>
      <c r="E6" s="177" t="s">
        <v>5</v>
      </c>
      <c r="F6" s="177" t="s">
        <v>6</v>
      </c>
      <c r="G6" s="177" t="s">
        <v>7</v>
      </c>
      <c r="H6" s="177" t="s">
        <v>8</v>
      </c>
      <c r="I6" s="178" t="s">
        <v>9</v>
      </c>
      <c r="J6" s="177" t="s">
        <v>10</v>
      </c>
      <c r="K6" s="178" t="s">
        <v>11</v>
      </c>
      <c r="L6" s="177" t="s">
        <v>12</v>
      </c>
      <c r="M6" s="177" t="s">
        <v>13</v>
      </c>
      <c r="N6" s="177" t="s">
        <v>14</v>
      </c>
      <c r="O6" s="177" t="s">
        <v>15</v>
      </c>
      <c r="P6" s="177" t="s">
        <v>16</v>
      </c>
      <c r="Q6" s="177" t="s">
        <v>17</v>
      </c>
      <c r="R6" s="177" t="s">
        <v>18</v>
      </c>
      <c r="S6" s="177" t="s">
        <v>19</v>
      </c>
      <c r="T6" s="177" t="s">
        <v>20</v>
      </c>
      <c r="U6" s="177" t="s">
        <v>21</v>
      </c>
      <c r="V6" s="177" t="s">
        <v>22</v>
      </c>
      <c r="W6" s="177" t="s">
        <v>23</v>
      </c>
      <c r="X6" s="177" t="s">
        <v>24</v>
      </c>
      <c r="Y6" s="177" t="s">
        <v>25</v>
      </c>
      <c r="Z6" s="177" t="s">
        <v>26</v>
      </c>
      <c r="AA6" s="177" t="s">
        <v>27</v>
      </c>
      <c r="AB6" s="178" t="s">
        <v>28</v>
      </c>
      <c r="AC6" s="171" t="s">
        <v>29</v>
      </c>
      <c r="AD6" s="177" t="s">
        <v>30</v>
      </c>
      <c r="AE6" s="177" t="s">
        <v>31</v>
      </c>
      <c r="AF6" s="177" t="s">
        <v>32</v>
      </c>
      <c r="AG6" s="177" t="s">
        <v>33</v>
      </c>
      <c r="AH6" s="177" t="s">
        <v>34</v>
      </c>
      <c r="AI6" s="177" t="s">
        <v>35</v>
      </c>
      <c r="AJ6" s="177" t="s">
        <v>36</v>
      </c>
      <c r="AK6" s="177" t="s">
        <v>37</v>
      </c>
      <c r="AL6" s="177" t="s">
        <v>38</v>
      </c>
      <c r="AM6" s="177" t="s">
        <v>39</v>
      </c>
      <c r="AN6" s="172" t="s">
        <v>40</v>
      </c>
      <c r="AO6" s="47" t="s">
        <v>41</v>
      </c>
      <c r="AP6" s="47" t="s">
        <v>42</v>
      </c>
    </row>
    <row r="7" spans="1:42" s="185" customFormat="1" hidden="1" x14ac:dyDescent="0.2">
      <c r="A7" s="180">
        <v>2022</v>
      </c>
      <c r="B7" s="180" t="s">
        <v>43</v>
      </c>
      <c r="C7" s="180" t="s">
        <v>44</v>
      </c>
      <c r="D7" s="180" t="s">
        <v>45</v>
      </c>
      <c r="E7" s="180" t="s">
        <v>46</v>
      </c>
      <c r="F7" s="180" t="s">
        <v>47</v>
      </c>
      <c r="G7" s="180" t="s">
        <v>48</v>
      </c>
      <c r="H7" s="181">
        <v>44221</v>
      </c>
      <c r="I7" s="180">
        <f t="shared" ref="I7:I38" si="0">DATEDIF(H7,J7,"m")</f>
        <v>4</v>
      </c>
      <c r="J7" s="181">
        <v>44369</v>
      </c>
      <c r="K7" s="180" t="str">
        <f t="shared" ref="K7:K38" si="1">IF(I7&lt;=18,"NUEVO",IF(I7&lt;=36,"INTERMEDIO","ANTIGUO"))</f>
        <v>NUEVO</v>
      </c>
      <c r="L7" s="180"/>
      <c r="M7" s="180"/>
      <c r="N7" s="180"/>
      <c r="O7" s="180">
        <v>0</v>
      </c>
      <c r="P7" s="180" t="s">
        <v>49</v>
      </c>
      <c r="Q7" s="180"/>
      <c r="R7" s="182"/>
      <c r="S7" s="180" t="s">
        <v>50</v>
      </c>
      <c r="T7" s="180" t="s">
        <v>51</v>
      </c>
      <c r="U7" s="180" t="s">
        <v>52</v>
      </c>
      <c r="V7" s="180" t="s">
        <v>53</v>
      </c>
      <c r="W7" s="180" t="s">
        <v>54</v>
      </c>
      <c r="X7" s="180" t="s">
        <v>55</v>
      </c>
      <c r="Y7" s="183">
        <v>0.83333333333333337</v>
      </c>
      <c r="Z7" s="180" t="s">
        <v>56</v>
      </c>
      <c r="AA7" s="180" t="s">
        <v>57</v>
      </c>
      <c r="AB7" s="182"/>
      <c r="AC7" s="212"/>
      <c r="AD7" s="180" t="s">
        <v>58</v>
      </c>
      <c r="AE7" s="180" t="s">
        <v>59</v>
      </c>
      <c r="AF7" s="180">
        <v>37</v>
      </c>
      <c r="AG7" s="180" t="s">
        <v>60</v>
      </c>
      <c r="AH7" s="180" t="s">
        <v>61</v>
      </c>
      <c r="AI7" s="180" t="s">
        <v>62</v>
      </c>
      <c r="AJ7" s="180" t="s">
        <v>63</v>
      </c>
      <c r="AK7" s="184" t="s">
        <v>64</v>
      </c>
      <c r="AL7" s="182" t="s">
        <v>65</v>
      </c>
      <c r="AM7" s="182" t="s">
        <v>66</v>
      </c>
      <c r="AN7" s="182" t="s">
        <v>67</v>
      </c>
      <c r="AO7" s="182" t="s">
        <v>68</v>
      </c>
      <c r="AP7" s="182" t="s">
        <v>69</v>
      </c>
    </row>
    <row r="8" spans="1:42" s="185" customFormat="1" hidden="1" x14ac:dyDescent="0.2">
      <c r="A8" s="180">
        <v>2022</v>
      </c>
      <c r="B8" s="180" t="s">
        <v>70</v>
      </c>
      <c r="C8" s="180" t="s">
        <v>44</v>
      </c>
      <c r="D8" s="180" t="s">
        <v>71</v>
      </c>
      <c r="E8" s="180" t="s">
        <v>72</v>
      </c>
      <c r="F8" s="180" t="s">
        <v>73</v>
      </c>
      <c r="G8" s="180" t="s">
        <v>74</v>
      </c>
      <c r="H8" s="181">
        <v>43136</v>
      </c>
      <c r="I8" s="180">
        <f t="shared" si="0"/>
        <v>46</v>
      </c>
      <c r="J8" s="181">
        <v>44564</v>
      </c>
      <c r="K8" s="180" t="str">
        <f t="shared" si="1"/>
        <v>ANTIGUO</v>
      </c>
      <c r="L8" s="180"/>
      <c r="M8" s="180"/>
      <c r="N8" s="180"/>
      <c r="O8" s="180">
        <v>0</v>
      </c>
      <c r="P8" s="180" t="s">
        <v>49</v>
      </c>
      <c r="Q8" s="180"/>
      <c r="R8" s="182"/>
      <c r="S8" s="180" t="s">
        <v>75</v>
      </c>
      <c r="T8" s="180" t="s">
        <v>76</v>
      </c>
      <c r="U8" s="180" t="s">
        <v>52</v>
      </c>
      <c r="V8" s="180" t="s">
        <v>77</v>
      </c>
      <c r="W8" s="180" t="s">
        <v>54</v>
      </c>
      <c r="X8" s="180" t="s">
        <v>78</v>
      </c>
      <c r="Y8" s="183">
        <v>0.46388888888888885</v>
      </c>
      <c r="Z8" s="180" t="s">
        <v>79</v>
      </c>
      <c r="AA8" s="180" t="s">
        <v>80</v>
      </c>
      <c r="AB8" s="182"/>
      <c r="AC8" s="212"/>
      <c r="AD8" s="180" t="s">
        <v>81</v>
      </c>
      <c r="AE8" s="180" t="s">
        <v>82</v>
      </c>
      <c r="AF8" s="180">
        <v>60</v>
      </c>
      <c r="AG8" s="180" t="s">
        <v>83</v>
      </c>
      <c r="AH8" s="180" t="s">
        <v>84</v>
      </c>
      <c r="AI8" s="180" t="s">
        <v>62</v>
      </c>
      <c r="AJ8" s="180" t="s">
        <v>85</v>
      </c>
      <c r="AK8" s="184" t="s">
        <v>86</v>
      </c>
      <c r="AL8" s="182" t="s">
        <v>87</v>
      </c>
      <c r="AM8" s="182" t="s">
        <v>66</v>
      </c>
      <c r="AN8" s="182" t="s">
        <v>67</v>
      </c>
      <c r="AO8" s="182" t="s">
        <v>88</v>
      </c>
      <c r="AP8" s="182" t="s">
        <v>89</v>
      </c>
    </row>
    <row r="9" spans="1:42" s="185" customFormat="1" hidden="1" x14ac:dyDescent="0.2">
      <c r="A9" s="180">
        <v>2022</v>
      </c>
      <c r="B9" s="180" t="s">
        <v>70</v>
      </c>
      <c r="C9" s="180" t="s">
        <v>44</v>
      </c>
      <c r="D9" s="180" t="s">
        <v>90</v>
      </c>
      <c r="E9" s="180" t="s">
        <v>91</v>
      </c>
      <c r="F9" s="180" t="s">
        <v>73</v>
      </c>
      <c r="G9" s="180" t="s">
        <v>92</v>
      </c>
      <c r="H9" s="181">
        <v>44515</v>
      </c>
      <c r="I9" s="180">
        <f t="shared" si="0"/>
        <v>1</v>
      </c>
      <c r="J9" s="181">
        <v>44565</v>
      </c>
      <c r="K9" s="180" t="str">
        <f t="shared" si="1"/>
        <v>NUEVO</v>
      </c>
      <c r="L9" s="180"/>
      <c r="M9" s="180"/>
      <c r="N9" s="180"/>
      <c r="O9" s="180">
        <v>0</v>
      </c>
      <c r="P9" s="180" t="s">
        <v>49</v>
      </c>
      <c r="Q9" s="180"/>
      <c r="R9" s="182"/>
      <c r="S9" s="180" t="s">
        <v>93</v>
      </c>
      <c r="T9" s="180" t="s">
        <v>94</v>
      </c>
      <c r="U9" s="180" t="s">
        <v>52</v>
      </c>
      <c r="V9" s="180" t="s">
        <v>94</v>
      </c>
      <c r="W9" s="180" t="s">
        <v>95</v>
      </c>
      <c r="X9" s="180" t="s">
        <v>78</v>
      </c>
      <c r="Y9" s="183">
        <v>0.40625</v>
      </c>
      <c r="Z9" s="180" t="s">
        <v>96</v>
      </c>
      <c r="AA9" s="180" t="s">
        <v>80</v>
      </c>
      <c r="AB9" s="182"/>
      <c r="AC9" s="212"/>
      <c r="AD9" s="180" t="s">
        <v>97</v>
      </c>
      <c r="AE9" s="180" t="s">
        <v>98</v>
      </c>
      <c r="AF9" s="180">
        <v>35</v>
      </c>
      <c r="AG9" s="180" t="s">
        <v>99</v>
      </c>
      <c r="AH9" s="180" t="s">
        <v>61</v>
      </c>
      <c r="AI9" s="180" t="s">
        <v>100</v>
      </c>
      <c r="AJ9" s="180" t="s">
        <v>101</v>
      </c>
      <c r="AK9" s="184" t="s">
        <v>102</v>
      </c>
      <c r="AL9" s="182" t="s">
        <v>65</v>
      </c>
      <c r="AM9" s="182" t="s">
        <v>66</v>
      </c>
      <c r="AN9" s="182" t="s">
        <v>67</v>
      </c>
      <c r="AO9" s="182" t="s">
        <v>88</v>
      </c>
      <c r="AP9" s="182" t="s">
        <v>103</v>
      </c>
    </row>
    <row r="10" spans="1:42" s="185" customFormat="1" hidden="1" x14ac:dyDescent="0.2">
      <c r="A10" s="180">
        <v>2022</v>
      </c>
      <c r="B10" s="180" t="s">
        <v>70</v>
      </c>
      <c r="C10" s="180"/>
      <c r="D10" s="180" t="s">
        <v>104</v>
      </c>
      <c r="E10" s="180" t="s">
        <v>105</v>
      </c>
      <c r="F10" s="180" t="s">
        <v>73</v>
      </c>
      <c r="G10" s="180" t="s">
        <v>106</v>
      </c>
      <c r="H10" s="181">
        <v>44411</v>
      </c>
      <c r="I10" s="180">
        <f t="shared" si="0"/>
        <v>5</v>
      </c>
      <c r="J10" s="181">
        <v>44565</v>
      </c>
      <c r="K10" s="180" t="str">
        <f t="shared" si="1"/>
        <v>NUEVO</v>
      </c>
      <c r="L10" s="180"/>
      <c r="M10" s="180"/>
      <c r="N10" s="180"/>
      <c r="O10" s="180">
        <v>0</v>
      </c>
      <c r="P10" s="180" t="s">
        <v>49</v>
      </c>
      <c r="Q10" s="180" t="s">
        <v>107</v>
      </c>
      <c r="R10" s="182" t="s">
        <v>108</v>
      </c>
      <c r="S10" s="180" t="s">
        <v>75</v>
      </c>
      <c r="T10" s="180" t="s">
        <v>76</v>
      </c>
      <c r="U10" s="180" t="s">
        <v>52</v>
      </c>
      <c r="V10" s="180" t="s">
        <v>109</v>
      </c>
      <c r="W10" s="180" t="s">
        <v>54</v>
      </c>
      <c r="X10" s="180" t="s">
        <v>110</v>
      </c>
      <c r="Y10" s="183">
        <v>6.5972222222222224E-2</v>
      </c>
      <c r="Z10" s="180" t="s">
        <v>96</v>
      </c>
      <c r="AA10" s="180" t="s">
        <v>80</v>
      </c>
      <c r="AB10" s="182"/>
      <c r="AC10" s="212"/>
      <c r="AD10" s="180" t="s">
        <v>81</v>
      </c>
      <c r="AE10" s="180" t="s">
        <v>111</v>
      </c>
      <c r="AF10" s="180">
        <v>29</v>
      </c>
      <c r="AG10" s="180" t="s">
        <v>112</v>
      </c>
      <c r="AH10" s="180" t="s">
        <v>113</v>
      </c>
      <c r="AI10" s="180" t="s">
        <v>114</v>
      </c>
      <c r="AJ10" s="180" t="s">
        <v>115</v>
      </c>
      <c r="AK10" s="184" t="s">
        <v>116</v>
      </c>
      <c r="AL10" s="250" t="s">
        <v>65</v>
      </c>
      <c r="AM10" s="182" t="s">
        <v>66</v>
      </c>
      <c r="AN10" s="182" t="s">
        <v>67</v>
      </c>
      <c r="AO10" s="182" t="s">
        <v>117</v>
      </c>
      <c r="AP10" s="182" t="s">
        <v>89</v>
      </c>
    </row>
    <row r="11" spans="1:42" s="185" customFormat="1" hidden="1" x14ac:dyDescent="0.2">
      <c r="A11" s="241">
        <v>2022</v>
      </c>
      <c r="B11" s="180" t="s">
        <v>70</v>
      </c>
      <c r="C11" s="180" t="s">
        <v>44</v>
      </c>
      <c r="D11" s="180" t="s">
        <v>118</v>
      </c>
      <c r="E11" s="187" t="s">
        <v>119</v>
      </c>
      <c r="F11" s="180" t="s">
        <v>47</v>
      </c>
      <c r="G11" s="180" t="s">
        <v>120</v>
      </c>
      <c r="H11" s="181">
        <v>42046</v>
      </c>
      <c r="I11" s="180">
        <f t="shared" si="0"/>
        <v>82</v>
      </c>
      <c r="J11" s="181">
        <v>44566</v>
      </c>
      <c r="K11" s="180" t="str">
        <f t="shared" si="1"/>
        <v>ANTIGUO</v>
      </c>
      <c r="L11" s="181">
        <v>44566</v>
      </c>
      <c r="M11" s="181">
        <v>44566</v>
      </c>
      <c r="N11" s="180"/>
      <c r="O11" s="216">
        <v>0</v>
      </c>
      <c r="P11" s="216" t="s">
        <v>49</v>
      </c>
      <c r="Q11" s="180"/>
      <c r="R11" s="182"/>
      <c r="S11" s="180" t="s">
        <v>121</v>
      </c>
      <c r="T11" s="180" t="s">
        <v>122</v>
      </c>
      <c r="U11" s="180" t="s">
        <v>52</v>
      </c>
      <c r="V11" s="180" t="s">
        <v>123</v>
      </c>
      <c r="W11" s="180" t="s">
        <v>124</v>
      </c>
      <c r="X11" s="180" t="s">
        <v>55</v>
      </c>
      <c r="Y11" s="183">
        <v>0.56944444444444442</v>
      </c>
      <c r="Z11" s="180" t="s">
        <v>56</v>
      </c>
      <c r="AA11" s="180" t="s">
        <v>80</v>
      </c>
      <c r="AB11" s="182">
        <v>14948</v>
      </c>
      <c r="AC11" s="213" t="s">
        <v>125</v>
      </c>
      <c r="AD11" s="180" t="s">
        <v>126</v>
      </c>
      <c r="AE11" s="180" t="s">
        <v>127</v>
      </c>
      <c r="AF11" s="180">
        <v>56</v>
      </c>
      <c r="AG11" s="180" t="s">
        <v>128</v>
      </c>
      <c r="AH11" s="180" t="s">
        <v>129</v>
      </c>
      <c r="AI11" s="180" t="s">
        <v>100</v>
      </c>
      <c r="AJ11" s="180" t="s">
        <v>130</v>
      </c>
      <c r="AK11" s="251" t="s">
        <v>131</v>
      </c>
      <c r="AL11" s="180" t="s">
        <v>65</v>
      </c>
      <c r="AM11" s="252" t="s">
        <v>66</v>
      </c>
      <c r="AN11" s="182" t="s">
        <v>66</v>
      </c>
      <c r="AO11" s="182" t="s">
        <v>117</v>
      </c>
      <c r="AP11" s="182" t="s">
        <v>69</v>
      </c>
    </row>
    <row r="12" spans="1:42" s="185" customFormat="1" hidden="1" x14ac:dyDescent="0.2">
      <c r="A12" s="180">
        <v>2022</v>
      </c>
      <c r="B12" s="180" t="s">
        <v>70</v>
      </c>
      <c r="C12" s="180" t="s">
        <v>44</v>
      </c>
      <c r="D12" s="180" t="s">
        <v>132</v>
      </c>
      <c r="E12" s="180" t="s">
        <v>133</v>
      </c>
      <c r="F12" s="180" t="s">
        <v>47</v>
      </c>
      <c r="G12" s="180" t="s">
        <v>134</v>
      </c>
      <c r="H12" s="181">
        <v>44515</v>
      </c>
      <c r="I12" s="180">
        <f t="shared" si="0"/>
        <v>1</v>
      </c>
      <c r="J12" s="181">
        <v>44566</v>
      </c>
      <c r="K12" s="180" t="str">
        <f t="shared" si="1"/>
        <v>NUEVO</v>
      </c>
      <c r="L12" s="180"/>
      <c r="M12" s="180"/>
      <c r="N12" s="180"/>
      <c r="O12" s="180">
        <v>0</v>
      </c>
      <c r="P12" s="180" t="s">
        <v>49</v>
      </c>
      <c r="Q12" s="180"/>
      <c r="R12" s="182"/>
      <c r="S12" s="180" t="s">
        <v>50</v>
      </c>
      <c r="T12" s="180" t="s">
        <v>135</v>
      </c>
      <c r="U12" s="180" t="s">
        <v>52</v>
      </c>
      <c r="V12" s="180" t="s">
        <v>123</v>
      </c>
      <c r="W12" s="180" t="s">
        <v>54</v>
      </c>
      <c r="X12" s="180" t="s">
        <v>78</v>
      </c>
      <c r="Y12" s="183">
        <v>0.30208333333333331</v>
      </c>
      <c r="Z12" s="180" t="s">
        <v>56</v>
      </c>
      <c r="AA12" s="180" t="s">
        <v>80</v>
      </c>
      <c r="AB12" s="182"/>
      <c r="AC12" s="212"/>
      <c r="AD12" s="180" t="s">
        <v>58</v>
      </c>
      <c r="AE12" s="180" t="s">
        <v>136</v>
      </c>
      <c r="AF12" s="180">
        <v>57</v>
      </c>
      <c r="AG12" s="180" t="s">
        <v>83</v>
      </c>
      <c r="AH12" s="180" t="s">
        <v>84</v>
      </c>
      <c r="AI12" s="180" t="s">
        <v>62</v>
      </c>
      <c r="AJ12" s="180" t="s">
        <v>85</v>
      </c>
      <c r="AK12" s="251" t="s">
        <v>137</v>
      </c>
      <c r="AL12" s="182" t="s">
        <v>87</v>
      </c>
      <c r="AM12" s="252" t="s">
        <v>66</v>
      </c>
      <c r="AN12" s="182" t="s">
        <v>67</v>
      </c>
      <c r="AO12" s="182" t="s">
        <v>88</v>
      </c>
      <c r="AP12" s="182" t="s">
        <v>89</v>
      </c>
    </row>
    <row r="13" spans="1:42" s="185" customFormat="1" x14ac:dyDescent="0.2">
      <c r="A13" s="241">
        <v>2022</v>
      </c>
      <c r="B13" s="180" t="s">
        <v>70</v>
      </c>
      <c r="C13" s="180" t="s">
        <v>44</v>
      </c>
      <c r="D13" s="241" t="s">
        <v>138</v>
      </c>
      <c r="E13" s="241" t="s">
        <v>139</v>
      </c>
      <c r="F13" s="180" t="s">
        <v>73</v>
      </c>
      <c r="G13" s="180" t="s">
        <v>140</v>
      </c>
      <c r="H13" s="181">
        <v>44488</v>
      </c>
      <c r="I13" s="180">
        <f t="shared" si="0"/>
        <v>2</v>
      </c>
      <c r="J13" s="181">
        <v>44566</v>
      </c>
      <c r="K13" s="180" t="str">
        <f t="shared" si="1"/>
        <v>NUEVO</v>
      </c>
      <c r="L13" s="181">
        <v>44566</v>
      </c>
      <c r="M13" s="181">
        <v>44569</v>
      </c>
      <c r="N13" s="180"/>
      <c r="O13" s="216">
        <v>4</v>
      </c>
      <c r="P13" s="216" t="s">
        <v>141</v>
      </c>
      <c r="Q13" s="180"/>
      <c r="R13" s="182"/>
      <c r="S13" s="180" t="s">
        <v>142</v>
      </c>
      <c r="T13" s="180" t="s">
        <v>143</v>
      </c>
      <c r="U13" s="180" t="s">
        <v>52</v>
      </c>
      <c r="V13" s="180" t="s">
        <v>143</v>
      </c>
      <c r="W13" s="180" t="s">
        <v>144</v>
      </c>
      <c r="X13" s="180" t="s">
        <v>110</v>
      </c>
      <c r="Y13" s="183">
        <v>0.98958333333333337</v>
      </c>
      <c r="Z13" s="180" t="s">
        <v>56</v>
      </c>
      <c r="AA13" s="180" t="s">
        <v>80</v>
      </c>
      <c r="AB13" s="182">
        <v>14950</v>
      </c>
      <c r="AC13" s="214" t="s">
        <v>145</v>
      </c>
      <c r="AD13" s="180" t="s">
        <v>126</v>
      </c>
      <c r="AE13" s="180" t="s">
        <v>146</v>
      </c>
      <c r="AF13" s="180">
        <v>18</v>
      </c>
      <c r="AG13" s="180" t="s">
        <v>147</v>
      </c>
      <c r="AH13" s="180" t="s">
        <v>61</v>
      </c>
      <c r="AI13" s="180" t="s">
        <v>62</v>
      </c>
      <c r="AJ13" s="180" t="s">
        <v>148</v>
      </c>
      <c r="AK13" s="184" t="s">
        <v>149</v>
      </c>
      <c r="AL13" s="298" t="s">
        <v>65</v>
      </c>
      <c r="AM13" s="182" t="s">
        <v>66</v>
      </c>
      <c r="AN13" s="182" t="s">
        <v>66</v>
      </c>
      <c r="AO13" s="182" t="s">
        <v>117</v>
      </c>
      <c r="AP13" s="182" t="s">
        <v>69</v>
      </c>
    </row>
    <row r="14" spans="1:42" s="185" customFormat="1" hidden="1" x14ac:dyDescent="0.2">
      <c r="A14" s="180">
        <v>2022</v>
      </c>
      <c r="B14" s="180" t="s">
        <v>70</v>
      </c>
      <c r="C14" s="180" t="s">
        <v>44</v>
      </c>
      <c r="D14" s="180" t="s">
        <v>150</v>
      </c>
      <c r="E14" s="180" t="s">
        <v>151</v>
      </c>
      <c r="F14" s="180" t="s">
        <v>47</v>
      </c>
      <c r="G14" s="180" t="s">
        <v>152</v>
      </c>
      <c r="H14" s="181">
        <v>43984</v>
      </c>
      <c r="I14" s="180">
        <f t="shared" si="0"/>
        <v>19</v>
      </c>
      <c r="J14" s="181">
        <v>44569</v>
      </c>
      <c r="K14" s="180" t="str">
        <f t="shared" si="1"/>
        <v>INTERMEDIO</v>
      </c>
      <c r="L14" s="180"/>
      <c r="M14" s="180"/>
      <c r="N14" s="180"/>
      <c r="O14" s="180">
        <v>0</v>
      </c>
      <c r="P14" s="180" t="s">
        <v>49</v>
      </c>
      <c r="Q14" s="180"/>
      <c r="R14" s="182"/>
      <c r="S14" s="180" t="s">
        <v>93</v>
      </c>
      <c r="T14" s="180" t="s">
        <v>94</v>
      </c>
      <c r="U14" s="180" t="s">
        <v>52</v>
      </c>
      <c r="V14" s="180" t="s">
        <v>153</v>
      </c>
      <c r="W14" s="180" t="s">
        <v>54</v>
      </c>
      <c r="X14" s="180" t="s">
        <v>78</v>
      </c>
      <c r="Y14" s="183">
        <v>0.42708333333333331</v>
      </c>
      <c r="Z14" s="180" t="s">
        <v>154</v>
      </c>
      <c r="AA14" s="180" t="s">
        <v>80</v>
      </c>
      <c r="AB14" s="182"/>
      <c r="AC14" s="212"/>
      <c r="AD14" s="180" t="s">
        <v>97</v>
      </c>
      <c r="AE14" s="180" t="s">
        <v>155</v>
      </c>
      <c r="AF14" s="180">
        <v>28</v>
      </c>
      <c r="AG14" s="180" t="s">
        <v>128</v>
      </c>
      <c r="AH14" s="180" t="s">
        <v>61</v>
      </c>
      <c r="AI14" s="180" t="s">
        <v>62</v>
      </c>
      <c r="AJ14" s="180" t="s">
        <v>156</v>
      </c>
      <c r="AK14" s="184" t="s">
        <v>157</v>
      </c>
      <c r="AL14" s="182" t="s">
        <v>65</v>
      </c>
      <c r="AM14" s="182" t="s">
        <v>66</v>
      </c>
      <c r="AN14" s="182" t="s">
        <v>67</v>
      </c>
      <c r="AO14" s="182" t="s">
        <v>88</v>
      </c>
      <c r="AP14" s="182" t="s">
        <v>89</v>
      </c>
    </row>
    <row r="15" spans="1:42" s="185" customFormat="1" hidden="1" x14ac:dyDescent="0.2">
      <c r="A15" s="180">
        <v>2022</v>
      </c>
      <c r="B15" s="180" t="s">
        <v>70</v>
      </c>
      <c r="C15" s="180" t="s">
        <v>44</v>
      </c>
      <c r="D15" s="180" t="s">
        <v>158</v>
      </c>
      <c r="E15" s="180" t="s">
        <v>159</v>
      </c>
      <c r="F15" s="180" t="s">
        <v>47</v>
      </c>
      <c r="G15" s="180" t="s">
        <v>160</v>
      </c>
      <c r="H15" s="181">
        <v>43689</v>
      </c>
      <c r="I15" s="180">
        <f t="shared" si="0"/>
        <v>29</v>
      </c>
      <c r="J15" s="181">
        <v>44574</v>
      </c>
      <c r="K15" s="180" t="str">
        <f t="shared" si="1"/>
        <v>INTERMEDIO</v>
      </c>
      <c r="L15" s="180"/>
      <c r="M15" s="180"/>
      <c r="N15" s="180"/>
      <c r="O15" s="180">
        <v>0</v>
      </c>
      <c r="P15" s="180" t="s">
        <v>49</v>
      </c>
      <c r="Q15" s="180" t="s">
        <v>161</v>
      </c>
      <c r="R15" s="182" t="s">
        <v>162</v>
      </c>
      <c r="S15" s="180" t="s">
        <v>50</v>
      </c>
      <c r="T15" s="180" t="s">
        <v>135</v>
      </c>
      <c r="U15" s="180" t="s">
        <v>52</v>
      </c>
      <c r="V15" s="180" t="s">
        <v>123</v>
      </c>
      <c r="W15" s="180" t="s">
        <v>163</v>
      </c>
      <c r="X15" s="180" t="s">
        <v>78</v>
      </c>
      <c r="Y15" s="183">
        <v>0.39583333333333331</v>
      </c>
      <c r="Z15" s="180" t="s">
        <v>164</v>
      </c>
      <c r="AA15" s="180" t="s">
        <v>165</v>
      </c>
      <c r="AB15" s="182"/>
      <c r="AC15" s="212"/>
      <c r="AD15" s="180" t="s">
        <v>58</v>
      </c>
      <c r="AE15" s="180" t="s">
        <v>59</v>
      </c>
      <c r="AF15" s="180">
        <v>29</v>
      </c>
      <c r="AG15" s="180" t="s">
        <v>166</v>
      </c>
      <c r="AH15" s="180" t="s">
        <v>61</v>
      </c>
      <c r="AI15" s="187" t="s">
        <v>62</v>
      </c>
      <c r="AJ15" s="187" t="s">
        <v>148</v>
      </c>
      <c r="AK15" s="189" t="s">
        <v>167</v>
      </c>
      <c r="AL15" s="182" t="s">
        <v>65</v>
      </c>
      <c r="AM15" s="182" t="s">
        <v>66</v>
      </c>
      <c r="AN15" s="182" t="s">
        <v>67</v>
      </c>
      <c r="AO15" s="182" t="s">
        <v>117</v>
      </c>
      <c r="AP15" s="182" t="s">
        <v>69</v>
      </c>
    </row>
    <row r="16" spans="1:42" s="185" customFormat="1" x14ac:dyDescent="0.2">
      <c r="A16" s="241">
        <v>2022</v>
      </c>
      <c r="B16" s="180" t="s">
        <v>70</v>
      </c>
      <c r="C16" s="180" t="s">
        <v>44</v>
      </c>
      <c r="D16" s="241" t="s">
        <v>168</v>
      </c>
      <c r="E16" s="241" t="s">
        <v>169</v>
      </c>
      <c r="F16" s="180" t="s">
        <v>73</v>
      </c>
      <c r="G16" s="180" t="s">
        <v>170</v>
      </c>
      <c r="H16" s="181">
        <v>42676</v>
      </c>
      <c r="I16" s="180">
        <f t="shared" si="0"/>
        <v>62</v>
      </c>
      <c r="J16" s="181">
        <v>44574</v>
      </c>
      <c r="K16" s="180" t="str">
        <f t="shared" si="1"/>
        <v>ANTIGUO</v>
      </c>
      <c r="L16" s="181">
        <v>44575</v>
      </c>
      <c r="M16" s="181">
        <v>44665</v>
      </c>
      <c r="N16" s="180"/>
      <c r="O16" s="216">
        <v>91</v>
      </c>
      <c r="P16" s="216" t="s">
        <v>141</v>
      </c>
      <c r="Q16" s="180" t="s">
        <v>107</v>
      </c>
      <c r="R16" s="182" t="s">
        <v>162</v>
      </c>
      <c r="S16" s="180" t="s">
        <v>142</v>
      </c>
      <c r="T16" s="180" t="s">
        <v>171</v>
      </c>
      <c r="U16" s="180" t="s">
        <v>31</v>
      </c>
      <c r="V16" s="180" t="s">
        <v>171</v>
      </c>
      <c r="W16" s="180" t="s">
        <v>172</v>
      </c>
      <c r="X16" s="180" t="s">
        <v>110</v>
      </c>
      <c r="Y16" s="183">
        <v>0.92361111111111116</v>
      </c>
      <c r="Z16" s="180" t="s">
        <v>164</v>
      </c>
      <c r="AA16" s="180" t="s">
        <v>165</v>
      </c>
      <c r="AB16" s="182"/>
      <c r="AC16" s="214" t="s">
        <v>173</v>
      </c>
      <c r="AD16" s="180" t="s">
        <v>126</v>
      </c>
      <c r="AE16" s="180" t="s">
        <v>174</v>
      </c>
      <c r="AF16" s="180">
        <v>35</v>
      </c>
      <c r="AG16" s="180" t="s">
        <v>175</v>
      </c>
      <c r="AH16" s="180" t="s">
        <v>61</v>
      </c>
      <c r="AI16" s="180" t="s">
        <v>176</v>
      </c>
      <c r="AJ16" s="180" t="s">
        <v>177</v>
      </c>
      <c r="AK16" s="184" t="s">
        <v>178</v>
      </c>
      <c r="AL16" s="257" t="s">
        <v>65</v>
      </c>
      <c r="AM16" s="182" t="s">
        <v>67</v>
      </c>
      <c r="AN16" s="182" t="s">
        <v>66</v>
      </c>
      <c r="AO16" s="182" t="s">
        <v>88</v>
      </c>
      <c r="AP16" s="182" t="s">
        <v>103</v>
      </c>
    </row>
    <row r="17" spans="1:42" s="185" customFormat="1" hidden="1" x14ac:dyDescent="0.2">
      <c r="A17" s="180">
        <v>2022</v>
      </c>
      <c r="B17" s="180" t="s">
        <v>70</v>
      </c>
      <c r="C17" s="180" t="s">
        <v>44</v>
      </c>
      <c r="D17" s="180" t="s">
        <v>179</v>
      </c>
      <c r="E17" s="180" t="s">
        <v>180</v>
      </c>
      <c r="F17" s="180" t="s">
        <v>47</v>
      </c>
      <c r="G17" s="180" t="s">
        <v>181</v>
      </c>
      <c r="H17" s="181">
        <v>44410</v>
      </c>
      <c r="I17" s="180">
        <f t="shared" si="0"/>
        <v>5</v>
      </c>
      <c r="J17" s="181">
        <v>44575</v>
      </c>
      <c r="K17" s="180" t="str">
        <f t="shared" si="1"/>
        <v>NUEVO</v>
      </c>
      <c r="L17" s="180"/>
      <c r="M17" s="180"/>
      <c r="N17" s="180"/>
      <c r="O17" s="180">
        <v>0</v>
      </c>
      <c r="P17" s="180" t="s">
        <v>49</v>
      </c>
      <c r="Q17" s="180"/>
      <c r="R17" s="182"/>
      <c r="S17" s="180" t="s">
        <v>182</v>
      </c>
      <c r="T17" s="180" t="s">
        <v>76</v>
      </c>
      <c r="U17" s="180" t="s">
        <v>52</v>
      </c>
      <c r="V17" s="180"/>
      <c r="W17" s="180" t="s">
        <v>54</v>
      </c>
      <c r="X17" s="180" t="s">
        <v>110</v>
      </c>
      <c r="Y17" s="183">
        <v>0.14583333333333334</v>
      </c>
      <c r="Z17" s="180" t="s">
        <v>183</v>
      </c>
      <c r="AA17" s="180" t="s">
        <v>165</v>
      </c>
      <c r="AB17" s="182"/>
      <c r="AC17" s="212"/>
      <c r="AD17" s="180" t="s">
        <v>184</v>
      </c>
      <c r="AE17" s="180" t="s">
        <v>185</v>
      </c>
      <c r="AF17" s="180">
        <v>29</v>
      </c>
      <c r="AG17" s="180" t="s">
        <v>83</v>
      </c>
      <c r="AH17" s="180" t="s">
        <v>186</v>
      </c>
      <c r="AI17" s="180" t="s">
        <v>62</v>
      </c>
      <c r="AJ17" s="180" t="s">
        <v>85</v>
      </c>
      <c r="AK17" s="251" t="s">
        <v>187</v>
      </c>
      <c r="AL17" s="182" t="s">
        <v>87</v>
      </c>
      <c r="AM17" s="252" t="s">
        <v>66</v>
      </c>
      <c r="AN17" s="182" t="s">
        <v>67</v>
      </c>
      <c r="AO17" s="182" t="s">
        <v>117</v>
      </c>
      <c r="AP17" s="182" t="s">
        <v>103</v>
      </c>
    </row>
    <row r="18" spans="1:42" s="185" customFormat="1" x14ac:dyDescent="0.2">
      <c r="A18" s="241">
        <v>2022</v>
      </c>
      <c r="B18" s="180" t="s">
        <v>70</v>
      </c>
      <c r="C18" s="180" t="s">
        <v>44</v>
      </c>
      <c r="D18" s="241" t="s">
        <v>188</v>
      </c>
      <c r="E18" s="241" t="s">
        <v>189</v>
      </c>
      <c r="F18" s="180" t="s">
        <v>73</v>
      </c>
      <c r="G18" s="180" t="s">
        <v>190</v>
      </c>
      <c r="H18" s="181">
        <v>43104</v>
      </c>
      <c r="I18" s="180">
        <f t="shared" si="0"/>
        <v>48</v>
      </c>
      <c r="J18" s="181">
        <v>44575</v>
      </c>
      <c r="K18" s="180" t="str">
        <f t="shared" si="1"/>
        <v>ANTIGUO</v>
      </c>
      <c r="L18" s="181">
        <v>44575</v>
      </c>
      <c r="M18" s="181">
        <v>44582</v>
      </c>
      <c r="N18" s="180"/>
      <c r="O18" s="216">
        <v>8</v>
      </c>
      <c r="P18" s="216" t="s">
        <v>141</v>
      </c>
      <c r="Q18" s="180" t="s">
        <v>107</v>
      </c>
      <c r="R18" s="182" t="s">
        <v>162</v>
      </c>
      <c r="S18" s="180" t="s">
        <v>93</v>
      </c>
      <c r="T18" s="180" t="s">
        <v>191</v>
      </c>
      <c r="U18" s="180" t="s">
        <v>52</v>
      </c>
      <c r="V18" s="180" t="s">
        <v>192</v>
      </c>
      <c r="W18" s="180" t="s">
        <v>95</v>
      </c>
      <c r="X18" s="180" t="s">
        <v>55</v>
      </c>
      <c r="Y18" s="183">
        <v>0.625</v>
      </c>
      <c r="Z18" s="180" t="s">
        <v>183</v>
      </c>
      <c r="AA18" s="180" t="s">
        <v>165</v>
      </c>
      <c r="AB18" s="182"/>
      <c r="AC18" s="214" t="s">
        <v>193</v>
      </c>
      <c r="AD18" s="180" t="s">
        <v>97</v>
      </c>
      <c r="AE18" s="180" t="s">
        <v>98</v>
      </c>
      <c r="AF18" s="180">
        <v>38</v>
      </c>
      <c r="AG18" s="180" t="s">
        <v>99</v>
      </c>
      <c r="AH18" s="180" t="s">
        <v>61</v>
      </c>
      <c r="AI18" s="180" t="s">
        <v>100</v>
      </c>
      <c r="AJ18" s="180" t="s">
        <v>130</v>
      </c>
      <c r="AK18" s="251" t="s">
        <v>194</v>
      </c>
      <c r="AL18" s="180" t="s">
        <v>65</v>
      </c>
      <c r="AM18" s="252" t="s">
        <v>66</v>
      </c>
      <c r="AN18" s="182" t="s">
        <v>66</v>
      </c>
      <c r="AO18" s="182" t="s">
        <v>88</v>
      </c>
      <c r="AP18" s="182" t="s">
        <v>89</v>
      </c>
    </row>
    <row r="19" spans="1:42" s="185" customFormat="1" hidden="1" x14ac:dyDescent="0.2">
      <c r="A19" s="180">
        <v>2022</v>
      </c>
      <c r="B19" s="180" t="s">
        <v>70</v>
      </c>
      <c r="C19" s="180" t="s">
        <v>44</v>
      </c>
      <c r="D19" s="180" t="s">
        <v>195</v>
      </c>
      <c r="E19" s="180" t="s">
        <v>196</v>
      </c>
      <c r="F19" s="180" t="s">
        <v>73</v>
      </c>
      <c r="G19" s="180" t="s">
        <v>197</v>
      </c>
      <c r="H19" s="181">
        <v>44412</v>
      </c>
      <c r="I19" s="180">
        <f t="shared" si="0"/>
        <v>5</v>
      </c>
      <c r="J19" s="181">
        <v>44578</v>
      </c>
      <c r="K19" s="180" t="str">
        <f t="shared" si="1"/>
        <v>NUEVO</v>
      </c>
      <c r="L19" s="180"/>
      <c r="M19" s="180"/>
      <c r="N19" s="180"/>
      <c r="O19" s="180">
        <v>0</v>
      </c>
      <c r="P19" s="180" t="s">
        <v>49</v>
      </c>
      <c r="Q19" s="180"/>
      <c r="R19" s="182"/>
      <c r="S19" s="180" t="s">
        <v>50</v>
      </c>
      <c r="T19" s="180" t="s">
        <v>135</v>
      </c>
      <c r="U19" s="180" t="s">
        <v>52</v>
      </c>
      <c r="V19" s="180" t="s">
        <v>123</v>
      </c>
      <c r="W19" s="180" t="s">
        <v>54</v>
      </c>
      <c r="X19" s="180" t="s">
        <v>78</v>
      </c>
      <c r="Y19" s="183">
        <v>0.375</v>
      </c>
      <c r="Z19" s="180" t="s">
        <v>79</v>
      </c>
      <c r="AA19" s="180" t="s">
        <v>198</v>
      </c>
      <c r="AB19" s="182"/>
      <c r="AC19" s="212"/>
      <c r="AD19" s="180" t="s">
        <v>58</v>
      </c>
      <c r="AE19" s="180" t="s">
        <v>136</v>
      </c>
      <c r="AF19" s="180">
        <v>28</v>
      </c>
      <c r="AG19" s="180" t="s">
        <v>166</v>
      </c>
      <c r="AH19" s="180" t="s">
        <v>61</v>
      </c>
      <c r="AI19" s="180" t="s">
        <v>62</v>
      </c>
      <c r="AJ19" s="180" t="s">
        <v>199</v>
      </c>
      <c r="AK19" s="184" t="s">
        <v>200</v>
      </c>
      <c r="AL19" s="255" t="s">
        <v>65</v>
      </c>
      <c r="AM19" s="182" t="s">
        <v>66</v>
      </c>
      <c r="AN19" s="182" t="s">
        <v>67</v>
      </c>
      <c r="AO19" s="182" t="s">
        <v>88</v>
      </c>
      <c r="AP19" s="182" t="s">
        <v>69</v>
      </c>
    </row>
    <row r="20" spans="1:42" s="185" customFormat="1" hidden="1" x14ac:dyDescent="0.2">
      <c r="A20" s="180">
        <v>2022</v>
      </c>
      <c r="B20" s="180" t="s">
        <v>70</v>
      </c>
      <c r="C20" s="180" t="s">
        <v>44</v>
      </c>
      <c r="D20" s="180" t="s">
        <v>201</v>
      </c>
      <c r="E20" s="180" t="s">
        <v>202</v>
      </c>
      <c r="F20" s="180" t="s">
        <v>73</v>
      </c>
      <c r="G20" s="180" t="s">
        <v>203</v>
      </c>
      <c r="H20" s="181">
        <v>41757</v>
      </c>
      <c r="I20" s="180">
        <f t="shared" si="0"/>
        <v>92</v>
      </c>
      <c r="J20" s="181">
        <v>44579</v>
      </c>
      <c r="K20" s="180" t="str">
        <f t="shared" si="1"/>
        <v>ANTIGUO</v>
      </c>
      <c r="L20" s="180"/>
      <c r="M20" s="180"/>
      <c r="N20" s="180"/>
      <c r="O20" s="180">
        <v>0</v>
      </c>
      <c r="P20" s="180" t="s">
        <v>49</v>
      </c>
      <c r="Q20" s="180"/>
      <c r="R20" s="182"/>
      <c r="S20" s="180" t="s">
        <v>75</v>
      </c>
      <c r="T20" s="180" t="s">
        <v>204</v>
      </c>
      <c r="U20" s="180" t="s">
        <v>52</v>
      </c>
      <c r="V20" s="180" t="s">
        <v>205</v>
      </c>
      <c r="W20" s="180" t="s">
        <v>204</v>
      </c>
      <c r="X20" s="180" t="s">
        <v>78</v>
      </c>
      <c r="Y20" s="183">
        <v>0.42708333333333331</v>
      </c>
      <c r="Z20" s="180" t="s">
        <v>96</v>
      </c>
      <c r="AA20" s="180" t="s">
        <v>198</v>
      </c>
      <c r="AB20" s="182"/>
      <c r="AC20" s="212"/>
      <c r="AD20" s="180" t="s">
        <v>81</v>
      </c>
      <c r="AE20" s="180" t="s">
        <v>206</v>
      </c>
      <c r="AF20" s="180">
        <v>69</v>
      </c>
      <c r="AG20" s="180" t="s">
        <v>83</v>
      </c>
      <c r="AH20" s="180" t="s">
        <v>207</v>
      </c>
      <c r="AI20" s="180" t="s">
        <v>62</v>
      </c>
      <c r="AJ20" s="180" t="s">
        <v>85</v>
      </c>
      <c r="AK20" s="184" t="s">
        <v>208</v>
      </c>
      <c r="AL20" s="182" t="s">
        <v>65</v>
      </c>
      <c r="AM20" s="182" t="s">
        <v>66</v>
      </c>
      <c r="AN20" s="182" t="s">
        <v>67</v>
      </c>
      <c r="AO20" s="182" t="s">
        <v>88</v>
      </c>
      <c r="AP20" s="182" t="s">
        <v>103</v>
      </c>
    </row>
    <row r="21" spans="1:42" s="185" customFormat="1" hidden="1" x14ac:dyDescent="0.2">
      <c r="A21" s="180">
        <v>2022</v>
      </c>
      <c r="B21" s="180" t="s">
        <v>70</v>
      </c>
      <c r="C21" s="180" t="s">
        <v>44</v>
      </c>
      <c r="D21" s="180" t="s">
        <v>209</v>
      </c>
      <c r="E21" s="180" t="s">
        <v>210</v>
      </c>
      <c r="F21" s="180" t="s">
        <v>73</v>
      </c>
      <c r="G21" s="180" t="s">
        <v>211</v>
      </c>
      <c r="H21" s="181">
        <v>44378</v>
      </c>
      <c r="I21" s="180">
        <f t="shared" si="0"/>
        <v>6</v>
      </c>
      <c r="J21" s="181">
        <v>44580</v>
      </c>
      <c r="K21" s="180" t="str">
        <f t="shared" si="1"/>
        <v>NUEVO</v>
      </c>
      <c r="L21" s="180"/>
      <c r="M21" s="180"/>
      <c r="N21" s="180"/>
      <c r="O21" s="180">
        <v>0</v>
      </c>
      <c r="P21" s="180" t="s">
        <v>49</v>
      </c>
      <c r="Q21" s="180"/>
      <c r="R21" s="182"/>
      <c r="S21" s="180" t="s">
        <v>50</v>
      </c>
      <c r="T21" s="180" t="s">
        <v>51</v>
      </c>
      <c r="U21" s="180" t="s">
        <v>52</v>
      </c>
      <c r="V21" s="180" t="s">
        <v>53</v>
      </c>
      <c r="W21" s="180" t="s">
        <v>54</v>
      </c>
      <c r="X21" s="180" t="s">
        <v>55</v>
      </c>
      <c r="Y21" s="183">
        <v>0.68055555555555547</v>
      </c>
      <c r="Z21" s="180" t="s">
        <v>56</v>
      </c>
      <c r="AA21" s="180" t="s">
        <v>198</v>
      </c>
      <c r="AB21" s="182"/>
      <c r="AC21" s="212"/>
      <c r="AD21" s="180" t="s">
        <v>58</v>
      </c>
      <c r="AE21" s="180" t="s">
        <v>212</v>
      </c>
      <c r="AF21" s="180">
        <v>19</v>
      </c>
      <c r="AG21" s="180" t="s">
        <v>213</v>
      </c>
      <c r="AH21" s="180" t="s">
        <v>61</v>
      </c>
      <c r="AI21" s="180" t="s">
        <v>62</v>
      </c>
      <c r="AJ21" s="180" t="s">
        <v>148</v>
      </c>
      <c r="AK21" s="184" t="s">
        <v>214</v>
      </c>
      <c r="AL21" s="182" t="s">
        <v>87</v>
      </c>
      <c r="AM21" s="182" t="s">
        <v>66</v>
      </c>
      <c r="AN21" s="182" t="s">
        <v>67</v>
      </c>
      <c r="AO21" s="182" t="s">
        <v>215</v>
      </c>
      <c r="AP21" s="182" t="s">
        <v>103</v>
      </c>
    </row>
    <row r="22" spans="1:42" s="185" customFormat="1" hidden="1" x14ac:dyDescent="0.2">
      <c r="A22" s="180">
        <v>2022</v>
      </c>
      <c r="B22" s="180" t="s">
        <v>70</v>
      </c>
      <c r="C22" s="180" t="s">
        <v>44</v>
      </c>
      <c r="D22" s="180" t="s">
        <v>216</v>
      </c>
      <c r="E22" s="180" t="s">
        <v>217</v>
      </c>
      <c r="F22" s="180" t="s">
        <v>73</v>
      </c>
      <c r="G22" s="180" t="s">
        <v>218</v>
      </c>
      <c r="H22" s="181">
        <v>44523</v>
      </c>
      <c r="I22" s="180">
        <f t="shared" si="0"/>
        <v>1</v>
      </c>
      <c r="J22" s="181">
        <v>44581</v>
      </c>
      <c r="K22" s="180" t="str">
        <f t="shared" si="1"/>
        <v>NUEVO</v>
      </c>
      <c r="L22" s="180"/>
      <c r="M22" s="180"/>
      <c r="N22" s="180"/>
      <c r="O22" s="180">
        <v>0</v>
      </c>
      <c r="P22" s="180" t="s">
        <v>49</v>
      </c>
      <c r="Q22" s="180"/>
      <c r="R22" s="182"/>
      <c r="S22" s="180" t="s">
        <v>219</v>
      </c>
      <c r="T22" s="180" t="s">
        <v>220</v>
      </c>
      <c r="U22" s="180" t="s">
        <v>52</v>
      </c>
      <c r="V22" s="180" t="s">
        <v>220</v>
      </c>
      <c r="W22" s="180" t="s">
        <v>54</v>
      </c>
      <c r="X22" s="180" t="s">
        <v>78</v>
      </c>
      <c r="Y22" s="183">
        <v>0.49305555555555558</v>
      </c>
      <c r="Z22" s="180" t="s">
        <v>164</v>
      </c>
      <c r="AA22" s="180" t="s">
        <v>198</v>
      </c>
      <c r="AB22" s="182"/>
      <c r="AC22" s="212"/>
      <c r="AD22" s="180" t="s">
        <v>221</v>
      </c>
      <c r="AE22" s="180" t="s">
        <v>222</v>
      </c>
      <c r="AF22" s="180">
        <v>38</v>
      </c>
      <c r="AG22" s="180" t="s">
        <v>60</v>
      </c>
      <c r="AH22" s="180" t="s">
        <v>61</v>
      </c>
      <c r="AI22" s="180" t="s">
        <v>100</v>
      </c>
      <c r="AJ22" s="180" t="s">
        <v>130</v>
      </c>
      <c r="AK22" s="184" t="s">
        <v>223</v>
      </c>
      <c r="AL22" s="182" t="s">
        <v>65</v>
      </c>
      <c r="AM22" s="182" t="s">
        <v>66</v>
      </c>
      <c r="AN22" s="182" t="s">
        <v>67</v>
      </c>
      <c r="AO22" s="182" t="s">
        <v>88</v>
      </c>
      <c r="AP22" s="182" t="s">
        <v>89</v>
      </c>
    </row>
    <row r="23" spans="1:42" s="185" customFormat="1" hidden="1" x14ac:dyDescent="0.2">
      <c r="A23" s="180">
        <v>2022</v>
      </c>
      <c r="B23" s="180" t="s">
        <v>70</v>
      </c>
      <c r="C23" s="180" t="s">
        <v>44</v>
      </c>
      <c r="D23" s="180" t="s">
        <v>224</v>
      </c>
      <c r="E23" s="180" t="s">
        <v>225</v>
      </c>
      <c r="F23" s="180" t="s">
        <v>47</v>
      </c>
      <c r="G23" s="180" t="s">
        <v>226</v>
      </c>
      <c r="H23" s="181">
        <v>44495</v>
      </c>
      <c r="I23" s="180">
        <f t="shared" si="0"/>
        <v>2</v>
      </c>
      <c r="J23" s="181">
        <v>44585</v>
      </c>
      <c r="K23" s="180" t="str">
        <f t="shared" si="1"/>
        <v>NUEVO</v>
      </c>
      <c r="L23" s="180"/>
      <c r="M23" s="180"/>
      <c r="N23" s="180"/>
      <c r="O23" s="180">
        <v>0</v>
      </c>
      <c r="P23" s="180" t="s">
        <v>49</v>
      </c>
      <c r="Q23" s="180"/>
      <c r="R23" s="182"/>
      <c r="S23" s="180" t="s">
        <v>50</v>
      </c>
      <c r="T23" s="180" t="s">
        <v>51</v>
      </c>
      <c r="U23" s="180" t="s">
        <v>52</v>
      </c>
      <c r="V23" s="180" t="s">
        <v>53</v>
      </c>
      <c r="W23" s="180" t="s">
        <v>163</v>
      </c>
      <c r="X23" s="180" t="s">
        <v>55</v>
      </c>
      <c r="Y23" s="183">
        <v>0.82430555555555562</v>
      </c>
      <c r="Z23" s="180" t="s">
        <v>79</v>
      </c>
      <c r="AA23" s="180" t="s">
        <v>227</v>
      </c>
      <c r="AB23" s="182"/>
      <c r="AC23" s="212"/>
      <c r="AD23" s="180" t="s">
        <v>58</v>
      </c>
      <c r="AE23" s="180" t="s">
        <v>228</v>
      </c>
      <c r="AF23" s="180">
        <v>29</v>
      </c>
      <c r="AG23" s="180" t="s">
        <v>166</v>
      </c>
      <c r="AH23" s="180" t="s">
        <v>61</v>
      </c>
      <c r="AI23" s="180" t="s">
        <v>62</v>
      </c>
      <c r="AJ23" s="180" t="s">
        <v>148</v>
      </c>
      <c r="AK23" s="184" t="s">
        <v>229</v>
      </c>
      <c r="AL23" s="250" t="s">
        <v>65</v>
      </c>
      <c r="AM23" s="182" t="s">
        <v>66</v>
      </c>
      <c r="AN23" s="182" t="s">
        <v>67</v>
      </c>
      <c r="AO23" s="182" t="s">
        <v>88</v>
      </c>
      <c r="AP23" s="182" t="s">
        <v>89</v>
      </c>
    </row>
    <row r="24" spans="1:42" s="185" customFormat="1" x14ac:dyDescent="0.2">
      <c r="A24" s="241">
        <v>2022</v>
      </c>
      <c r="B24" s="180" t="s">
        <v>70</v>
      </c>
      <c r="C24" s="180" t="s">
        <v>44</v>
      </c>
      <c r="D24" s="241" t="s">
        <v>230</v>
      </c>
      <c r="E24" s="241" t="s">
        <v>231</v>
      </c>
      <c r="F24" s="180" t="s">
        <v>47</v>
      </c>
      <c r="G24" s="180" t="s">
        <v>232</v>
      </c>
      <c r="H24" s="181">
        <v>43934</v>
      </c>
      <c r="I24" s="180">
        <f t="shared" si="0"/>
        <v>21</v>
      </c>
      <c r="J24" s="181">
        <v>44585</v>
      </c>
      <c r="K24" s="180" t="str">
        <f t="shared" si="1"/>
        <v>INTERMEDIO</v>
      </c>
      <c r="L24" s="181">
        <v>44586</v>
      </c>
      <c r="M24" s="181">
        <v>44589</v>
      </c>
      <c r="N24" s="180"/>
      <c r="O24" s="216">
        <v>5</v>
      </c>
      <c r="P24" s="216" t="s">
        <v>141</v>
      </c>
      <c r="Q24" s="180"/>
      <c r="R24" s="182"/>
      <c r="S24" s="180" t="s">
        <v>75</v>
      </c>
      <c r="T24" s="180" t="s">
        <v>76</v>
      </c>
      <c r="U24" s="180" t="s">
        <v>52</v>
      </c>
      <c r="V24" s="180" t="s">
        <v>233</v>
      </c>
      <c r="W24" s="180" t="s">
        <v>54</v>
      </c>
      <c r="X24" s="180" t="s">
        <v>110</v>
      </c>
      <c r="Y24" s="183">
        <v>0.99583333333333324</v>
      </c>
      <c r="Z24" s="180" t="s">
        <v>79</v>
      </c>
      <c r="AA24" s="180" t="s">
        <v>227</v>
      </c>
      <c r="AB24" s="182">
        <v>14949</v>
      </c>
      <c r="AC24" s="214" t="s">
        <v>234</v>
      </c>
      <c r="AD24" s="180" t="s">
        <v>81</v>
      </c>
      <c r="AE24" s="180" t="s">
        <v>235</v>
      </c>
      <c r="AF24" s="180">
        <v>42</v>
      </c>
      <c r="AG24" s="180" t="s">
        <v>236</v>
      </c>
      <c r="AH24" s="180" t="s">
        <v>84</v>
      </c>
      <c r="AI24" s="180" t="s">
        <v>237</v>
      </c>
      <c r="AJ24" s="180" t="s">
        <v>238</v>
      </c>
      <c r="AK24" s="251" t="s">
        <v>239</v>
      </c>
      <c r="AL24" s="180" t="s">
        <v>87</v>
      </c>
      <c r="AM24" s="252" t="s">
        <v>66</v>
      </c>
      <c r="AN24" s="182" t="s">
        <v>66</v>
      </c>
      <c r="AO24" s="182" t="s">
        <v>215</v>
      </c>
      <c r="AP24" s="182" t="s">
        <v>89</v>
      </c>
    </row>
    <row r="25" spans="1:42" s="185" customFormat="1" hidden="1" x14ac:dyDescent="0.2">
      <c r="A25" s="180">
        <v>2022</v>
      </c>
      <c r="B25" s="180" t="s">
        <v>70</v>
      </c>
      <c r="C25" s="180" t="s">
        <v>44</v>
      </c>
      <c r="D25" s="180" t="s">
        <v>240</v>
      </c>
      <c r="E25" s="180" t="s">
        <v>241</v>
      </c>
      <c r="F25" s="180" t="s">
        <v>47</v>
      </c>
      <c r="G25" s="180" t="s">
        <v>242</v>
      </c>
      <c r="H25" s="181">
        <v>42779</v>
      </c>
      <c r="I25" s="180">
        <f t="shared" si="0"/>
        <v>59</v>
      </c>
      <c r="J25" s="181">
        <v>44592</v>
      </c>
      <c r="K25" s="180" t="str">
        <f t="shared" si="1"/>
        <v>ANTIGUO</v>
      </c>
      <c r="L25" s="180"/>
      <c r="M25" s="180"/>
      <c r="N25" s="180"/>
      <c r="O25" s="180">
        <v>0</v>
      </c>
      <c r="P25" s="180" t="s">
        <v>49</v>
      </c>
      <c r="Q25" s="180" t="s">
        <v>107</v>
      </c>
      <c r="R25" s="182" t="s">
        <v>243</v>
      </c>
      <c r="S25" s="180" t="s">
        <v>75</v>
      </c>
      <c r="T25" s="180" t="s">
        <v>76</v>
      </c>
      <c r="U25" s="180" t="s">
        <v>52</v>
      </c>
      <c r="V25" s="180" t="s">
        <v>244</v>
      </c>
      <c r="W25" s="180" t="s">
        <v>245</v>
      </c>
      <c r="X25" s="180" t="s">
        <v>110</v>
      </c>
      <c r="Y25" s="183">
        <v>0.20833333333333334</v>
      </c>
      <c r="Z25" s="180" t="s">
        <v>79</v>
      </c>
      <c r="AA25" s="180" t="s">
        <v>246</v>
      </c>
      <c r="AB25" s="182"/>
      <c r="AC25" s="212"/>
      <c r="AD25" s="180" t="s">
        <v>81</v>
      </c>
      <c r="AE25" s="180" t="s">
        <v>111</v>
      </c>
      <c r="AF25" s="180">
        <v>33</v>
      </c>
      <c r="AG25" s="180" t="s">
        <v>60</v>
      </c>
      <c r="AH25" s="180" t="s">
        <v>61</v>
      </c>
      <c r="AI25" s="180" t="s">
        <v>114</v>
      </c>
      <c r="AJ25" s="180" t="s">
        <v>247</v>
      </c>
      <c r="AK25" s="184" t="s">
        <v>248</v>
      </c>
      <c r="AL25" s="255" t="s">
        <v>87</v>
      </c>
      <c r="AM25" s="182" t="s">
        <v>66</v>
      </c>
      <c r="AN25" s="182" t="s">
        <v>67</v>
      </c>
      <c r="AO25" s="182" t="s">
        <v>88</v>
      </c>
      <c r="AP25" s="182" t="s">
        <v>89</v>
      </c>
    </row>
    <row r="26" spans="1:42" s="185" customFormat="1" hidden="1" x14ac:dyDescent="0.2">
      <c r="A26" s="180">
        <v>2022</v>
      </c>
      <c r="B26" s="180" t="s">
        <v>249</v>
      </c>
      <c r="C26" s="180" t="s">
        <v>44</v>
      </c>
      <c r="D26" s="180" t="s">
        <v>250</v>
      </c>
      <c r="E26" s="180" t="s">
        <v>251</v>
      </c>
      <c r="F26" s="180" t="s">
        <v>47</v>
      </c>
      <c r="G26" s="180" t="s">
        <v>252</v>
      </c>
      <c r="H26" s="181">
        <v>44594</v>
      </c>
      <c r="I26" s="180">
        <f t="shared" si="0"/>
        <v>0</v>
      </c>
      <c r="J26" s="181">
        <v>44594</v>
      </c>
      <c r="K26" s="180" t="str">
        <f t="shared" si="1"/>
        <v>NUEVO</v>
      </c>
      <c r="L26" s="180"/>
      <c r="M26" s="180"/>
      <c r="N26" s="180"/>
      <c r="O26" s="180">
        <v>0</v>
      </c>
      <c r="P26" s="180" t="s">
        <v>49</v>
      </c>
      <c r="Q26" s="180"/>
      <c r="R26" s="182"/>
      <c r="S26" s="180" t="s">
        <v>142</v>
      </c>
      <c r="T26" s="180" t="s">
        <v>143</v>
      </c>
      <c r="U26" s="180" t="s">
        <v>52</v>
      </c>
      <c r="V26" s="180" t="s">
        <v>143</v>
      </c>
      <c r="W26" s="180" t="s">
        <v>54</v>
      </c>
      <c r="X26" s="180" t="s">
        <v>78</v>
      </c>
      <c r="Y26" s="183">
        <v>0.28125</v>
      </c>
      <c r="Z26" s="180" t="s">
        <v>56</v>
      </c>
      <c r="AA26" s="180" t="s">
        <v>246</v>
      </c>
      <c r="AB26" s="182"/>
      <c r="AC26" s="212"/>
      <c r="AD26" s="180" t="s">
        <v>126</v>
      </c>
      <c r="AE26" s="180" t="s">
        <v>253</v>
      </c>
      <c r="AF26" s="180">
        <v>49</v>
      </c>
      <c r="AG26" s="180" t="s">
        <v>254</v>
      </c>
      <c r="AH26" s="180" t="s">
        <v>61</v>
      </c>
      <c r="AI26" s="180" t="s">
        <v>62</v>
      </c>
      <c r="AJ26" s="180" t="s">
        <v>148</v>
      </c>
      <c r="AK26" s="184" t="s">
        <v>255</v>
      </c>
      <c r="AL26" s="182" t="s">
        <v>87</v>
      </c>
      <c r="AM26" s="182" t="s">
        <v>66</v>
      </c>
      <c r="AN26" s="182" t="s">
        <v>67</v>
      </c>
      <c r="AO26" s="182" t="s">
        <v>117</v>
      </c>
      <c r="AP26" s="182" t="s">
        <v>103</v>
      </c>
    </row>
    <row r="27" spans="1:42" s="185" customFormat="1" hidden="1" x14ac:dyDescent="0.2">
      <c r="A27" s="180">
        <v>2022</v>
      </c>
      <c r="B27" s="180" t="s">
        <v>249</v>
      </c>
      <c r="C27" s="180" t="s">
        <v>44</v>
      </c>
      <c r="D27" s="180" t="s">
        <v>256</v>
      </c>
      <c r="E27" s="180" t="s">
        <v>257</v>
      </c>
      <c r="F27" s="180" t="s">
        <v>73</v>
      </c>
      <c r="G27" s="180" t="s">
        <v>258</v>
      </c>
      <c r="H27" s="181">
        <v>44417</v>
      </c>
      <c r="I27" s="180">
        <f t="shared" si="0"/>
        <v>5</v>
      </c>
      <c r="J27" s="181">
        <v>44599</v>
      </c>
      <c r="K27" s="180" t="str">
        <f t="shared" si="1"/>
        <v>NUEVO</v>
      </c>
      <c r="L27" s="180"/>
      <c r="M27" s="180"/>
      <c r="N27" s="180"/>
      <c r="O27" s="180">
        <v>0</v>
      </c>
      <c r="P27" s="180" t="s">
        <v>49</v>
      </c>
      <c r="Q27" s="180"/>
      <c r="R27" s="182"/>
      <c r="S27" s="180" t="s">
        <v>75</v>
      </c>
      <c r="T27" s="180" t="s">
        <v>76</v>
      </c>
      <c r="U27" s="180" t="s">
        <v>52</v>
      </c>
      <c r="V27" s="180"/>
      <c r="W27" s="180" t="s">
        <v>54</v>
      </c>
      <c r="X27" s="180" t="s">
        <v>110</v>
      </c>
      <c r="Y27" s="183">
        <v>7.2916666666666671E-2</v>
      </c>
      <c r="Z27" s="180" t="s">
        <v>79</v>
      </c>
      <c r="AA27" s="180" t="s">
        <v>259</v>
      </c>
      <c r="AB27" s="182"/>
      <c r="AC27" s="212"/>
      <c r="AD27" s="180" t="s">
        <v>81</v>
      </c>
      <c r="AE27" s="180" t="s">
        <v>111</v>
      </c>
      <c r="AF27" s="180">
        <v>26</v>
      </c>
      <c r="AG27" s="180" t="s">
        <v>128</v>
      </c>
      <c r="AH27" s="180" t="s">
        <v>61</v>
      </c>
      <c r="AI27" s="180" t="s">
        <v>62</v>
      </c>
      <c r="AJ27" s="180" t="s">
        <v>148</v>
      </c>
      <c r="AK27" s="184" t="s">
        <v>260</v>
      </c>
      <c r="AL27" s="250" t="s">
        <v>65</v>
      </c>
      <c r="AM27" s="182" t="s">
        <v>66</v>
      </c>
      <c r="AN27" s="182" t="s">
        <v>67</v>
      </c>
      <c r="AO27" s="182" t="s">
        <v>117</v>
      </c>
      <c r="AP27" s="182" t="s">
        <v>69</v>
      </c>
    </row>
    <row r="28" spans="1:42" s="185" customFormat="1" hidden="1" x14ac:dyDescent="0.2">
      <c r="A28" s="241">
        <v>2022</v>
      </c>
      <c r="B28" s="180" t="s">
        <v>249</v>
      </c>
      <c r="C28" s="180" t="s">
        <v>44</v>
      </c>
      <c r="D28" s="241" t="s">
        <v>261</v>
      </c>
      <c r="E28" s="241" t="s">
        <v>262</v>
      </c>
      <c r="F28" s="180" t="s">
        <v>73</v>
      </c>
      <c r="G28" s="180" t="s">
        <v>263</v>
      </c>
      <c r="H28" s="181">
        <v>44214</v>
      </c>
      <c r="I28" s="180">
        <f t="shared" si="0"/>
        <v>12</v>
      </c>
      <c r="J28" s="181">
        <v>44601</v>
      </c>
      <c r="K28" s="180" t="str">
        <f t="shared" si="1"/>
        <v>NUEVO</v>
      </c>
      <c r="L28" s="181">
        <v>44602</v>
      </c>
      <c r="M28" s="181">
        <v>44602</v>
      </c>
      <c r="N28" s="180"/>
      <c r="O28" s="216">
        <v>0</v>
      </c>
      <c r="P28" s="216" t="s">
        <v>49</v>
      </c>
      <c r="Q28" s="180"/>
      <c r="R28" s="182"/>
      <c r="S28" s="180" t="s">
        <v>93</v>
      </c>
      <c r="T28" s="180" t="s">
        <v>192</v>
      </c>
      <c r="U28" s="180" t="s">
        <v>52</v>
      </c>
      <c r="V28" s="180" t="s">
        <v>192</v>
      </c>
      <c r="W28" s="180" t="s">
        <v>54</v>
      </c>
      <c r="X28" s="180" t="s">
        <v>55</v>
      </c>
      <c r="Y28" s="183">
        <v>0.66666666666666663</v>
      </c>
      <c r="Z28" s="180" t="s">
        <v>56</v>
      </c>
      <c r="AA28" s="180" t="s">
        <v>259</v>
      </c>
      <c r="AB28" s="182">
        <v>14943</v>
      </c>
      <c r="AC28" s="214" t="s">
        <v>264</v>
      </c>
      <c r="AD28" s="180" t="s">
        <v>97</v>
      </c>
      <c r="AE28" s="180" t="s">
        <v>265</v>
      </c>
      <c r="AF28" s="180">
        <v>27</v>
      </c>
      <c r="AG28" s="180" t="s">
        <v>254</v>
      </c>
      <c r="AH28" s="180" t="s">
        <v>113</v>
      </c>
      <c r="AI28" s="180" t="s">
        <v>266</v>
      </c>
      <c r="AJ28" s="180" t="s">
        <v>115</v>
      </c>
      <c r="AK28" s="251" t="s">
        <v>267</v>
      </c>
      <c r="AL28" s="180" t="s">
        <v>65</v>
      </c>
      <c r="AM28" s="252" t="s">
        <v>66</v>
      </c>
      <c r="AN28" s="182" t="s">
        <v>66</v>
      </c>
      <c r="AO28" s="182" t="s">
        <v>88</v>
      </c>
      <c r="AP28" s="182" t="s">
        <v>89</v>
      </c>
    </row>
    <row r="29" spans="1:42" s="185" customFormat="1" hidden="1" x14ac:dyDescent="0.2">
      <c r="A29" s="180">
        <v>2022</v>
      </c>
      <c r="B29" s="180" t="s">
        <v>249</v>
      </c>
      <c r="C29" s="180" t="s">
        <v>44</v>
      </c>
      <c r="D29" s="180" t="s">
        <v>268</v>
      </c>
      <c r="E29" s="180" t="s">
        <v>269</v>
      </c>
      <c r="F29" s="180" t="s">
        <v>73</v>
      </c>
      <c r="G29" s="180" t="s">
        <v>270</v>
      </c>
      <c r="H29" s="181">
        <v>44593</v>
      </c>
      <c r="I29" s="180">
        <f t="shared" si="0"/>
        <v>0</v>
      </c>
      <c r="J29" s="181">
        <v>44607</v>
      </c>
      <c r="K29" s="180" t="str">
        <f t="shared" si="1"/>
        <v>NUEVO</v>
      </c>
      <c r="L29" s="180"/>
      <c r="M29" s="180"/>
      <c r="N29" s="180"/>
      <c r="O29" s="180">
        <v>0</v>
      </c>
      <c r="P29" s="180" t="s">
        <v>49</v>
      </c>
      <c r="Q29" s="180"/>
      <c r="R29" s="182"/>
      <c r="S29" s="180" t="s">
        <v>271</v>
      </c>
      <c r="T29" s="180" t="s">
        <v>272</v>
      </c>
      <c r="U29" s="180" t="s">
        <v>52</v>
      </c>
      <c r="V29" s="180" t="s">
        <v>273</v>
      </c>
      <c r="W29" s="180" t="s">
        <v>54</v>
      </c>
      <c r="X29" s="180" t="s">
        <v>110</v>
      </c>
      <c r="Y29" s="183">
        <v>0.95833333333333337</v>
      </c>
      <c r="Z29" s="180" t="s">
        <v>96</v>
      </c>
      <c r="AA29" s="180" t="s">
        <v>274</v>
      </c>
      <c r="AB29" s="182"/>
      <c r="AC29" s="212"/>
      <c r="AD29" s="180" t="s">
        <v>275</v>
      </c>
      <c r="AE29" s="180" t="s">
        <v>276</v>
      </c>
      <c r="AF29" s="180" t="s">
        <v>277</v>
      </c>
      <c r="AG29" s="180" t="s">
        <v>83</v>
      </c>
      <c r="AH29" s="180" t="s">
        <v>84</v>
      </c>
      <c r="AI29" s="180" t="s">
        <v>62</v>
      </c>
      <c r="AJ29" s="180" t="s">
        <v>85</v>
      </c>
      <c r="AK29" s="184" t="s">
        <v>278</v>
      </c>
      <c r="AL29" s="255" t="s">
        <v>87</v>
      </c>
      <c r="AM29" s="182" t="s">
        <v>66</v>
      </c>
      <c r="AN29" s="182" t="s">
        <v>67</v>
      </c>
      <c r="AO29" s="182" t="s">
        <v>117</v>
      </c>
      <c r="AP29" s="182" t="s">
        <v>69</v>
      </c>
    </row>
    <row r="30" spans="1:42" s="185" customFormat="1" hidden="1" x14ac:dyDescent="0.2">
      <c r="A30" s="180">
        <v>2022</v>
      </c>
      <c r="B30" s="180" t="s">
        <v>249</v>
      </c>
      <c r="C30" s="180" t="s">
        <v>44</v>
      </c>
      <c r="D30" s="180" t="s">
        <v>279</v>
      </c>
      <c r="E30" s="180" t="s">
        <v>280</v>
      </c>
      <c r="F30" s="180" t="s">
        <v>47</v>
      </c>
      <c r="G30" s="180" t="s">
        <v>281</v>
      </c>
      <c r="H30" s="181">
        <v>44266</v>
      </c>
      <c r="I30" s="180">
        <f t="shared" si="0"/>
        <v>11</v>
      </c>
      <c r="J30" s="181">
        <v>44608</v>
      </c>
      <c r="K30" s="180" t="str">
        <f t="shared" si="1"/>
        <v>NUEVO</v>
      </c>
      <c r="L30" s="180"/>
      <c r="M30" s="180"/>
      <c r="N30" s="180"/>
      <c r="O30" s="180">
        <v>0</v>
      </c>
      <c r="P30" s="180" t="s">
        <v>49</v>
      </c>
      <c r="Q30" s="180"/>
      <c r="R30" s="182"/>
      <c r="S30" s="180" t="s">
        <v>50</v>
      </c>
      <c r="T30" s="180" t="s">
        <v>135</v>
      </c>
      <c r="U30" s="180" t="s">
        <v>52</v>
      </c>
      <c r="V30" s="180" t="s">
        <v>282</v>
      </c>
      <c r="W30" s="180" t="s">
        <v>54</v>
      </c>
      <c r="X30" s="180" t="s">
        <v>55</v>
      </c>
      <c r="Y30" s="183">
        <v>0.54861111111111105</v>
      </c>
      <c r="Z30" s="180" t="s">
        <v>56</v>
      </c>
      <c r="AA30" s="180" t="s">
        <v>274</v>
      </c>
      <c r="AB30" s="182"/>
      <c r="AC30" s="212"/>
      <c r="AD30" s="180" t="s">
        <v>58</v>
      </c>
      <c r="AE30" s="180" t="s">
        <v>59</v>
      </c>
      <c r="AF30" s="180">
        <v>41</v>
      </c>
      <c r="AG30" s="180" t="s">
        <v>128</v>
      </c>
      <c r="AH30" s="180" t="s">
        <v>84</v>
      </c>
      <c r="AI30" s="180" t="s">
        <v>62</v>
      </c>
      <c r="AJ30" s="180" t="s">
        <v>156</v>
      </c>
      <c r="AK30" s="184" t="s">
        <v>283</v>
      </c>
      <c r="AL30" s="182" t="s">
        <v>65</v>
      </c>
      <c r="AM30" s="182" t="s">
        <v>66</v>
      </c>
      <c r="AN30" s="182" t="s">
        <v>67</v>
      </c>
      <c r="AO30" s="182" t="s">
        <v>117</v>
      </c>
      <c r="AP30" s="182" t="s">
        <v>284</v>
      </c>
    </row>
    <row r="31" spans="1:42" s="185" customFormat="1" hidden="1" x14ac:dyDescent="0.2">
      <c r="A31" s="180">
        <v>2022</v>
      </c>
      <c r="B31" s="180" t="s">
        <v>249</v>
      </c>
      <c r="C31" s="180" t="s">
        <v>44</v>
      </c>
      <c r="D31" s="180" t="s">
        <v>285</v>
      </c>
      <c r="E31" s="180" t="s">
        <v>286</v>
      </c>
      <c r="F31" s="180" t="s">
        <v>73</v>
      </c>
      <c r="G31" s="180" t="s">
        <v>287</v>
      </c>
      <c r="H31" s="181">
        <v>44217</v>
      </c>
      <c r="I31" s="180">
        <f t="shared" si="0"/>
        <v>13</v>
      </c>
      <c r="J31" s="181">
        <v>44614</v>
      </c>
      <c r="K31" s="180" t="str">
        <f t="shared" si="1"/>
        <v>NUEVO</v>
      </c>
      <c r="L31" s="180"/>
      <c r="M31" s="180"/>
      <c r="N31" s="180"/>
      <c r="O31" s="180">
        <v>0</v>
      </c>
      <c r="P31" s="180" t="s">
        <v>49</v>
      </c>
      <c r="Q31" s="180"/>
      <c r="R31" s="182"/>
      <c r="S31" s="180" t="s">
        <v>50</v>
      </c>
      <c r="T31" s="180" t="s">
        <v>135</v>
      </c>
      <c r="U31" s="180" t="s">
        <v>52</v>
      </c>
      <c r="V31" s="180" t="s">
        <v>123</v>
      </c>
      <c r="W31" s="180" t="s">
        <v>54</v>
      </c>
      <c r="X31" s="180" t="s">
        <v>55</v>
      </c>
      <c r="Y31" s="183">
        <v>0.5</v>
      </c>
      <c r="Z31" s="180" t="s">
        <v>96</v>
      </c>
      <c r="AA31" s="180" t="s">
        <v>288</v>
      </c>
      <c r="AB31" s="182"/>
      <c r="AC31" s="212"/>
      <c r="AD31" s="180" t="s">
        <v>58</v>
      </c>
      <c r="AE31" s="180" t="s">
        <v>212</v>
      </c>
      <c r="AF31" s="180">
        <v>19</v>
      </c>
      <c r="AG31" s="180" t="s">
        <v>289</v>
      </c>
      <c r="AH31" s="180" t="s">
        <v>61</v>
      </c>
      <c r="AI31" s="180" t="s">
        <v>62</v>
      </c>
      <c r="AJ31" s="180" t="s">
        <v>199</v>
      </c>
      <c r="AK31" s="184" t="s">
        <v>290</v>
      </c>
      <c r="AL31" s="182" t="s">
        <v>65</v>
      </c>
      <c r="AM31" s="182" t="s">
        <v>66</v>
      </c>
      <c r="AN31" s="182" t="s">
        <v>67</v>
      </c>
      <c r="AO31" s="182" t="s">
        <v>88</v>
      </c>
      <c r="AP31" s="182" t="s">
        <v>69</v>
      </c>
    </row>
    <row r="32" spans="1:42" s="185" customFormat="1" hidden="1" x14ac:dyDescent="0.2">
      <c r="A32" s="180">
        <v>2022</v>
      </c>
      <c r="B32" s="180" t="s">
        <v>249</v>
      </c>
      <c r="C32" s="180" t="s">
        <v>44</v>
      </c>
      <c r="D32" s="180" t="s">
        <v>291</v>
      </c>
      <c r="E32" s="180" t="s">
        <v>292</v>
      </c>
      <c r="F32" s="180" t="s">
        <v>73</v>
      </c>
      <c r="G32" s="180" t="s">
        <v>293</v>
      </c>
      <c r="H32" s="181">
        <v>43885</v>
      </c>
      <c r="I32" s="180">
        <f t="shared" si="0"/>
        <v>24</v>
      </c>
      <c r="J32" s="181">
        <v>44617</v>
      </c>
      <c r="K32" s="180" t="str">
        <f t="shared" si="1"/>
        <v>INTERMEDIO</v>
      </c>
      <c r="L32" s="180"/>
      <c r="M32" s="180"/>
      <c r="N32" s="180"/>
      <c r="O32" s="180">
        <v>0</v>
      </c>
      <c r="P32" s="180" t="s">
        <v>49</v>
      </c>
      <c r="Q32" s="180" t="s">
        <v>107</v>
      </c>
      <c r="R32" s="182" t="s">
        <v>108</v>
      </c>
      <c r="S32" s="180" t="s">
        <v>75</v>
      </c>
      <c r="T32" s="180" t="s">
        <v>294</v>
      </c>
      <c r="U32" s="180" t="s">
        <v>52</v>
      </c>
      <c r="V32" s="180" t="s">
        <v>295</v>
      </c>
      <c r="W32" s="180" t="s">
        <v>54</v>
      </c>
      <c r="X32" s="180" t="s">
        <v>110</v>
      </c>
      <c r="Y32" s="183">
        <v>6.25E-2</v>
      </c>
      <c r="Z32" s="180" t="s">
        <v>183</v>
      </c>
      <c r="AA32" s="180" t="s">
        <v>288</v>
      </c>
      <c r="AB32" s="182"/>
      <c r="AC32" s="212"/>
      <c r="AD32" s="180" t="s">
        <v>81</v>
      </c>
      <c r="AE32" s="180" t="s">
        <v>111</v>
      </c>
      <c r="AF32" s="180">
        <v>56</v>
      </c>
      <c r="AG32" s="180" t="s">
        <v>112</v>
      </c>
      <c r="AH32" s="180" t="s">
        <v>113</v>
      </c>
      <c r="AI32" s="180" t="s">
        <v>114</v>
      </c>
      <c r="AJ32" s="180" t="s">
        <v>115</v>
      </c>
      <c r="AK32" s="184" t="s">
        <v>296</v>
      </c>
      <c r="AL32" s="182" t="s">
        <v>65</v>
      </c>
      <c r="AM32" s="182" t="s">
        <v>66</v>
      </c>
      <c r="AN32" s="182" t="s">
        <v>67</v>
      </c>
      <c r="AO32" s="182" t="s">
        <v>88</v>
      </c>
      <c r="AP32" s="182" t="s">
        <v>284</v>
      </c>
    </row>
    <row r="33" spans="1:42" s="185" customFormat="1" hidden="1" x14ac:dyDescent="0.2">
      <c r="A33" s="180">
        <v>2022</v>
      </c>
      <c r="B33" s="180" t="s">
        <v>249</v>
      </c>
      <c r="C33" s="180" t="s">
        <v>44</v>
      </c>
      <c r="D33" s="180" t="s">
        <v>297</v>
      </c>
      <c r="E33" s="180" t="s">
        <v>298</v>
      </c>
      <c r="F33" s="180" t="s">
        <v>47</v>
      </c>
      <c r="G33" s="180" t="s">
        <v>299</v>
      </c>
      <c r="H33" s="181">
        <v>44495</v>
      </c>
      <c r="I33" s="180">
        <f t="shared" si="0"/>
        <v>4</v>
      </c>
      <c r="J33" s="181">
        <v>44620</v>
      </c>
      <c r="K33" s="180" t="str">
        <f t="shared" si="1"/>
        <v>NUEVO</v>
      </c>
      <c r="L33" s="180"/>
      <c r="M33" s="180"/>
      <c r="N33" s="180"/>
      <c r="O33" s="180">
        <v>0</v>
      </c>
      <c r="P33" s="180" t="s">
        <v>49</v>
      </c>
      <c r="Q33" s="180"/>
      <c r="R33" s="182"/>
      <c r="S33" s="180" t="s">
        <v>50</v>
      </c>
      <c r="T33" s="180" t="s">
        <v>51</v>
      </c>
      <c r="U33" s="180" t="s">
        <v>52</v>
      </c>
      <c r="V33" s="180" t="s">
        <v>53</v>
      </c>
      <c r="W33" s="180" t="s">
        <v>54</v>
      </c>
      <c r="X33" s="180" t="s">
        <v>78</v>
      </c>
      <c r="Y33" s="183">
        <v>0.3263888888888889</v>
      </c>
      <c r="Z33" s="180" t="s">
        <v>79</v>
      </c>
      <c r="AA33" s="180" t="s">
        <v>300</v>
      </c>
      <c r="AB33" s="182"/>
      <c r="AC33" s="212"/>
      <c r="AD33" s="180" t="s">
        <v>58</v>
      </c>
      <c r="AE33" s="180" t="s">
        <v>228</v>
      </c>
      <c r="AF33" s="180">
        <v>35</v>
      </c>
      <c r="AG33" s="180" t="s">
        <v>254</v>
      </c>
      <c r="AH33" s="180" t="s">
        <v>113</v>
      </c>
      <c r="AI33" s="180" t="s">
        <v>62</v>
      </c>
      <c r="AJ33" s="180" t="s">
        <v>148</v>
      </c>
      <c r="AK33" s="184" t="s">
        <v>301</v>
      </c>
      <c r="AL33" s="182" t="s">
        <v>65</v>
      </c>
      <c r="AM33" s="182" t="s">
        <v>66</v>
      </c>
      <c r="AN33" s="182" t="s">
        <v>67</v>
      </c>
      <c r="AO33" s="182" t="s">
        <v>88</v>
      </c>
      <c r="AP33" s="182" t="s">
        <v>284</v>
      </c>
    </row>
    <row r="34" spans="1:42" s="185" customFormat="1" hidden="1" x14ac:dyDescent="0.2">
      <c r="A34" s="180">
        <v>2022</v>
      </c>
      <c r="B34" s="180" t="s">
        <v>302</v>
      </c>
      <c r="C34" s="180" t="s">
        <v>44</v>
      </c>
      <c r="D34" s="180" t="s">
        <v>303</v>
      </c>
      <c r="E34" s="180" t="s">
        <v>304</v>
      </c>
      <c r="F34" s="180" t="s">
        <v>73</v>
      </c>
      <c r="G34" s="180" t="s">
        <v>305</v>
      </c>
      <c r="H34" s="181">
        <v>44217</v>
      </c>
      <c r="I34" s="180">
        <f t="shared" si="0"/>
        <v>13</v>
      </c>
      <c r="J34" s="181">
        <v>44623</v>
      </c>
      <c r="K34" s="180" t="str">
        <f t="shared" si="1"/>
        <v>NUEVO</v>
      </c>
      <c r="L34" s="180"/>
      <c r="M34" s="180"/>
      <c r="N34" s="180"/>
      <c r="O34" s="180">
        <v>0</v>
      </c>
      <c r="P34" s="180" t="s">
        <v>49</v>
      </c>
      <c r="Q34" s="180"/>
      <c r="R34" s="182"/>
      <c r="S34" s="180" t="s">
        <v>93</v>
      </c>
      <c r="T34" s="180" t="s">
        <v>94</v>
      </c>
      <c r="U34" s="180" t="s">
        <v>52</v>
      </c>
      <c r="V34" s="180" t="s">
        <v>94</v>
      </c>
      <c r="W34" s="180" t="s">
        <v>54</v>
      </c>
      <c r="X34" s="180" t="s">
        <v>55</v>
      </c>
      <c r="Y34" s="183">
        <v>0.8125</v>
      </c>
      <c r="Z34" s="180" t="s">
        <v>164</v>
      </c>
      <c r="AA34" s="180" t="s">
        <v>300</v>
      </c>
      <c r="AB34" s="182"/>
      <c r="AC34" s="212"/>
      <c r="AD34" s="180" t="s">
        <v>97</v>
      </c>
      <c r="AE34" s="180" t="s">
        <v>98</v>
      </c>
      <c r="AF34" s="180">
        <v>25</v>
      </c>
      <c r="AG34" s="180" t="s">
        <v>254</v>
      </c>
      <c r="AH34" s="180" t="s">
        <v>113</v>
      </c>
      <c r="AI34" s="180" t="s">
        <v>62</v>
      </c>
      <c r="AJ34" s="180" t="s">
        <v>148</v>
      </c>
      <c r="AK34" s="184" t="s">
        <v>306</v>
      </c>
      <c r="AL34" s="182" t="s">
        <v>65</v>
      </c>
      <c r="AM34" s="182" t="s">
        <v>66</v>
      </c>
      <c r="AN34" s="182" t="s">
        <v>67</v>
      </c>
      <c r="AO34" s="182" t="s">
        <v>88</v>
      </c>
      <c r="AP34" s="182" t="s">
        <v>307</v>
      </c>
    </row>
    <row r="35" spans="1:42" s="185" customFormat="1" hidden="1" x14ac:dyDescent="0.2">
      <c r="A35" s="241">
        <v>2022</v>
      </c>
      <c r="B35" s="180" t="s">
        <v>302</v>
      </c>
      <c r="C35" s="180" t="s">
        <v>44</v>
      </c>
      <c r="D35" s="241" t="s">
        <v>308</v>
      </c>
      <c r="E35" s="241" t="s">
        <v>309</v>
      </c>
      <c r="F35" s="180" t="s">
        <v>47</v>
      </c>
      <c r="G35" s="180" t="s">
        <v>310</v>
      </c>
      <c r="H35" s="181">
        <v>43640</v>
      </c>
      <c r="I35" s="180">
        <f t="shared" si="0"/>
        <v>32</v>
      </c>
      <c r="J35" s="181">
        <v>44628</v>
      </c>
      <c r="K35" s="180" t="str">
        <f t="shared" si="1"/>
        <v>INTERMEDIO</v>
      </c>
      <c r="L35" s="181">
        <v>44631</v>
      </c>
      <c r="M35" s="181">
        <v>44638</v>
      </c>
      <c r="N35" s="180"/>
      <c r="O35" s="182">
        <v>8</v>
      </c>
      <c r="P35" s="216" t="s">
        <v>141</v>
      </c>
      <c r="Q35" s="180"/>
      <c r="R35" s="182"/>
      <c r="S35" s="180" t="s">
        <v>271</v>
      </c>
      <c r="T35" s="180" t="s">
        <v>311</v>
      </c>
      <c r="U35" s="180" t="s">
        <v>52</v>
      </c>
      <c r="V35" s="180" t="s">
        <v>311</v>
      </c>
      <c r="W35" s="180" t="s">
        <v>54</v>
      </c>
      <c r="X35" s="180" t="s">
        <v>78</v>
      </c>
      <c r="Y35" s="183">
        <v>0.41666666666666669</v>
      </c>
      <c r="Z35" s="180" t="s">
        <v>96</v>
      </c>
      <c r="AA35" s="180" t="s">
        <v>312</v>
      </c>
      <c r="AB35" s="182"/>
      <c r="AC35" s="214" t="s">
        <v>313</v>
      </c>
      <c r="AD35" s="180" t="s">
        <v>275</v>
      </c>
      <c r="AE35" s="180" t="s">
        <v>314</v>
      </c>
      <c r="AF35" s="180">
        <v>42</v>
      </c>
      <c r="AG35" s="180" t="s">
        <v>60</v>
      </c>
      <c r="AH35" s="180" t="s">
        <v>61</v>
      </c>
      <c r="AI35" s="180" t="s">
        <v>62</v>
      </c>
      <c r="AJ35" s="180" t="s">
        <v>63</v>
      </c>
      <c r="AK35" s="184" t="s">
        <v>315</v>
      </c>
      <c r="AL35" s="257" t="s">
        <v>65</v>
      </c>
      <c r="AM35" s="182" t="s">
        <v>66</v>
      </c>
      <c r="AN35" s="182" t="s">
        <v>66</v>
      </c>
      <c r="AO35" s="182" t="s">
        <v>88</v>
      </c>
      <c r="AP35" s="182" t="s">
        <v>284</v>
      </c>
    </row>
    <row r="36" spans="1:42" s="185" customFormat="1" hidden="1" x14ac:dyDescent="0.2">
      <c r="A36" s="180">
        <v>2022</v>
      </c>
      <c r="B36" s="180" t="s">
        <v>302</v>
      </c>
      <c r="C36" s="180" t="s">
        <v>44</v>
      </c>
      <c r="D36" s="180" t="s">
        <v>316</v>
      </c>
      <c r="E36" s="180" t="s">
        <v>317</v>
      </c>
      <c r="F36" s="180" t="s">
        <v>73</v>
      </c>
      <c r="G36" s="180" t="s">
        <v>318</v>
      </c>
      <c r="H36" s="181">
        <v>43507</v>
      </c>
      <c r="I36" s="180">
        <f t="shared" si="0"/>
        <v>36</v>
      </c>
      <c r="J36" s="181">
        <v>44628</v>
      </c>
      <c r="K36" s="180" t="str">
        <f t="shared" si="1"/>
        <v>INTERMEDIO</v>
      </c>
      <c r="L36" s="180"/>
      <c r="M36" s="180"/>
      <c r="N36" s="180"/>
      <c r="O36" s="180">
        <v>0</v>
      </c>
      <c r="P36" s="180" t="s">
        <v>49</v>
      </c>
      <c r="Q36" s="180"/>
      <c r="R36" s="182"/>
      <c r="S36" s="180" t="s">
        <v>50</v>
      </c>
      <c r="T36" s="180" t="s">
        <v>51</v>
      </c>
      <c r="U36" s="180" t="s">
        <v>52</v>
      </c>
      <c r="V36" s="180" t="s">
        <v>53</v>
      </c>
      <c r="W36" s="180" t="s">
        <v>54</v>
      </c>
      <c r="X36" s="180" t="s">
        <v>55</v>
      </c>
      <c r="Y36" s="183">
        <v>0.57291666666666663</v>
      </c>
      <c r="Z36" s="180" t="s">
        <v>96</v>
      </c>
      <c r="AA36" s="180" t="s">
        <v>312</v>
      </c>
      <c r="AB36" s="182"/>
      <c r="AC36" s="212"/>
      <c r="AD36" s="180" t="s">
        <v>58</v>
      </c>
      <c r="AE36" s="180" t="s">
        <v>59</v>
      </c>
      <c r="AF36" s="180">
        <v>27</v>
      </c>
      <c r="AG36" s="180" t="s">
        <v>319</v>
      </c>
      <c r="AH36" s="180" t="s">
        <v>129</v>
      </c>
      <c r="AI36" s="180" t="s">
        <v>62</v>
      </c>
      <c r="AJ36" s="180" t="s">
        <v>63</v>
      </c>
      <c r="AK36" s="251" t="s">
        <v>320</v>
      </c>
      <c r="AL36" s="182" t="s">
        <v>65</v>
      </c>
      <c r="AM36" s="252" t="s">
        <v>66</v>
      </c>
      <c r="AN36" s="182" t="s">
        <v>67</v>
      </c>
      <c r="AO36" s="182" t="s">
        <v>88</v>
      </c>
      <c r="AP36" s="182" t="s">
        <v>284</v>
      </c>
    </row>
    <row r="37" spans="1:42" s="185" customFormat="1" hidden="1" x14ac:dyDescent="0.2">
      <c r="A37" s="180">
        <v>2022</v>
      </c>
      <c r="B37" s="180" t="s">
        <v>302</v>
      </c>
      <c r="C37" s="180" t="s">
        <v>44</v>
      </c>
      <c r="D37" s="180" t="s">
        <v>321</v>
      </c>
      <c r="E37" s="180" t="s">
        <v>322</v>
      </c>
      <c r="F37" s="180" t="s">
        <v>73</v>
      </c>
      <c r="G37" s="180" t="s">
        <v>323</v>
      </c>
      <c r="H37" s="181">
        <v>43535</v>
      </c>
      <c r="I37" s="180">
        <f t="shared" si="0"/>
        <v>35</v>
      </c>
      <c r="J37" s="181">
        <v>44630</v>
      </c>
      <c r="K37" s="180" t="str">
        <f t="shared" si="1"/>
        <v>INTERMEDIO</v>
      </c>
      <c r="L37" s="180"/>
      <c r="M37" s="180"/>
      <c r="N37" s="180"/>
      <c r="O37" s="180">
        <v>0</v>
      </c>
      <c r="P37" s="180" t="s">
        <v>49</v>
      </c>
      <c r="Q37" s="180"/>
      <c r="R37" s="182"/>
      <c r="S37" s="180" t="s">
        <v>219</v>
      </c>
      <c r="T37" s="180" t="s">
        <v>324</v>
      </c>
      <c r="U37" s="180" t="s">
        <v>52</v>
      </c>
      <c r="V37" s="180" t="s">
        <v>324</v>
      </c>
      <c r="W37" s="180" t="s">
        <v>54</v>
      </c>
      <c r="X37" s="180" t="s">
        <v>78</v>
      </c>
      <c r="Y37" s="183">
        <v>0.47916666666666669</v>
      </c>
      <c r="Z37" s="180" t="s">
        <v>164</v>
      </c>
      <c r="AA37" s="180" t="s">
        <v>312</v>
      </c>
      <c r="AB37" s="182"/>
      <c r="AC37" s="212"/>
      <c r="AD37" s="180" t="s">
        <v>126</v>
      </c>
      <c r="AE37" s="180" t="s">
        <v>325</v>
      </c>
      <c r="AF37" s="180">
        <v>23</v>
      </c>
      <c r="AG37" s="180" t="s">
        <v>83</v>
      </c>
      <c r="AH37" s="180" t="s">
        <v>84</v>
      </c>
      <c r="AI37" s="180" t="s">
        <v>237</v>
      </c>
      <c r="AJ37" s="180" t="s">
        <v>85</v>
      </c>
      <c r="AK37" s="184" t="s">
        <v>326</v>
      </c>
      <c r="AL37" s="255" t="s">
        <v>65</v>
      </c>
      <c r="AM37" s="182" t="s">
        <v>66</v>
      </c>
      <c r="AN37" s="182" t="s">
        <v>67</v>
      </c>
      <c r="AO37" s="182" t="s">
        <v>88</v>
      </c>
      <c r="AP37" s="182" t="s">
        <v>103</v>
      </c>
    </row>
    <row r="38" spans="1:42" s="185" customFormat="1" hidden="1" x14ac:dyDescent="0.2">
      <c r="A38" s="180">
        <v>2022</v>
      </c>
      <c r="B38" s="180" t="s">
        <v>302</v>
      </c>
      <c r="C38" s="180" t="s">
        <v>44</v>
      </c>
      <c r="D38" s="180" t="s">
        <v>327</v>
      </c>
      <c r="E38" s="180" t="s">
        <v>262</v>
      </c>
      <c r="F38" s="180" t="s">
        <v>73</v>
      </c>
      <c r="G38" s="180" t="s">
        <v>328</v>
      </c>
      <c r="H38" s="181">
        <v>44417</v>
      </c>
      <c r="I38" s="180">
        <f t="shared" si="0"/>
        <v>7</v>
      </c>
      <c r="J38" s="181">
        <v>44630</v>
      </c>
      <c r="K38" s="180" t="str">
        <f t="shared" si="1"/>
        <v>NUEVO</v>
      </c>
      <c r="L38" s="180"/>
      <c r="M38" s="180"/>
      <c r="N38" s="180"/>
      <c r="O38" s="180">
        <v>0</v>
      </c>
      <c r="P38" s="180" t="s">
        <v>49</v>
      </c>
      <c r="Q38" s="180"/>
      <c r="R38" s="182"/>
      <c r="S38" s="180" t="s">
        <v>50</v>
      </c>
      <c r="T38" s="180" t="s">
        <v>51</v>
      </c>
      <c r="U38" s="180" t="s">
        <v>52</v>
      </c>
      <c r="V38" s="180" t="s">
        <v>53</v>
      </c>
      <c r="W38" s="180" t="s">
        <v>163</v>
      </c>
      <c r="X38" s="180" t="s">
        <v>55</v>
      </c>
      <c r="Y38" s="183">
        <v>0.77083333333333337</v>
      </c>
      <c r="Z38" s="180" t="s">
        <v>164</v>
      </c>
      <c r="AA38" s="180" t="s">
        <v>312</v>
      </c>
      <c r="AB38" s="182"/>
      <c r="AC38" s="212"/>
      <c r="AD38" s="180" t="s">
        <v>58</v>
      </c>
      <c r="AE38" s="180" t="s">
        <v>228</v>
      </c>
      <c r="AF38" s="180">
        <v>21</v>
      </c>
      <c r="AG38" s="180" t="s">
        <v>329</v>
      </c>
      <c r="AH38" s="180" t="s">
        <v>61</v>
      </c>
      <c r="AI38" s="180" t="s">
        <v>62</v>
      </c>
      <c r="AJ38" s="180" t="s">
        <v>63</v>
      </c>
      <c r="AK38" s="184" t="s">
        <v>330</v>
      </c>
      <c r="AL38" s="250" t="s">
        <v>65</v>
      </c>
      <c r="AM38" s="182" t="s">
        <v>66</v>
      </c>
      <c r="AN38" s="182" t="s">
        <v>67</v>
      </c>
      <c r="AO38" s="182" t="s">
        <v>215</v>
      </c>
      <c r="AP38" s="182" t="s">
        <v>103</v>
      </c>
    </row>
    <row r="39" spans="1:42" s="185" customFormat="1" hidden="1" x14ac:dyDescent="0.2">
      <c r="A39" s="241">
        <v>2022</v>
      </c>
      <c r="B39" s="180" t="s">
        <v>302</v>
      </c>
      <c r="C39" s="180" t="s">
        <v>44</v>
      </c>
      <c r="D39" s="241" t="s">
        <v>331</v>
      </c>
      <c r="E39" s="241" t="s">
        <v>332</v>
      </c>
      <c r="F39" s="180" t="s">
        <v>47</v>
      </c>
      <c r="G39" s="180" t="s">
        <v>333</v>
      </c>
      <c r="H39" s="181">
        <v>43843</v>
      </c>
      <c r="I39" s="180">
        <f t="shared" ref="I39:I70" si="2">DATEDIF(H39,J39,"m")</f>
        <v>26</v>
      </c>
      <c r="J39" s="181">
        <v>44634</v>
      </c>
      <c r="K39" s="180" t="str">
        <f t="shared" ref="K39:K70" si="3">IF(I39&lt;=18,"NUEVO",IF(I39&lt;=36,"INTERMEDIO","ANTIGUO"))</f>
        <v>INTERMEDIO</v>
      </c>
      <c r="L39" s="181">
        <v>44634</v>
      </c>
      <c r="M39" s="181">
        <v>44726</v>
      </c>
      <c r="N39" s="181">
        <v>44734</v>
      </c>
      <c r="O39" s="180">
        <v>93</v>
      </c>
      <c r="P39" s="216" t="s">
        <v>141</v>
      </c>
      <c r="Q39" s="180"/>
      <c r="R39" s="182"/>
      <c r="S39" s="180" t="s">
        <v>75</v>
      </c>
      <c r="T39" s="180" t="s">
        <v>76</v>
      </c>
      <c r="U39" s="180" t="s">
        <v>52</v>
      </c>
      <c r="V39" s="180" t="s">
        <v>334</v>
      </c>
      <c r="W39" s="180" t="s">
        <v>54</v>
      </c>
      <c r="X39" s="180" t="s">
        <v>110</v>
      </c>
      <c r="Y39" s="183">
        <v>0.19097222222222221</v>
      </c>
      <c r="Z39" s="180" t="s">
        <v>79</v>
      </c>
      <c r="AA39" s="180" t="s">
        <v>335</v>
      </c>
      <c r="AB39" s="182"/>
      <c r="AC39" s="214" t="s">
        <v>336</v>
      </c>
      <c r="AD39" s="180" t="s">
        <v>81</v>
      </c>
      <c r="AE39" s="180" t="s">
        <v>337</v>
      </c>
      <c r="AF39" s="180">
        <v>37</v>
      </c>
      <c r="AG39" s="180" t="s">
        <v>83</v>
      </c>
      <c r="AH39" s="180" t="s">
        <v>338</v>
      </c>
      <c r="AI39" s="180" t="s">
        <v>62</v>
      </c>
      <c r="AJ39" s="180" t="s">
        <v>85</v>
      </c>
      <c r="AK39" s="251" t="s">
        <v>339</v>
      </c>
      <c r="AL39" s="180" t="s">
        <v>65</v>
      </c>
      <c r="AM39" s="252" t="s">
        <v>66</v>
      </c>
      <c r="AN39" s="182" t="s">
        <v>66</v>
      </c>
      <c r="AO39" s="182" t="s">
        <v>88</v>
      </c>
      <c r="AP39" s="182" t="s">
        <v>340</v>
      </c>
    </row>
    <row r="40" spans="1:42" s="185" customFormat="1" hidden="1" x14ac:dyDescent="0.2">
      <c r="A40" s="180">
        <v>2022</v>
      </c>
      <c r="B40" s="180" t="s">
        <v>302</v>
      </c>
      <c r="C40" s="180" t="s">
        <v>44</v>
      </c>
      <c r="D40" s="180" t="s">
        <v>341</v>
      </c>
      <c r="E40" s="180" t="s">
        <v>217</v>
      </c>
      <c r="F40" s="180" t="s">
        <v>73</v>
      </c>
      <c r="G40" s="180" t="s">
        <v>342</v>
      </c>
      <c r="H40" s="181">
        <v>38433</v>
      </c>
      <c r="I40" s="180">
        <f t="shared" si="2"/>
        <v>203</v>
      </c>
      <c r="J40" s="181">
        <v>44637</v>
      </c>
      <c r="K40" s="180" t="str">
        <f t="shared" si="3"/>
        <v>ANTIGUO</v>
      </c>
      <c r="L40" s="180"/>
      <c r="M40" s="180"/>
      <c r="N40" s="180"/>
      <c r="O40" s="180">
        <v>0</v>
      </c>
      <c r="P40" s="180" t="s">
        <v>49</v>
      </c>
      <c r="Q40" s="180"/>
      <c r="R40" s="182"/>
      <c r="S40" s="180" t="s">
        <v>75</v>
      </c>
      <c r="T40" s="180" t="s">
        <v>76</v>
      </c>
      <c r="U40" s="180" t="s">
        <v>52</v>
      </c>
      <c r="V40" s="180" t="s">
        <v>343</v>
      </c>
      <c r="W40" s="180" t="s">
        <v>54</v>
      </c>
      <c r="X40" s="180" t="s">
        <v>55</v>
      </c>
      <c r="Y40" s="183">
        <v>0.50694444444444442</v>
      </c>
      <c r="Z40" s="180" t="s">
        <v>164</v>
      </c>
      <c r="AA40" s="180" t="s">
        <v>335</v>
      </c>
      <c r="AB40" s="182"/>
      <c r="AC40" s="212"/>
      <c r="AD40" s="180" t="s">
        <v>81</v>
      </c>
      <c r="AE40" s="180" t="s">
        <v>82</v>
      </c>
      <c r="AF40" s="180">
        <v>64</v>
      </c>
      <c r="AG40" s="180" t="s">
        <v>128</v>
      </c>
      <c r="AH40" s="180" t="s">
        <v>338</v>
      </c>
      <c r="AI40" s="180" t="s">
        <v>62</v>
      </c>
      <c r="AJ40" s="180" t="s">
        <v>63</v>
      </c>
      <c r="AK40" s="184" t="s">
        <v>344</v>
      </c>
      <c r="AL40" s="255" t="s">
        <v>87</v>
      </c>
      <c r="AM40" s="182" t="s">
        <v>66</v>
      </c>
      <c r="AN40" s="182" t="s">
        <v>67</v>
      </c>
      <c r="AO40" s="182" t="s">
        <v>88</v>
      </c>
      <c r="AP40" s="182" t="s">
        <v>89</v>
      </c>
    </row>
    <row r="41" spans="1:42" s="185" customFormat="1" hidden="1" x14ac:dyDescent="0.2">
      <c r="A41" s="180">
        <v>2022</v>
      </c>
      <c r="B41" s="180" t="s">
        <v>302</v>
      </c>
      <c r="C41" s="180" t="s">
        <v>44</v>
      </c>
      <c r="D41" s="180" t="s">
        <v>345</v>
      </c>
      <c r="E41" s="180" t="s">
        <v>346</v>
      </c>
      <c r="F41" s="180" t="s">
        <v>73</v>
      </c>
      <c r="G41" s="180" t="s">
        <v>347</v>
      </c>
      <c r="H41" s="181">
        <v>38504</v>
      </c>
      <c r="I41" s="180">
        <f t="shared" si="2"/>
        <v>201</v>
      </c>
      <c r="J41" s="181">
        <v>44639</v>
      </c>
      <c r="K41" s="180" t="str">
        <f t="shared" si="3"/>
        <v>ANTIGUO</v>
      </c>
      <c r="L41" s="180"/>
      <c r="M41" s="180"/>
      <c r="N41" s="180"/>
      <c r="O41" s="180">
        <v>0</v>
      </c>
      <c r="P41" s="180" t="s">
        <v>49</v>
      </c>
      <c r="Q41" s="180"/>
      <c r="R41" s="182"/>
      <c r="S41" s="180" t="s">
        <v>271</v>
      </c>
      <c r="T41" s="180" t="s">
        <v>348</v>
      </c>
      <c r="U41" s="180" t="s">
        <v>52</v>
      </c>
      <c r="V41" s="180" t="s">
        <v>348</v>
      </c>
      <c r="W41" s="180" t="s">
        <v>54</v>
      </c>
      <c r="X41" s="180" t="s">
        <v>78</v>
      </c>
      <c r="Y41" s="183">
        <v>0.3888888888888889</v>
      </c>
      <c r="Z41" s="180" t="s">
        <v>154</v>
      </c>
      <c r="AA41" s="180" t="s">
        <v>335</v>
      </c>
      <c r="AB41" s="182"/>
      <c r="AC41" s="212"/>
      <c r="AD41" s="180" t="s">
        <v>275</v>
      </c>
      <c r="AE41" s="180" t="s">
        <v>349</v>
      </c>
      <c r="AF41" s="180">
        <v>55</v>
      </c>
      <c r="AG41" s="180" t="s">
        <v>213</v>
      </c>
      <c r="AH41" s="180" t="s">
        <v>207</v>
      </c>
      <c r="AI41" s="180" t="s">
        <v>62</v>
      </c>
      <c r="AJ41" s="180" t="s">
        <v>63</v>
      </c>
      <c r="AK41" s="184" t="s">
        <v>350</v>
      </c>
      <c r="AL41" s="182" t="s">
        <v>65</v>
      </c>
      <c r="AM41" s="182" t="s">
        <v>66</v>
      </c>
      <c r="AN41" s="182" t="s">
        <v>67</v>
      </c>
      <c r="AO41" s="182" t="s">
        <v>88</v>
      </c>
      <c r="AP41" s="182" t="s">
        <v>351</v>
      </c>
    </row>
    <row r="42" spans="1:42" s="185" customFormat="1" hidden="1" x14ac:dyDescent="0.2">
      <c r="A42" s="180">
        <v>2022</v>
      </c>
      <c r="B42" s="180" t="s">
        <v>302</v>
      </c>
      <c r="C42" s="180" t="s">
        <v>44</v>
      </c>
      <c r="D42" s="180" t="s">
        <v>352</v>
      </c>
      <c r="E42" s="187" t="s">
        <v>353</v>
      </c>
      <c r="F42" s="180" t="s">
        <v>73</v>
      </c>
      <c r="G42" s="180" t="s">
        <v>354</v>
      </c>
      <c r="H42" s="181">
        <v>44494</v>
      </c>
      <c r="I42" s="180">
        <f t="shared" si="2"/>
        <v>4</v>
      </c>
      <c r="J42" s="181">
        <v>44642</v>
      </c>
      <c r="K42" s="180" t="str">
        <f t="shared" si="3"/>
        <v>NUEVO</v>
      </c>
      <c r="L42" s="180"/>
      <c r="M42" s="180"/>
      <c r="N42" s="180"/>
      <c r="O42" s="180">
        <v>0</v>
      </c>
      <c r="P42" s="180" t="s">
        <v>49</v>
      </c>
      <c r="Q42" s="180"/>
      <c r="R42" s="182"/>
      <c r="S42" s="180" t="s">
        <v>93</v>
      </c>
      <c r="T42" s="180" t="s">
        <v>192</v>
      </c>
      <c r="U42" s="180" t="s">
        <v>52</v>
      </c>
      <c r="V42" s="180" t="s">
        <v>192</v>
      </c>
      <c r="W42" s="180" t="s">
        <v>54</v>
      </c>
      <c r="X42" s="180" t="s">
        <v>55</v>
      </c>
      <c r="Y42" s="183">
        <v>0.75</v>
      </c>
      <c r="Z42" s="180" t="s">
        <v>96</v>
      </c>
      <c r="AA42" s="180" t="s">
        <v>355</v>
      </c>
      <c r="AB42" s="182"/>
      <c r="AC42" s="212"/>
      <c r="AD42" s="180" t="s">
        <v>97</v>
      </c>
      <c r="AE42" s="180" t="s">
        <v>265</v>
      </c>
      <c r="AF42" s="180">
        <v>19</v>
      </c>
      <c r="AG42" s="180" t="s">
        <v>254</v>
      </c>
      <c r="AH42" s="180" t="s">
        <v>113</v>
      </c>
      <c r="AI42" s="180" t="s">
        <v>62</v>
      </c>
      <c r="AJ42" s="180" t="s">
        <v>115</v>
      </c>
      <c r="AK42" s="184" t="s">
        <v>356</v>
      </c>
      <c r="AL42" s="182" t="s">
        <v>65</v>
      </c>
      <c r="AM42" s="182" t="s">
        <v>66</v>
      </c>
      <c r="AN42" s="182" t="s">
        <v>67</v>
      </c>
      <c r="AO42" s="182" t="s">
        <v>215</v>
      </c>
      <c r="AP42" s="182" t="s">
        <v>69</v>
      </c>
    </row>
    <row r="43" spans="1:42" s="185" customFormat="1" hidden="1" x14ac:dyDescent="0.2">
      <c r="A43" s="180">
        <v>2022</v>
      </c>
      <c r="B43" s="180" t="s">
        <v>302</v>
      </c>
      <c r="C43" s="180" t="s">
        <v>44</v>
      </c>
      <c r="D43" s="180" t="s">
        <v>357</v>
      </c>
      <c r="E43" s="180" t="s">
        <v>358</v>
      </c>
      <c r="F43" s="180" t="s">
        <v>73</v>
      </c>
      <c r="G43" s="180" t="s">
        <v>359</v>
      </c>
      <c r="H43" s="181">
        <v>44585</v>
      </c>
      <c r="I43" s="180">
        <f t="shared" si="2"/>
        <v>1</v>
      </c>
      <c r="J43" s="181">
        <v>44643</v>
      </c>
      <c r="K43" s="180" t="str">
        <f t="shared" si="3"/>
        <v>NUEVO</v>
      </c>
      <c r="L43" s="180"/>
      <c r="M43" s="180"/>
      <c r="N43" s="180"/>
      <c r="O43" s="180">
        <v>0</v>
      </c>
      <c r="P43" s="180" t="s">
        <v>49</v>
      </c>
      <c r="Q43" s="180"/>
      <c r="R43" s="182"/>
      <c r="S43" s="180" t="s">
        <v>50</v>
      </c>
      <c r="T43" s="180" t="s">
        <v>135</v>
      </c>
      <c r="U43" s="180" t="s">
        <v>52</v>
      </c>
      <c r="V43" s="180" t="s">
        <v>123</v>
      </c>
      <c r="W43" s="180" t="s">
        <v>54</v>
      </c>
      <c r="X43" s="180" t="s">
        <v>55</v>
      </c>
      <c r="Y43" s="183">
        <v>0.52083333333333337</v>
      </c>
      <c r="Z43" s="180" t="s">
        <v>56</v>
      </c>
      <c r="AA43" s="180" t="s">
        <v>355</v>
      </c>
      <c r="AB43" s="182"/>
      <c r="AC43" s="212"/>
      <c r="AD43" s="180" t="s">
        <v>58</v>
      </c>
      <c r="AE43" s="180" t="s">
        <v>228</v>
      </c>
      <c r="AF43" s="180">
        <v>26</v>
      </c>
      <c r="AG43" s="180" t="s">
        <v>289</v>
      </c>
      <c r="AH43" s="180" t="s">
        <v>129</v>
      </c>
      <c r="AI43" s="180" t="s">
        <v>62</v>
      </c>
      <c r="AJ43" s="180" t="s">
        <v>148</v>
      </c>
      <c r="AK43" s="184" t="s">
        <v>360</v>
      </c>
      <c r="AL43" s="182" t="s">
        <v>65</v>
      </c>
      <c r="AM43" s="182" t="s">
        <v>66</v>
      </c>
      <c r="AN43" s="182" t="s">
        <v>67</v>
      </c>
      <c r="AO43" s="182" t="s">
        <v>88</v>
      </c>
      <c r="AP43" s="182" t="s">
        <v>351</v>
      </c>
    </row>
    <row r="44" spans="1:42" s="185" customFormat="1" hidden="1" x14ac:dyDescent="0.2">
      <c r="A44" s="180">
        <v>2022</v>
      </c>
      <c r="B44" s="180" t="s">
        <v>302</v>
      </c>
      <c r="C44" s="180" t="s">
        <v>44</v>
      </c>
      <c r="D44" s="180" t="s">
        <v>361</v>
      </c>
      <c r="E44" s="180" t="s">
        <v>362</v>
      </c>
      <c r="F44" s="180" t="s">
        <v>73</v>
      </c>
      <c r="G44" s="180" t="s">
        <v>363</v>
      </c>
      <c r="H44" s="181">
        <v>44481</v>
      </c>
      <c r="I44" s="180">
        <f t="shared" si="2"/>
        <v>5</v>
      </c>
      <c r="J44" s="181">
        <v>44647</v>
      </c>
      <c r="K44" s="180" t="str">
        <f t="shared" si="3"/>
        <v>NUEVO</v>
      </c>
      <c r="L44" s="180"/>
      <c r="M44" s="180"/>
      <c r="N44" s="180"/>
      <c r="O44" s="180">
        <v>0</v>
      </c>
      <c r="P44" s="180" t="s">
        <v>49</v>
      </c>
      <c r="Q44" s="180"/>
      <c r="R44" s="182"/>
      <c r="S44" s="180" t="s">
        <v>182</v>
      </c>
      <c r="T44" s="180" t="s">
        <v>364</v>
      </c>
      <c r="U44" s="180" t="s">
        <v>365</v>
      </c>
      <c r="V44" s="180" t="s">
        <v>366</v>
      </c>
      <c r="W44" s="180" t="s">
        <v>54</v>
      </c>
      <c r="X44" s="180" t="s">
        <v>55</v>
      </c>
      <c r="Y44" s="183">
        <v>0.52083333333333337</v>
      </c>
      <c r="Z44" s="180" t="s">
        <v>367</v>
      </c>
      <c r="AA44" s="180" t="s">
        <v>355</v>
      </c>
      <c r="AB44" s="182"/>
      <c r="AC44" s="212"/>
      <c r="AD44" s="180" t="s">
        <v>184</v>
      </c>
      <c r="AE44" s="180" t="s">
        <v>368</v>
      </c>
      <c r="AF44" s="180">
        <v>29</v>
      </c>
      <c r="AG44" s="180" t="s">
        <v>83</v>
      </c>
      <c r="AH44" s="180" t="s">
        <v>369</v>
      </c>
      <c r="AI44" s="180" t="s">
        <v>62</v>
      </c>
      <c r="AJ44" s="180" t="s">
        <v>63</v>
      </c>
      <c r="AK44" s="184" t="s">
        <v>370</v>
      </c>
      <c r="AL44" s="182" t="s">
        <v>87</v>
      </c>
      <c r="AM44" s="182" t="s">
        <v>66</v>
      </c>
      <c r="AN44" s="182" t="s">
        <v>67</v>
      </c>
      <c r="AO44" s="182" t="s">
        <v>88</v>
      </c>
      <c r="AP44" s="182" t="s">
        <v>351</v>
      </c>
    </row>
    <row r="45" spans="1:42" s="185" customFormat="1" hidden="1" x14ac:dyDescent="0.2">
      <c r="A45" s="180">
        <v>2022</v>
      </c>
      <c r="B45" s="180" t="s">
        <v>302</v>
      </c>
      <c r="C45" s="180" t="s">
        <v>44</v>
      </c>
      <c r="D45" s="180" t="s">
        <v>371</v>
      </c>
      <c r="E45" s="180" t="s">
        <v>372</v>
      </c>
      <c r="F45" s="180" t="s">
        <v>73</v>
      </c>
      <c r="G45" s="180" t="s">
        <v>373</v>
      </c>
      <c r="H45" s="181">
        <v>44319</v>
      </c>
      <c r="I45" s="180">
        <f t="shared" si="2"/>
        <v>10</v>
      </c>
      <c r="J45" s="181">
        <v>44648</v>
      </c>
      <c r="K45" s="180" t="str">
        <f t="shared" si="3"/>
        <v>NUEVO</v>
      </c>
      <c r="L45" s="180"/>
      <c r="M45" s="180"/>
      <c r="N45" s="180"/>
      <c r="O45" s="180">
        <v>0</v>
      </c>
      <c r="P45" s="180" t="s">
        <v>49</v>
      </c>
      <c r="Q45" s="180"/>
      <c r="R45" s="182"/>
      <c r="S45" s="180" t="s">
        <v>182</v>
      </c>
      <c r="T45" s="180" t="s">
        <v>171</v>
      </c>
      <c r="U45" s="180" t="s">
        <v>374</v>
      </c>
      <c r="V45" s="180" t="s">
        <v>171</v>
      </c>
      <c r="W45" s="180" t="s">
        <v>375</v>
      </c>
      <c r="X45" s="180" t="s">
        <v>110</v>
      </c>
      <c r="Y45" s="183">
        <v>0.16666666666666666</v>
      </c>
      <c r="Z45" s="180" t="s">
        <v>79</v>
      </c>
      <c r="AA45" s="180" t="s">
        <v>376</v>
      </c>
      <c r="AB45" s="182"/>
      <c r="AC45" s="212"/>
      <c r="AD45" s="180" t="s">
        <v>184</v>
      </c>
      <c r="AE45" s="180" t="s">
        <v>377</v>
      </c>
      <c r="AF45" s="180">
        <v>26</v>
      </c>
      <c r="AG45" s="180" t="s">
        <v>175</v>
      </c>
      <c r="AH45" s="180" t="s">
        <v>61</v>
      </c>
      <c r="AI45" s="180" t="s">
        <v>100</v>
      </c>
      <c r="AJ45" s="180" t="s">
        <v>130</v>
      </c>
      <c r="AK45" s="184" t="s">
        <v>378</v>
      </c>
      <c r="AL45" s="250" t="s">
        <v>65</v>
      </c>
      <c r="AM45" s="182" t="s">
        <v>66</v>
      </c>
      <c r="AN45" s="182" t="s">
        <v>67</v>
      </c>
      <c r="AO45" s="182" t="s">
        <v>215</v>
      </c>
      <c r="AP45" s="182" t="s">
        <v>351</v>
      </c>
    </row>
    <row r="46" spans="1:42" s="185" customFormat="1" hidden="1" x14ac:dyDescent="0.2">
      <c r="A46" s="241">
        <v>2022</v>
      </c>
      <c r="B46" s="180" t="s">
        <v>302</v>
      </c>
      <c r="C46" s="180" t="s">
        <v>44</v>
      </c>
      <c r="D46" s="241" t="s">
        <v>379</v>
      </c>
      <c r="E46" s="241" t="s">
        <v>353</v>
      </c>
      <c r="F46" s="180" t="s">
        <v>73</v>
      </c>
      <c r="G46" s="180" t="s">
        <v>354</v>
      </c>
      <c r="H46" s="181">
        <v>44494</v>
      </c>
      <c r="I46" s="180">
        <f t="shared" si="2"/>
        <v>5</v>
      </c>
      <c r="J46" s="181">
        <v>44648</v>
      </c>
      <c r="K46" s="180" t="str">
        <f t="shared" si="3"/>
        <v>NUEVO</v>
      </c>
      <c r="L46" s="181">
        <v>44648</v>
      </c>
      <c r="M46" s="181">
        <v>44657</v>
      </c>
      <c r="N46" s="180"/>
      <c r="O46" s="180">
        <v>10</v>
      </c>
      <c r="P46" s="216" t="s">
        <v>141</v>
      </c>
      <c r="Q46" s="180"/>
      <c r="R46" s="182"/>
      <c r="S46" s="180" t="s">
        <v>93</v>
      </c>
      <c r="T46" s="180" t="s">
        <v>191</v>
      </c>
      <c r="U46" s="180" t="s">
        <v>52</v>
      </c>
      <c r="V46" s="180" t="s">
        <v>380</v>
      </c>
      <c r="W46" s="180" t="s">
        <v>54</v>
      </c>
      <c r="X46" s="180" t="s">
        <v>78</v>
      </c>
      <c r="Y46" s="183">
        <v>0.27430555555555552</v>
      </c>
      <c r="Z46" s="180" t="s">
        <v>79</v>
      </c>
      <c r="AA46" s="180" t="s">
        <v>376</v>
      </c>
      <c r="AB46" s="182"/>
      <c r="AC46" s="214" t="s">
        <v>381</v>
      </c>
      <c r="AD46" s="180" t="s">
        <v>97</v>
      </c>
      <c r="AE46" s="180" t="s">
        <v>265</v>
      </c>
      <c r="AF46" s="180">
        <v>19</v>
      </c>
      <c r="AG46" s="180" t="s">
        <v>289</v>
      </c>
      <c r="AH46" s="180" t="s">
        <v>207</v>
      </c>
      <c r="AI46" s="180" t="s">
        <v>62</v>
      </c>
      <c r="AJ46" s="180" t="s">
        <v>85</v>
      </c>
      <c r="AK46" s="251" t="s">
        <v>382</v>
      </c>
      <c r="AL46" s="180" t="s">
        <v>65</v>
      </c>
      <c r="AM46" s="252" t="s">
        <v>66</v>
      </c>
      <c r="AN46" s="182" t="s">
        <v>66</v>
      </c>
      <c r="AO46" s="182" t="s">
        <v>88</v>
      </c>
      <c r="AP46" s="182" t="s">
        <v>284</v>
      </c>
    </row>
    <row r="47" spans="1:42" s="185" customFormat="1" hidden="1" x14ac:dyDescent="0.2">
      <c r="A47" s="241">
        <v>2022</v>
      </c>
      <c r="B47" s="180" t="s">
        <v>383</v>
      </c>
      <c r="C47" s="180" t="s">
        <v>44</v>
      </c>
      <c r="D47" s="241" t="s">
        <v>384</v>
      </c>
      <c r="E47" s="241" t="s">
        <v>385</v>
      </c>
      <c r="F47" s="180" t="s">
        <v>47</v>
      </c>
      <c r="G47" s="180" t="s">
        <v>386</v>
      </c>
      <c r="H47" s="181">
        <v>42588</v>
      </c>
      <c r="I47" s="180">
        <f t="shared" si="2"/>
        <v>67</v>
      </c>
      <c r="J47" s="181">
        <v>44651</v>
      </c>
      <c r="K47" s="180" t="str">
        <f t="shared" si="3"/>
        <v>ANTIGUO</v>
      </c>
      <c r="L47" s="181">
        <v>44652</v>
      </c>
      <c r="M47" s="181">
        <v>44660</v>
      </c>
      <c r="N47" s="180"/>
      <c r="O47" s="180">
        <v>9</v>
      </c>
      <c r="P47" s="180" t="s">
        <v>141</v>
      </c>
      <c r="Q47" s="180"/>
      <c r="R47" s="182"/>
      <c r="S47" s="180" t="s">
        <v>50</v>
      </c>
      <c r="T47" s="180" t="s">
        <v>135</v>
      </c>
      <c r="U47" s="180" t="s">
        <v>52</v>
      </c>
      <c r="V47" s="180" t="s">
        <v>123</v>
      </c>
      <c r="W47" s="180" t="s">
        <v>95</v>
      </c>
      <c r="X47" s="180" t="s">
        <v>110</v>
      </c>
      <c r="Y47" s="183">
        <v>0.97569444444444453</v>
      </c>
      <c r="Z47" s="180" t="s">
        <v>164</v>
      </c>
      <c r="AA47" s="180" t="s">
        <v>376</v>
      </c>
      <c r="AB47" s="182"/>
      <c r="AC47" s="214" t="s">
        <v>387</v>
      </c>
      <c r="AD47" s="180" t="s">
        <v>58</v>
      </c>
      <c r="AE47" s="180" t="s">
        <v>212</v>
      </c>
      <c r="AF47" s="180">
        <v>27</v>
      </c>
      <c r="AG47" s="180" t="s">
        <v>99</v>
      </c>
      <c r="AH47" s="180" t="s">
        <v>61</v>
      </c>
      <c r="AI47" s="180" t="s">
        <v>100</v>
      </c>
      <c r="AJ47" s="180" t="s">
        <v>130</v>
      </c>
      <c r="AK47" s="251" t="s">
        <v>388</v>
      </c>
      <c r="AL47" s="180" t="s">
        <v>65</v>
      </c>
      <c r="AM47" s="252" t="s">
        <v>66</v>
      </c>
      <c r="AN47" s="182" t="s">
        <v>66</v>
      </c>
      <c r="AO47" s="182" t="s">
        <v>215</v>
      </c>
      <c r="AP47" s="182" t="s">
        <v>69</v>
      </c>
    </row>
    <row r="48" spans="1:42" s="185" customFormat="1" hidden="1" x14ac:dyDescent="0.2">
      <c r="A48" s="180">
        <v>2022</v>
      </c>
      <c r="B48" s="180" t="s">
        <v>383</v>
      </c>
      <c r="C48" s="180" t="s">
        <v>44</v>
      </c>
      <c r="D48" s="180" t="s">
        <v>389</v>
      </c>
      <c r="E48" s="180" t="s">
        <v>390</v>
      </c>
      <c r="F48" s="180" t="s">
        <v>73</v>
      </c>
      <c r="G48" s="180" t="s">
        <v>391</v>
      </c>
      <c r="H48" s="181">
        <v>43339</v>
      </c>
      <c r="I48" s="180">
        <f t="shared" si="2"/>
        <v>43</v>
      </c>
      <c r="J48" s="181">
        <v>44662</v>
      </c>
      <c r="K48" s="180" t="str">
        <f t="shared" si="3"/>
        <v>ANTIGUO</v>
      </c>
      <c r="L48" s="180"/>
      <c r="M48" s="180"/>
      <c r="N48" s="180"/>
      <c r="O48" s="180">
        <v>0</v>
      </c>
      <c r="P48" s="180" t="s">
        <v>49</v>
      </c>
      <c r="Q48" s="180"/>
      <c r="R48" s="182"/>
      <c r="S48" s="180" t="s">
        <v>219</v>
      </c>
      <c r="T48" s="180" t="s">
        <v>392</v>
      </c>
      <c r="U48" s="180" t="s">
        <v>52</v>
      </c>
      <c r="V48" s="180" t="s">
        <v>392</v>
      </c>
      <c r="W48" s="180" t="s">
        <v>54</v>
      </c>
      <c r="X48" s="180" t="s">
        <v>78</v>
      </c>
      <c r="Y48" s="183">
        <v>0.4236111111111111</v>
      </c>
      <c r="Z48" s="180" t="s">
        <v>79</v>
      </c>
      <c r="AA48" s="180" t="s">
        <v>393</v>
      </c>
      <c r="AB48" s="182"/>
      <c r="AC48" s="212"/>
      <c r="AD48" s="180" t="s">
        <v>221</v>
      </c>
      <c r="AE48" s="180" t="s">
        <v>394</v>
      </c>
      <c r="AF48" s="180">
        <v>56</v>
      </c>
      <c r="AG48" s="180" t="s">
        <v>237</v>
      </c>
      <c r="AH48" s="180" t="s">
        <v>113</v>
      </c>
      <c r="AI48" s="180" t="s">
        <v>62</v>
      </c>
      <c r="AJ48" s="180" t="s">
        <v>148</v>
      </c>
      <c r="AK48" s="184" t="s">
        <v>395</v>
      </c>
      <c r="AL48" s="256" t="s">
        <v>65</v>
      </c>
      <c r="AM48" s="182" t="s">
        <v>66</v>
      </c>
      <c r="AN48" s="182" t="s">
        <v>67</v>
      </c>
      <c r="AO48" s="182" t="s">
        <v>215</v>
      </c>
      <c r="AP48" s="182" t="s">
        <v>89</v>
      </c>
    </row>
    <row r="49" spans="1:42" s="185" customFormat="1" hidden="1" x14ac:dyDescent="0.2">
      <c r="A49" s="241">
        <v>2022</v>
      </c>
      <c r="B49" s="180" t="s">
        <v>383</v>
      </c>
      <c r="C49" s="180" t="s">
        <v>44</v>
      </c>
      <c r="D49" s="180" t="s">
        <v>396</v>
      </c>
      <c r="E49" s="187" t="s">
        <v>397</v>
      </c>
      <c r="F49" s="180" t="s">
        <v>73</v>
      </c>
      <c r="G49" s="180" t="s">
        <v>398</v>
      </c>
      <c r="H49" s="181">
        <v>44613</v>
      </c>
      <c r="I49" s="180">
        <f t="shared" si="2"/>
        <v>1</v>
      </c>
      <c r="J49" s="181">
        <v>44664</v>
      </c>
      <c r="K49" s="180" t="str">
        <f t="shared" si="3"/>
        <v>NUEVO</v>
      </c>
      <c r="L49" s="181">
        <v>44665</v>
      </c>
      <c r="M49" s="181">
        <v>44665</v>
      </c>
      <c r="N49" s="180"/>
      <c r="O49" s="180">
        <v>0</v>
      </c>
      <c r="P49" s="180" t="s">
        <v>49</v>
      </c>
      <c r="Q49" s="180"/>
      <c r="R49" s="182"/>
      <c r="S49" s="180" t="s">
        <v>182</v>
      </c>
      <c r="T49" s="180" t="s">
        <v>399</v>
      </c>
      <c r="U49" s="180" t="s">
        <v>52</v>
      </c>
      <c r="V49" s="180" t="s">
        <v>399</v>
      </c>
      <c r="W49" s="180" t="s">
        <v>54</v>
      </c>
      <c r="X49" s="180" t="s">
        <v>55</v>
      </c>
      <c r="Y49" s="183">
        <v>0.51041666666666663</v>
      </c>
      <c r="Z49" s="180" t="s">
        <v>56</v>
      </c>
      <c r="AA49" s="180" t="s">
        <v>393</v>
      </c>
      <c r="AB49" s="182"/>
      <c r="AC49" s="214" t="s">
        <v>400</v>
      </c>
      <c r="AD49" s="180" t="s">
        <v>184</v>
      </c>
      <c r="AE49" s="180" t="s">
        <v>401</v>
      </c>
      <c r="AF49" s="180">
        <v>59</v>
      </c>
      <c r="AG49" s="180" t="s">
        <v>83</v>
      </c>
      <c r="AH49" s="180" t="s">
        <v>84</v>
      </c>
      <c r="AI49" s="180" t="s">
        <v>62</v>
      </c>
      <c r="AJ49" s="180" t="s">
        <v>156</v>
      </c>
      <c r="AK49" s="251" t="s">
        <v>402</v>
      </c>
      <c r="AL49" s="180" t="s">
        <v>65</v>
      </c>
      <c r="AM49" s="252" t="s">
        <v>66</v>
      </c>
      <c r="AN49" s="182" t="s">
        <v>66</v>
      </c>
      <c r="AO49" s="182" t="s">
        <v>215</v>
      </c>
      <c r="AP49" s="182" t="s">
        <v>284</v>
      </c>
    </row>
    <row r="50" spans="1:42" s="185" customFormat="1" hidden="1" x14ac:dyDescent="0.2">
      <c r="A50" s="180">
        <v>2022</v>
      </c>
      <c r="B50" s="180" t="s">
        <v>383</v>
      </c>
      <c r="C50" s="180" t="s">
        <v>44</v>
      </c>
      <c r="D50" s="180" t="s">
        <v>403</v>
      </c>
      <c r="E50" s="180" t="s">
        <v>217</v>
      </c>
      <c r="F50" s="180" t="s">
        <v>73</v>
      </c>
      <c r="G50" s="180" t="s">
        <v>404</v>
      </c>
      <c r="H50" s="181">
        <v>38869</v>
      </c>
      <c r="I50" s="180">
        <f t="shared" si="2"/>
        <v>190</v>
      </c>
      <c r="J50" s="181">
        <v>44665</v>
      </c>
      <c r="K50" s="180" t="str">
        <f t="shared" si="3"/>
        <v>ANTIGUO</v>
      </c>
      <c r="L50" s="180"/>
      <c r="M50" s="180"/>
      <c r="N50" s="180"/>
      <c r="O50" s="180">
        <v>0</v>
      </c>
      <c r="P50" s="180" t="s">
        <v>49</v>
      </c>
      <c r="Q50" s="180"/>
      <c r="R50" s="182"/>
      <c r="S50" s="180" t="s">
        <v>219</v>
      </c>
      <c r="T50" s="180" t="s">
        <v>405</v>
      </c>
      <c r="U50" s="180" t="s">
        <v>52</v>
      </c>
      <c r="V50" s="180" t="s">
        <v>406</v>
      </c>
      <c r="W50" s="180" t="s">
        <v>54</v>
      </c>
      <c r="X50" s="180" t="s">
        <v>78</v>
      </c>
      <c r="Y50" s="183">
        <v>0.25694444444444448</v>
      </c>
      <c r="Z50" s="180" t="s">
        <v>164</v>
      </c>
      <c r="AA50" s="180" t="s">
        <v>393</v>
      </c>
      <c r="AB50" s="182"/>
      <c r="AC50" s="212"/>
      <c r="AD50" s="180" t="s">
        <v>221</v>
      </c>
      <c r="AE50" s="180" t="s">
        <v>407</v>
      </c>
      <c r="AF50" s="180">
        <v>38</v>
      </c>
      <c r="AG50" s="180" t="s">
        <v>237</v>
      </c>
      <c r="AH50" s="180" t="s">
        <v>207</v>
      </c>
      <c r="AI50" s="180" t="s">
        <v>408</v>
      </c>
      <c r="AJ50" s="180" t="s">
        <v>237</v>
      </c>
      <c r="AK50" s="184" t="s">
        <v>409</v>
      </c>
      <c r="AL50" s="255" t="s">
        <v>65</v>
      </c>
      <c r="AM50" s="182" t="s">
        <v>67</v>
      </c>
      <c r="AN50" s="182" t="s">
        <v>67</v>
      </c>
      <c r="AO50" s="182" t="s">
        <v>215</v>
      </c>
      <c r="AP50" s="182" t="s">
        <v>89</v>
      </c>
    </row>
    <row r="51" spans="1:42" s="185" customFormat="1" hidden="1" x14ac:dyDescent="0.2">
      <c r="A51" s="241">
        <v>2022</v>
      </c>
      <c r="B51" s="180" t="s">
        <v>383</v>
      </c>
      <c r="C51" s="180" t="s">
        <v>44</v>
      </c>
      <c r="D51" s="241" t="s">
        <v>327</v>
      </c>
      <c r="E51" s="241" t="s">
        <v>262</v>
      </c>
      <c r="F51" s="180" t="s">
        <v>73</v>
      </c>
      <c r="G51" s="180" t="s">
        <v>328</v>
      </c>
      <c r="H51" s="181">
        <v>44417</v>
      </c>
      <c r="I51" s="180">
        <f t="shared" si="2"/>
        <v>8</v>
      </c>
      <c r="J51" s="181">
        <v>44672</v>
      </c>
      <c r="K51" s="180" t="str">
        <f t="shared" si="3"/>
        <v>NUEVO</v>
      </c>
      <c r="L51" s="181">
        <v>44673</v>
      </c>
      <c r="M51" s="181">
        <v>44673</v>
      </c>
      <c r="N51" s="180"/>
      <c r="O51" s="180">
        <v>0</v>
      </c>
      <c r="P51" s="180" t="s">
        <v>49</v>
      </c>
      <c r="Q51" s="180" t="s">
        <v>161</v>
      </c>
      <c r="R51" s="182" t="s">
        <v>410</v>
      </c>
      <c r="S51" s="180" t="s">
        <v>50</v>
      </c>
      <c r="T51" s="180" t="s">
        <v>51</v>
      </c>
      <c r="U51" s="180" t="s">
        <v>52</v>
      </c>
      <c r="V51" s="180" t="s">
        <v>411</v>
      </c>
      <c r="W51" s="180" t="s">
        <v>163</v>
      </c>
      <c r="X51" s="180" t="s">
        <v>55</v>
      </c>
      <c r="Y51" s="183">
        <v>0.65972222222222221</v>
      </c>
      <c r="Z51" s="180" t="s">
        <v>164</v>
      </c>
      <c r="AA51" s="180" t="s">
        <v>412</v>
      </c>
      <c r="AB51" s="182"/>
      <c r="AC51" s="214" t="s">
        <v>413</v>
      </c>
      <c r="AD51" s="180" t="s">
        <v>58</v>
      </c>
      <c r="AE51" s="180" t="s">
        <v>228</v>
      </c>
      <c r="AF51" s="180">
        <v>21</v>
      </c>
      <c r="AG51" s="180" t="s">
        <v>166</v>
      </c>
      <c r="AH51" s="180" t="s">
        <v>414</v>
      </c>
      <c r="AI51" s="187" t="s">
        <v>62</v>
      </c>
      <c r="AJ51" s="187" t="s">
        <v>148</v>
      </c>
      <c r="AK51" s="189" t="s">
        <v>415</v>
      </c>
      <c r="AL51" s="257" t="s">
        <v>65</v>
      </c>
      <c r="AM51" s="182" t="s">
        <v>67</v>
      </c>
      <c r="AN51" s="182" t="s">
        <v>66</v>
      </c>
      <c r="AO51" s="182" t="s">
        <v>215</v>
      </c>
      <c r="AP51" s="182" t="s">
        <v>284</v>
      </c>
    </row>
    <row r="52" spans="1:42" s="185" customFormat="1" hidden="1" x14ac:dyDescent="0.2">
      <c r="A52" s="180">
        <v>2022</v>
      </c>
      <c r="B52" s="180" t="s">
        <v>383</v>
      </c>
      <c r="C52" s="180" t="s">
        <v>44</v>
      </c>
      <c r="D52" s="180" t="s">
        <v>416</v>
      </c>
      <c r="E52" s="180" t="s">
        <v>251</v>
      </c>
      <c r="F52" s="180" t="s">
        <v>47</v>
      </c>
      <c r="G52" s="180" t="s">
        <v>417</v>
      </c>
      <c r="H52" s="181">
        <v>44364</v>
      </c>
      <c r="I52" s="180">
        <f t="shared" si="2"/>
        <v>10</v>
      </c>
      <c r="J52" s="181">
        <v>44673</v>
      </c>
      <c r="K52" s="180" t="str">
        <f t="shared" si="3"/>
        <v>NUEVO</v>
      </c>
      <c r="L52" s="180"/>
      <c r="M52" s="180"/>
      <c r="N52" s="180"/>
      <c r="O52" s="180">
        <v>0</v>
      </c>
      <c r="P52" s="180" t="s">
        <v>49</v>
      </c>
      <c r="Q52" s="180" t="s">
        <v>107</v>
      </c>
      <c r="R52" s="182" t="s">
        <v>108</v>
      </c>
      <c r="S52" s="180" t="s">
        <v>50</v>
      </c>
      <c r="T52" s="180" t="s">
        <v>51</v>
      </c>
      <c r="U52" s="180" t="s">
        <v>52</v>
      </c>
      <c r="V52" s="180" t="s">
        <v>53</v>
      </c>
      <c r="W52" s="180" t="s">
        <v>54</v>
      </c>
      <c r="X52" s="180" t="s">
        <v>55</v>
      </c>
      <c r="Y52" s="183">
        <v>0.69097222222222221</v>
      </c>
      <c r="Z52" s="180" t="s">
        <v>183</v>
      </c>
      <c r="AA52" s="180" t="s">
        <v>412</v>
      </c>
      <c r="AB52" s="182"/>
      <c r="AC52" s="212"/>
      <c r="AD52" s="180" t="s">
        <v>58</v>
      </c>
      <c r="AE52" s="180" t="s">
        <v>228</v>
      </c>
      <c r="AF52" s="180">
        <v>36</v>
      </c>
      <c r="AG52" s="180" t="s">
        <v>112</v>
      </c>
      <c r="AH52" s="180" t="s">
        <v>113</v>
      </c>
      <c r="AI52" s="180" t="s">
        <v>237</v>
      </c>
      <c r="AJ52" s="180" t="s">
        <v>418</v>
      </c>
      <c r="AK52" s="251" t="s">
        <v>419</v>
      </c>
      <c r="AL52" s="182" t="s">
        <v>65</v>
      </c>
      <c r="AM52" s="252" t="s">
        <v>67</v>
      </c>
      <c r="AN52" s="182" t="s">
        <v>67</v>
      </c>
      <c r="AO52" s="182" t="s">
        <v>215</v>
      </c>
      <c r="AP52" s="182" t="s">
        <v>89</v>
      </c>
    </row>
    <row r="53" spans="1:42" s="185" customFormat="1" hidden="1" x14ac:dyDescent="0.2">
      <c r="A53" s="180">
        <v>2022</v>
      </c>
      <c r="B53" s="180" t="s">
        <v>383</v>
      </c>
      <c r="C53" s="180" t="s">
        <v>44</v>
      </c>
      <c r="D53" s="180" t="s">
        <v>420</v>
      </c>
      <c r="E53" s="180" t="s">
        <v>421</v>
      </c>
      <c r="F53" s="180" t="s">
        <v>73</v>
      </c>
      <c r="G53" s="180" t="s">
        <v>422</v>
      </c>
      <c r="H53" s="181">
        <v>44440</v>
      </c>
      <c r="I53" s="180">
        <f t="shared" si="2"/>
        <v>7</v>
      </c>
      <c r="J53" s="181">
        <v>44678</v>
      </c>
      <c r="K53" s="180" t="str">
        <f t="shared" si="3"/>
        <v>NUEVO</v>
      </c>
      <c r="L53" s="180"/>
      <c r="M53" s="180"/>
      <c r="N53" s="180"/>
      <c r="O53" s="180">
        <v>0</v>
      </c>
      <c r="P53" s="180" t="s">
        <v>49</v>
      </c>
      <c r="Q53" s="180"/>
      <c r="R53" s="182"/>
      <c r="S53" s="180" t="s">
        <v>423</v>
      </c>
      <c r="T53" s="180" t="s">
        <v>423</v>
      </c>
      <c r="U53" s="180" t="s">
        <v>52</v>
      </c>
      <c r="V53" s="180" t="s">
        <v>424</v>
      </c>
      <c r="W53" s="180" t="s">
        <v>54</v>
      </c>
      <c r="X53" s="180" t="s">
        <v>78</v>
      </c>
      <c r="Y53" s="183">
        <v>0.47222222222222227</v>
      </c>
      <c r="Z53" s="180" t="s">
        <v>56</v>
      </c>
      <c r="AA53" s="180" t="s">
        <v>425</v>
      </c>
      <c r="AB53" s="182"/>
      <c r="AC53" s="212"/>
      <c r="AD53" s="180" t="s">
        <v>426</v>
      </c>
      <c r="AE53" s="180" t="s">
        <v>427</v>
      </c>
      <c r="AF53" s="180">
        <v>25</v>
      </c>
      <c r="AG53" s="180" t="s">
        <v>237</v>
      </c>
      <c r="AH53" s="180" t="s">
        <v>61</v>
      </c>
      <c r="AI53" s="180" t="s">
        <v>237</v>
      </c>
      <c r="AJ53" s="180" t="s">
        <v>237</v>
      </c>
      <c r="AK53" s="184" t="s">
        <v>428</v>
      </c>
      <c r="AL53" s="255" t="s">
        <v>65</v>
      </c>
      <c r="AM53" s="182" t="s">
        <v>67</v>
      </c>
      <c r="AN53" s="182" t="s">
        <v>67</v>
      </c>
      <c r="AO53" s="182" t="s">
        <v>215</v>
      </c>
      <c r="AP53" s="182" t="s">
        <v>69</v>
      </c>
    </row>
    <row r="54" spans="1:42" s="185" customFormat="1" hidden="1" x14ac:dyDescent="0.2">
      <c r="A54" s="180">
        <v>2022</v>
      </c>
      <c r="B54" s="180" t="s">
        <v>383</v>
      </c>
      <c r="C54" s="180" t="s">
        <v>44</v>
      </c>
      <c r="D54" s="180" t="s">
        <v>429</v>
      </c>
      <c r="E54" s="180" t="s">
        <v>430</v>
      </c>
      <c r="F54" s="180" t="s">
        <v>73</v>
      </c>
      <c r="G54" s="180" t="s">
        <v>431</v>
      </c>
      <c r="H54" s="181">
        <v>44537</v>
      </c>
      <c r="I54" s="180">
        <f t="shared" si="2"/>
        <v>4</v>
      </c>
      <c r="J54" s="181">
        <v>44678</v>
      </c>
      <c r="K54" s="180" t="str">
        <f t="shared" si="3"/>
        <v>NUEVO</v>
      </c>
      <c r="L54" s="180"/>
      <c r="M54" s="180"/>
      <c r="N54" s="180"/>
      <c r="O54" s="180">
        <v>0</v>
      </c>
      <c r="P54" s="180" t="s">
        <v>49</v>
      </c>
      <c r="Q54" s="180"/>
      <c r="R54" s="182"/>
      <c r="S54" s="180" t="s">
        <v>75</v>
      </c>
      <c r="T54" s="180" t="s">
        <v>123</v>
      </c>
      <c r="U54" s="180" t="s">
        <v>52</v>
      </c>
      <c r="V54" s="180" t="s">
        <v>123</v>
      </c>
      <c r="W54" s="180" t="s">
        <v>163</v>
      </c>
      <c r="X54" s="180" t="s">
        <v>55</v>
      </c>
      <c r="Y54" s="183">
        <v>0.66666666666666663</v>
      </c>
      <c r="Z54" s="180" t="s">
        <v>56</v>
      </c>
      <c r="AA54" s="180" t="s">
        <v>425</v>
      </c>
      <c r="AB54" s="182"/>
      <c r="AC54" s="212"/>
      <c r="AD54" s="180" t="s">
        <v>81</v>
      </c>
      <c r="AE54" s="180" t="s">
        <v>368</v>
      </c>
      <c r="AF54" s="180">
        <v>35</v>
      </c>
      <c r="AG54" s="180" t="s">
        <v>329</v>
      </c>
      <c r="AH54" s="180" t="s">
        <v>207</v>
      </c>
      <c r="AI54" s="180" t="s">
        <v>62</v>
      </c>
      <c r="AJ54" s="180" t="s">
        <v>148</v>
      </c>
      <c r="AK54" s="184" t="s">
        <v>432</v>
      </c>
      <c r="AL54" s="182" t="s">
        <v>65</v>
      </c>
      <c r="AM54" s="182" t="s">
        <v>66</v>
      </c>
      <c r="AN54" s="182" t="s">
        <v>67</v>
      </c>
      <c r="AO54" s="182" t="s">
        <v>215</v>
      </c>
      <c r="AP54" s="182" t="s">
        <v>69</v>
      </c>
    </row>
    <row r="55" spans="1:42" s="185" customFormat="1" hidden="1" x14ac:dyDescent="0.2">
      <c r="A55" s="180">
        <v>2022</v>
      </c>
      <c r="B55" s="180" t="s">
        <v>383</v>
      </c>
      <c r="C55" s="180" t="s">
        <v>44</v>
      </c>
      <c r="D55" s="180" t="s">
        <v>433</v>
      </c>
      <c r="E55" s="180" t="s">
        <v>434</v>
      </c>
      <c r="F55" s="180" t="s">
        <v>73</v>
      </c>
      <c r="G55" s="180" t="s">
        <v>435</v>
      </c>
      <c r="H55" s="181">
        <v>44613</v>
      </c>
      <c r="I55" s="180">
        <f t="shared" si="2"/>
        <v>2</v>
      </c>
      <c r="J55" s="181">
        <v>44679</v>
      </c>
      <c r="K55" s="180" t="str">
        <f t="shared" si="3"/>
        <v>NUEVO</v>
      </c>
      <c r="L55" s="180"/>
      <c r="M55" s="180"/>
      <c r="N55" s="180"/>
      <c r="O55" s="180">
        <v>0</v>
      </c>
      <c r="P55" s="180" t="s">
        <v>49</v>
      </c>
      <c r="Q55" s="180"/>
      <c r="R55" s="182"/>
      <c r="S55" s="180" t="s">
        <v>271</v>
      </c>
      <c r="T55" s="180" t="s">
        <v>273</v>
      </c>
      <c r="U55" s="180" t="s">
        <v>52</v>
      </c>
      <c r="V55" s="180" t="s">
        <v>273</v>
      </c>
      <c r="W55" s="180" t="s">
        <v>54</v>
      </c>
      <c r="X55" s="180" t="s">
        <v>55</v>
      </c>
      <c r="Y55" s="183">
        <v>0.82291666666666663</v>
      </c>
      <c r="Z55" s="180" t="s">
        <v>164</v>
      </c>
      <c r="AA55" s="180" t="s">
        <v>425</v>
      </c>
      <c r="AB55" s="182"/>
      <c r="AC55" s="212"/>
      <c r="AD55" s="180" t="s">
        <v>275</v>
      </c>
      <c r="AE55" s="180" t="s">
        <v>436</v>
      </c>
      <c r="AF55" s="180">
        <v>41</v>
      </c>
      <c r="AG55" s="180" t="s">
        <v>128</v>
      </c>
      <c r="AH55" s="180" t="s">
        <v>129</v>
      </c>
      <c r="AI55" s="180" t="s">
        <v>62</v>
      </c>
      <c r="AJ55" s="180" t="s">
        <v>148</v>
      </c>
      <c r="AK55" s="184" t="s">
        <v>437</v>
      </c>
      <c r="AL55" s="250" t="s">
        <v>65</v>
      </c>
      <c r="AM55" s="182" t="s">
        <v>66</v>
      </c>
      <c r="AN55" s="182" t="s">
        <v>67</v>
      </c>
      <c r="AO55" s="182" t="s">
        <v>215</v>
      </c>
      <c r="AP55" s="182" t="s">
        <v>351</v>
      </c>
    </row>
    <row r="56" spans="1:42" s="185" customFormat="1" hidden="1" x14ac:dyDescent="0.2">
      <c r="A56" s="241">
        <v>2022</v>
      </c>
      <c r="B56" s="180" t="s">
        <v>383</v>
      </c>
      <c r="C56" s="180" t="s">
        <v>44</v>
      </c>
      <c r="D56" s="241" t="s">
        <v>438</v>
      </c>
      <c r="E56" s="241" t="s">
        <v>372</v>
      </c>
      <c r="F56" s="180" t="s">
        <v>73</v>
      </c>
      <c r="G56" s="180" t="s">
        <v>439</v>
      </c>
      <c r="H56" s="181">
        <v>44621</v>
      </c>
      <c r="I56" s="180">
        <f t="shared" si="2"/>
        <v>1</v>
      </c>
      <c r="J56" s="181">
        <v>44681</v>
      </c>
      <c r="K56" s="180" t="str">
        <f t="shared" si="3"/>
        <v>NUEVO</v>
      </c>
      <c r="L56" s="181">
        <v>44681</v>
      </c>
      <c r="M56" s="181">
        <v>44683</v>
      </c>
      <c r="N56" s="180"/>
      <c r="O56" s="180">
        <v>0</v>
      </c>
      <c r="P56" s="180" t="s">
        <v>49</v>
      </c>
      <c r="Q56" s="180"/>
      <c r="R56" s="182"/>
      <c r="S56" s="180" t="s">
        <v>50</v>
      </c>
      <c r="T56" s="180" t="s">
        <v>135</v>
      </c>
      <c r="U56" s="180" t="s">
        <v>52</v>
      </c>
      <c r="V56" s="180" t="s">
        <v>123</v>
      </c>
      <c r="W56" s="180" t="s">
        <v>54</v>
      </c>
      <c r="X56" s="180" t="s">
        <v>55</v>
      </c>
      <c r="Y56" s="183">
        <v>0.50694444444444442</v>
      </c>
      <c r="Z56" s="180" t="s">
        <v>154</v>
      </c>
      <c r="AA56" s="180" t="s">
        <v>425</v>
      </c>
      <c r="AB56" s="182"/>
      <c r="AC56" s="214" t="s">
        <v>440</v>
      </c>
      <c r="AD56" s="180" t="s">
        <v>58</v>
      </c>
      <c r="AE56" s="180" t="s">
        <v>136</v>
      </c>
      <c r="AF56" s="180">
        <v>32</v>
      </c>
      <c r="AG56" s="180" t="s">
        <v>83</v>
      </c>
      <c r="AH56" s="180" t="s">
        <v>441</v>
      </c>
      <c r="AI56" s="180" t="s">
        <v>62</v>
      </c>
      <c r="AJ56" s="180" t="s">
        <v>85</v>
      </c>
      <c r="AK56" s="251" t="s">
        <v>442</v>
      </c>
      <c r="AL56" s="180" t="s">
        <v>65</v>
      </c>
      <c r="AM56" s="252" t="s">
        <v>66</v>
      </c>
      <c r="AN56" s="182" t="s">
        <v>66</v>
      </c>
      <c r="AO56" s="182" t="s">
        <v>215</v>
      </c>
      <c r="AP56" s="182" t="s">
        <v>89</v>
      </c>
    </row>
    <row r="57" spans="1:42" s="185" customFormat="1" hidden="1" x14ac:dyDescent="0.2">
      <c r="A57" s="180">
        <v>2022</v>
      </c>
      <c r="B57" s="180" t="s">
        <v>443</v>
      </c>
      <c r="C57" s="180" t="s">
        <v>44</v>
      </c>
      <c r="D57" s="180" t="s">
        <v>444</v>
      </c>
      <c r="E57" s="180" t="s">
        <v>445</v>
      </c>
      <c r="F57" s="180" t="s">
        <v>73</v>
      </c>
      <c r="G57" s="180" t="s">
        <v>446</v>
      </c>
      <c r="H57" s="181">
        <v>43647</v>
      </c>
      <c r="I57" s="180">
        <f t="shared" si="2"/>
        <v>34</v>
      </c>
      <c r="J57" s="181">
        <v>44684</v>
      </c>
      <c r="K57" s="180" t="str">
        <f t="shared" si="3"/>
        <v>INTERMEDIO</v>
      </c>
      <c r="L57" s="180"/>
      <c r="M57" s="180"/>
      <c r="N57" s="180"/>
      <c r="O57" s="180">
        <v>0</v>
      </c>
      <c r="P57" s="180" t="s">
        <v>49</v>
      </c>
      <c r="Q57" s="180"/>
      <c r="R57" s="182"/>
      <c r="S57" s="180" t="s">
        <v>182</v>
      </c>
      <c r="T57" s="180" t="s">
        <v>447</v>
      </c>
      <c r="U57" s="180" t="s">
        <v>52</v>
      </c>
      <c r="V57" s="180" t="s">
        <v>399</v>
      </c>
      <c r="W57" s="180" t="s">
        <v>54</v>
      </c>
      <c r="X57" s="180" t="s">
        <v>55</v>
      </c>
      <c r="Y57" s="183">
        <v>0.51736111111111105</v>
      </c>
      <c r="Z57" s="180" t="s">
        <v>96</v>
      </c>
      <c r="AA57" s="180" t="s">
        <v>448</v>
      </c>
      <c r="AB57" s="182"/>
      <c r="AC57" s="212"/>
      <c r="AD57" s="180" t="s">
        <v>184</v>
      </c>
      <c r="AE57" s="180" t="s">
        <v>449</v>
      </c>
      <c r="AF57" s="180">
        <v>33</v>
      </c>
      <c r="AG57" s="180" t="s">
        <v>83</v>
      </c>
      <c r="AH57" s="180" t="s">
        <v>61</v>
      </c>
      <c r="AI57" s="180" t="s">
        <v>62</v>
      </c>
      <c r="AJ57" s="180" t="s">
        <v>85</v>
      </c>
      <c r="AK57" s="184" t="s">
        <v>450</v>
      </c>
      <c r="AL57" s="255" t="s">
        <v>65</v>
      </c>
      <c r="AM57" s="182" t="s">
        <v>66</v>
      </c>
      <c r="AN57" s="182" t="s">
        <v>67</v>
      </c>
      <c r="AO57" s="182" t="s">
        <v>215</v>
      </c>
      <c r="AP57" s="182" t="s">
        <v>284</v>
      </c>
    </row>
    <row r="58" spans="1:42" s="185" customFormat="1" hidden="1" x14ac:dyDescent="0.2">
      <c r="A58" s="180">
        <v>2022</v>
      </c>
      <c r="B58" s="180" t="s">
        <v>443</v>
      </c>
      <c r="C58" s="180" t="s">
        <v>44</v>
      </c>
      <c r="D58" s="180" t="s">
        <v>451</v>
      </c>
      <c r="E58" s="180" t="s">
        <v>452</v>
      </c>
      <c r="F58" s="180" t="s">
        <v>47</v>
      </c>
      <c r="G58" s="180" t="s">
        <v>453</v>
      </c>
      <c r="H58" s="181">
        <v>41493</v>
      </c>
      <c r="I58" s="180">
        <f t="shared" si="2"/>
        <v>104</v>
      </c>
      <c r="J58" s="181">
        <v>44687</v>
      </c>
      <c r="K58" s="180" t="str">
        <f t="shared" si="3"/>
        <v>ANTIGUO</v>
      </c>
      <c r="L58" s="180"/>
      <c r="M58" s="180"/>
      <c r="N58" s="180"/>
      <c r="O58" s="180">
        <v>0</v>
      </c>
      <c r="P58" s="180" t="s">
        <v>49</v>
      </c>
      <c r="Q58" s="180"/>
      <c r="R58" s="182"/>
      <c r="S58" s="180" t="s">
        <v>50</v>
      </c>
      <c r="T58" s="180" t="s">
        <v>135</v>
      </c>
      <c r="U58" s="180" t="s">
        <v>52</v>
      </c>
      <c r="V58" s="180" t="s">
        <v>123</v>
      </c>
      <c r="W58" s="180" t="s">
        <v>54</v>
      </c>
      <c r="X58" s="180" t="s">
        <v>78</v>
      </c>
      <c r="Y58" s="183">
        <v>0.34722222222222227</v>
      </c>
      <c r="Z58" s="180" t="s">
        <v>183</v>
      </c>
      <c r="AA58" s="180" t="s">
        <v>448</v>
      </c>
      <c r="AB58" s="182"/>
      <c r="AC58" s="212"/>
      <c r="AD58" s="180" t="s">
        <v>58</v>
      </c>
      <c r="AE58" s="180" t="s">
        <v>212</v>
      </c>
      <c r="AF58" s="180">
        <v>53</v>
      </c>
      <c r="AG58" s="180" t="s">
        <v>83</v>
      </c>
      <c r="AH58" s="180" t="s">
        <v>454</v>
      </c>
      <c r="AI58" s="180" t="s">
        <v>62</v>
      </c>
      <c r="AJ58" s="180" t="s">
        <v>85</v>
      </c>
      <c r="AK58" s="184" t="s">
        <v>455</v>
      </c>
      <c r="AL58" s="182" t="s">
        <v>65</v>
      </c>
      <c r="AM58" s="182" t="s">
        <v>66</v>
      </c>
      <c r="AN58" s="182" t="s">
        <v>67</v>
      </c>
      <c r="AO58" s="182" t="s">
        <v>215</v>
      </c>
      <c r="AP58" s="182" t="s">
        <v>351</v>
      </c>
    </row>
    <row r="59" spans="1:42" s="185" customFormat="1" hidden="1" x14ac:dyDescent="0.2">
      <c r="A59" s="180">
        <v>2022</v>
      </c>
      <c r="B59" s="180" t="s">
        <v>443</v>
      </c>
      <c r="C59" s="180" t="s">
        <v>44</v>
      </c>
      <c r="D59" s="180" t="s">
        <v>456</v>
      </c>
      <c r="E59" s="180" t="s">
        <v>457</v>
      </c>
      <c r="F59" s="180" t="s">
        <v>73</v>
      </c>
      <c r="G59" s="180" t="s">
        <v>458</v>
      </c>
      <c r="H59" s="181">
        <v>37764</v>
      </c>
      <c r="I59" s="180">
        <f t="shared" si="2"/>
        <v>227</v>
      </c>
      <c r="J59" s="181">
        <v>44688</v>
      </c>
      <c r="K59" s="180" t="str">
        <f t="shared" si="3"/>
        <v>ANTIGUO</v>
      </c>
      <c r="L59" s="180"/>
      <c r="M59" s="180"/>
      <c r="N59" s="180"/>
      <c r="O59" s="180">
        <v>0</v>
      </c>
      <c r="P59" s="180" t="s">
        <v>49</v>
      </c>
      <c r="Q59" s="180"/>
      <c r="R59" s="182"/>
      <c r="S59" s="180" t="s">
        <v>142</v>
      </c>
      <c r="T59" s="180" t="s">
        <v>459</v>
      </c>
      <c r="U59" s="180" t="s">
        <v>52</v>
      </c>
      <c r="V59" s="180" t="s">
        <v>460</v>
      </c>
      <c r="W59" s="180" t="s">
        <v>54</v>
      </c>
      <c r="X59" s="180" t="s">
        <v>78</v>
      </c>
      <c r="Y59" s="183">
        <v>0.27777777777777779</v>
      </c>
      <c r="Z59" s="180" t="s">
        <v>154</v>
      </c>
      <c r="AA59" s="180" t="s">
        <v>448</v>
      </c>
      <c r="AB59" s="182"/>
      <c r="AC59" s="212"/>
      <c r="AD59" s="180" t="s">
        <v>126</v>
      </c>
      <c r="AE59" s="180" t="s">
        <v>461</v>
      </c>
      <c r="AF59" s="180">
        <v>42</v>
      </c>
      <c r="AG59" s="180" t="s">
        <v>128</v>
      </c>
      <c r="AH59" s="180" t="s">
        <v>129</v>
      </c>
      <c r="AI59" s="180" t="s">
        <v>62</v>
      </c>
      <c r="AJ59" s="180" t="s">
        <v>63</v>
      </c>
      <c r="AK59" s="184" t="s">
        <v>462</v>
      </c>
      <c r="AL59" s="250" t="s">
        <v>65</v>
      </c>
      <c r="AM59" s="182" t="s">
        <v>66</v>
      </c>
      <c r="AN59" s="182" t="s">
        <v>67</v>
      </c>
      <c r="AO59" s="182" t="s">
        <v>215</v>
      </c>
      <c r="AP59" s="182" t="s">
        <v>284</v>
      </c>
    </row>
    <row r="60" spans="1:42" s="185" customFormat="1" hidden="1" x14ac:dyDescent="0.2">
      <c r="A60" s="180">
        <v>2022</v>
      </c>
      <c r="B60" s="180" t="s">
        <v>443</v>
      </c>
      <c r="C60" s="180" t="s">
        <v>44</v>
      </c>
      <c r="D60" s="180" t="s">
        <v>463</v>
      </c>
      <c r="E60" s="180" t="s">
        <v>464</v>
      </c>
      <c r="F60" s="180" t="s">
        <v>47</v>
      </c>
      <c r="G60" s="180" t="s">
        <v>465</v>
      </c>
      <c r="H60" s="181">
        <v>42884</v>
      </c>
      <c r="I60" s="180">
        <f t="shared" si="2"/>
        <v>59</v>
      </c>
      <c r="J60" s="181">
        <v>44690</v>
      </c>
      <c r="K60" s="180" t="str">
        <f t="shared" si="3"/>
        <v>ANTIGUO</v>
      </c>
      <c r="L60" s="180"/>
      <c r="M60" s="180"/>
      <c r="N60" s="180"/>
      <c r="O60" s="180">
        <v>0</v>
      </c>
      <c r="P60" s="180" t="s">
        <v>49</v>
      </c>
      <c r="Q60" s="180"/>
      <c r="R60" s="182"/>
      <c r="S60" s="180" t="s">
        <v>50</v>
      </c>
      <c r="T60" s="180" t="s">
        <v>135</v>
      </c>
      <c r="U60" s="180" t="s">
        <v>52</v>
      </c>
      <c r="V60" s="180" t="s">
        <v>466</v>
      </c>
      <c r="W60" s="180" t="s">
        <v>54</v>
      </c>
      <c r="X60" s="180" t="s">
        <v>55</v>
      </c>
      <c r="Y60" s="183">
        <v>0.85416666666666663</v>
      </c>
      <c r="Z60" s="180" t="s">
        <v>79</v>
      </c>
      <c r="AA60" s="180" t="s">
        <v>467</v>
      </c>
      <c r="AB60" s="182"/>
      <c r="AC60" s="212"/>
      <c r="AD60" s="180" t="s">
        <v>58</v>
      </c>
      <c r="AE60" s="180" t="s">
        <v>212</v>
      </c>
      <c r="AF60" s="180">
        <v>40</v>
      </c>
      <c r="AG60" s="180" t="s">
        <v>83</v>
      </c>
      <c r="AH60" s="180" t="s">
        <v>84</v>
      </c>
      <c r="AI60" s="180" t="s">
        <v>62</v>
      </c>
      <c r="AJ60" s="180" t="s">
        <v>85</v>
      </c>
      <c r="AK60" s="251" t="s">
        <v>468</v>
      </c>
      <c r="AL60" s="182" t="s">
        <v>65</v>
      </c>
      <c r="AM60" s="252" t="s">
        <v>66</v>
      </c>
      <c r="AN60" s="182" t="s">
        <v>67</v>
      </c>
      <c r="AO60" s="182" t="s">
        <v>215</v>
      </c>
      <c r="AP60" s="182" t="s">
        <v>69</v>
      </c>
    </row>
    <row r="61" spans="1:42" s="185" customFormat="1" hidden="1" x14ac:dyDescent="0.2">
      <c r="A61" s="241">
        <v>2022</v>
      </c>
      <c r="B61" s="180" t="s">
        <v>443</v>
      </c>
      <c r="C61" s="180" t="s">
        <v>44</v>
      </c>
      <c r="D61" s="241" t="s">
        <v>469</v>
      </c>
      <c r="E61" s="241" t="s">
        <v>470</v>
      </c>
      <c r="F61" s="180" t="s">
        <v>73</v>
      </c>
      <c r="G61" s="180" t="s">
        <v>471</v>
      </c>
      <c r="H61" s="181">
        <v>44532</v>
      </c>
      <c r="I61" s="180">
        <f t="shared" si="2"/>
        <v>5</v>
      </c>
      <c r="J61" s="181">
        <v>44690</v>
      </c>
      <c r="K61" s="180" t="str">
        <f t="shared" si="3"/>
        <v>NUEVO</v>
      </c>
      <c r="L61" s="181">
        <v>44690</v>
      </c>
      <c r="M61" s="181">
        <v>44690</v>
      </c>
      <c r="N61" s="180"/>
      <c r="O61" s="180">
        <v>0</v>
      </c>
      <c r="P61" s="180" t="s">
        <v>49</v>
      </c>
      <c r="Q61" s="180"/>
      <c r="R61" s="182"/>
      <c r="S61" s="180" t="s">
        <v>93</v>
      </c>
      <c r="T61" s="180" t="s">
        <v>472</v>
      </c>
      <c r="U61" s="180" t="s">
        <v>52</v>
      </c>
      <c r="V61" s="180" t="s">
        <v>473</v>
      </c>
      <c r="W61" s="180" t="s">
        <v>54</v>
      </c>
      <c r="X61" s="180" t="s">
        <v>78</v>
      </c>
      <c r="Y61" s="183">
        <v>0.22916666666666666</v>
      </c>
      <c r="Z61" s="180" t="s">
        <v>79</v>
      </c>
      <c r="AA61" s="180" t="s">
        <v>467</v>
      </c>
      <c r="AB61" s="182"/>
      <c r="AC61" s="213" t="s">
        <v>474</v>
      </c>
      <c r="AD61" s="180" t="s">
        <v>97</v>
      </c>
      <c r="AE61" s="180" t="s">
        <v>98</v>
      </c>
      <c r="AF61" s="180">
        <v>54</v>
      </c>
      <c r="AG61" s="180" t="s">
        <v>254</v>
      </c>
      <c r="AH61" s="180" t="s">
        <v>113</v>
      </c>
      <c r="AI61" s="180" t="s">
        <v>62</v>
      </c>
      <c r="AJ61" s="180" t="s">
        <v>115</v>
      </c>
      <c r="AK61" s="184" t="s">
        <v>475</v>
      </c>
      <c r="AL61" s="291" t="s">
        <v>87</v>
      </c>
      <c r="AM61" s="182" t="s">
        <v>66</v>
      </c>
      <c r="AN61" s="182" t="s">
        <v>66</v>
      </c>
      <c r="AO61" s="182" t="s">
        <v>215</v>
      </c>
      <c r="AP61" s="182" t="s">
        <v>69</v>
      </c>
    </row>
    <row r="62" spans="1:42" s="185" customFormat="1" hidden="1" x14ac:dyDescent="0.2">
      <c r="A62" s="241">
        <v>2022</v>
      </c>
      <c r="B62" s="180" t="s">
        <v>443</v>
      </c>
      <c r="C62" s="180" t="s">
        <v>44</v>
      </c>
      <c r="D62" s="241" t="s">
        <v>476</v>
      </c>
      <c r="E62" s="241" t="s">
        <v>477</v>
      </c>
      <c r="F62" s="180" t="s">
        <v>73</v>
      </c>
      <c r="G62" s="180" t="s">
        <v>478</v>
      </c>
      <c r="H62" s="181">
        <v>44635</v>
      </c>
      <c r="I62" s="180">
        <f t="shared" si="2"/>
        <v>1</v>
      </c>
      <c r="J62" s="181">
        <v>44692</v>
      </c>
      <c r="K62" s="180" t="str">
        <f t="shared" si="3"/>
        <v>NUEVO</v>
      </c>
      <c r="L62" s="181">
        <v>44692</v>
      </c>
      <c r="M62" s="181">
        <v>44702</v>
      </c>
      <c r="N62" s="180"/>
      <c r="O62" s="180">
        <v>11</v>
      </c>
      <c r="P62" s="180" t="s">
        <v>141</v>
      </c>
      <c r="Q62" s="180"/>
      <c r="R62" s="182"/>
      <c r="S62" s="180" t="s">
        <v>219</v>
      </c>
      <c r="T62" s="180" t="s">
        <v>479</v>
      </c>
      <c r="U62" s="180" t="s">
        <v>52</v>
      </c>
      <c r="V62" s="180" t="s">
        <v>220</v>
      </c>
      <c r="W62" s="180" t="s">
        <v>54</v>
      </c>
      <c r="X62" s="180" t="s">
        <v>78</v>
      </c>
      <c r="Y62" s="183">
        <v>0.375</v>
      </c>
      <c r="Z62" s="180" t="s">
        <v>56</v>
      </c>
      <c r="AA62" s="180" t="s">
        <v>467</v>
      </c>
      <c r="AB62" s="182"/>
      <c r="AC62" s="213" t="s">
        <v>480</v>
      </c>
      <c r="AD62" s="180" t="s">
        <v>221</v>
      </c>
      <c r="AE62" s="180" t="s">
        <v>222</v>
      </c>
      <c r="AF62" s="180">
        <v>18</v>
      </c>
      <c r="AG62" s="180" t="s">
        <v>60</v>
      </c>
      <c r="AH62" s="180" t="s">
        <v>61</v>
      </c>
      <c r="AI62" s="180" t="s">
        <v>62</v>
      </c>
      <c r="AJ62" s="180" t="s">
        <v>63</v>
      </c>
      <c r="AK62" s="251" t="s">
        <v>481</v>
      </c>
      <c r="AL62" s="180" t="s">
        <v>65</v>
      </c>
      <c r="AM62" s="252" t="s">
        <v>66</v>
      </c>
      <c r="AN62" s="182" t="s">
        <v>66</v>
      </c>
      <c r="AO62" s="182" t="s">
        <v>215</v>
      </c>
      <c r="AP62" s="182" t="s">
        <v>284</v>
      </c>
    </row>
    <row r="63" spans="1:42" s="185" customFormat="1" hidden="1" x14ac:dyDescent="0.2">
      <c r="A63" s="180">
        <v>2022</v>
      </c>
      <c r="B63" s="180" t="s">
        <v>443</v>
      </c>
      <c r="C63" s="180" t="s">
        <v>44</v>
      </c>
      <c r="D63" s="180" t="s">
        <v>482</v>
      </c>
      <c r="E63" s="180" t="s">
        <v>483</v>
      </c>
      <c r="F63" s="180" t="s">
        <v>73</v>
      </c>
      <c r="G63" s="180" t="s">
        <v>484</v>
      </c>
      <c r="H63" s="181">
        <v>43437</v>
      </c>
      <c r="I63" s="180">
        <f t="shared" si="2"/>
        <v>41</v>
      </c>
      <c r="J63" s="181">
        <v>44693</v>
      </c>
      <c r="K63" s="180" t="str">
        <f t="shared" si="3"/>
        <v>ANTIGUO</v>
      </c>
      <c r="L63" s="180"/>
      <c r="M63" s="180"/>
      <c r="N63" s="180"/>
      <c r="O63" s="180">
        <v>0</v>
      </c>
      <c r="P63" s="180" t="s">
        <v>49</v>
      </c>
      <c r="Q63" s="180"/>
      <c r="R63" s="182"/>
      <c r="S63" s="180" t="s">
        <v>50</v>
      </c>
      <c r="T63" s="180" t="s">
        <v>51</v>
      </c>
      <c r="U63" s="180" t="s">
        <v>52</v>
      </c>
      <c r="V63" s="180" t="s">
        <v>485</v>
      </c>
      <c r="W63" s="180" t="s">
        <v>54</v>
      </c>
      <c r="X63" s="180" t="s">
        <v>55</v>
      </c>
      <c r="Y63" s="183">
        <v>0.78472222222222221</v>
      </c>
      <c r="Z63" s="180" t="s">
        <v>164</v>
      </c>
      <c r="AA63" s="180" t="s">
        <v>467</v>
      </c>
      <c r="AB63" s="182"/>
      <c r="AC63" s="212"/>
      <c r="AD63" s="180" t="s">
        <v>58</v>
      </c>
      <c r="AE63" s="180" t="s">
        <v>59</v>
      </c>
      <c r="AF63" s="180">
        <v>43</v>
      </c>
      <c r="AG63" s="180" t="s">
        <v>83</v>
      </c>
      <c r="AH63" s="180" t="s">
        <v>369</v>
      </c>
      <c r="AI63" s="180" t="s">
        <v>62</v>
      </c>
      <c r="AJ63" s="180" t="s">
        <v>85</v>
      </c>
      <c r="AK63" s="184" t="s">
        <v>486</v>
      </c>
      <c r="AL63" s="255" t="s">
        <v>65</v>
      </c>
      <c r="AM63" s="182" t="s">
        <v>66</v>
      </c>
      <c r="AN63" s="182" t="s">
        <v>67</v>
      </c>
      <c r="AO63" s="182" t="s">
        <v>215</v>
      </c>
      <c r="AP63" s="182" t="s">
        <v>89</v>
      </c>
    </row>
    <row r="64" spans="1:42" s="185" customFormat="1" hidden="1" x14ac:dyDescent="0.2">
      <c r="A64" s="241">
        <v>2022</v>
      </c>
      <c r="B64" s="180" t="s">
        <v>443</v>
      </c>
      <c r="C64" s="180" t="s">
        <v>44</v>
      </c>
      <c r="D64" s="241" t="s">
        <v>487</v>
      </c>
      <c r="E64" s="241" t="s">
        <v>488</v>
      </c>
      <c r="F64" s="180" t="s">
        <v>73</v>
      </c>
      <c r="G64" s="180" t="s">
        <v>489</v>
      </c>
      <c r="H64" s="181">
        <v>43745</v>
      </c>
      <c r="I64" s="180">
        <f t="shared" si="2"/>
        <v>31</v>
      </c>
      <c r="J64" s="181">
        <v>44694</v>
      </c>
      <c r="K64" s="180" t="str">
        <f t="shared" si="3"/>
        <v>INTERMEDIO</v>
      </c>
      <c r="L64" s="181">
        <v>44694</v>
      </c>
      <c r="M64" s="181">
        <v>44694</v>
      </c>
      <c r="N64" s="180"/>
      <c r="O64" s="180">
        <v>0</v>
      </c>
      <c r="P64" s="180" t="s">
        <v>49</v>
      </c>
      <c r="Q64" s="180"/>
      <c r="R64" s="182"/>
      <c r="S64" s="180" t="s">
        <v>142</v>
      </c>
      <c r="T64" s="180" t="s">
        <v>490</v>
      </c>
      <c r="U64" s="180" t="s">
        <v>52</v>
      </c>
      <c r="V64" s="180" t="s">
        <v>490</v>
      </c>
      <c r="W64" s="180" t="s">
        <v>54</v>
      </c>
      <c r="X64" s="180" t="s">
        <v>55</v>
      </c>
      <c r="Y64" s="183">
        <v>0.74305555555555547</v>
      </c>
      <c r="Z64" s="180" t="s">
        <v>183</v>
      </c>
      <c r="AA64" s="180" t="s">
        <v>467</v>
      </c>
      <c r="AB64" s="182"/>
      <c r="AC64" s="213" t="s">
        <v>491</v>
      </c>
      <c r="AD64" s="180" t="s">
        <v>126</v>
      </c>
      <c r="AE64" s="180" t="s">
        <v>461</v>
      </c>
      <c r="AF64" s="180">
        <v>23</v>
      </c>
      <c r="AG64" s="180" t="s">
        <v>289</v>
      </c>
      <c r="AH64" s="180" t="s">
        <v>369</v>
      </c>
      <c r="AI64" s="180" t="s">
        <v>62</v>
      </c>
      <c r="AJ64" s="180" t="s">
        <v>148</v>
      </c>
      <c r="AK64" s="184" t="s">
        <v>492</v>
      </c>
      <c r="AL64" s="257" t="s">
        <v>65</v>
      </c>
      <c r="AM64" s="182" t="s">
        <v>66</v>
      </c>
      <c r="AN64" s="182" t="s">
        <v>66</v>
      </c>
      <c r="AO64" s="182" t="s">
        <v>215</v>
      </c>
      <c r="AP64" s="182" t="s">
        <v>69</v>
      </c>
    </row>
    <row r="65" spans="1:42" s="185" customFormat="1" hidden="1" x14ac:dyDescent="0.2">
      <c r="A65" s="180">
        <v>2022</v>
      </c>
      <c r="B65" s="180" t="s">
        <v>443</v>
      </c>
      <c r="C65" s="180" t="s">
        <v>44</v>
      </c>
      <c r="D65" s="180" t="s">
        <v>493</v>
      </c>
      <c r="E65" s="180" t="s">
        <v>494</v>
      </c>
      <c r="F65" s="180" t="s">
        <v>73</v>
      </c>
      <c r="G65" s="180" t="s">
        <v>495</v>
      </c>
      <c r="H65" s="181">
        <v>44370</v>
      </c>
      <c r="I65" s="180">
        <f t="shared" si="2"/>
        <v>10</v>
      </c>
      <c r="J65" s="181">
        <v>44694</v>
      </c>
      <c r="K65" s="180" t="str">
        <f t="shared" si="3"/>
        <v>NUEVO</v>
      </c>
      <c r="L65" s="180"/>
      <c r="M65" s="180"/>
      <c r="N65" s="180"/>
      <c r="O65" s="180">
        <v>0</v>
      </c>
      <c r="P65" s="180" t="s">
        <v>49</v>
      </c>
      <c r="Q65" s="180"/>
      <c r="R65" s="182"/>
      <c r="S65" s="180" t="s">
        <v>219</v>
      </c>
      <c r="T65" s="180" t="s">
        <v>496</v>
      </c>
      <c r="U65" s="180" t="s">
        <v>52</v>
      </c>
      <c r="V65" s="180" t="s">
        <v>496</v>
      </c>
      <c r="W65" s="180" t="s">
        <v>54</v>
      </c>
      <c r="X65" s="180" t="s">
        <v>55</v>
      </c>
      <c r="Y65" s="183">
        <v>0.65625</v>
      </c>
      <c r="Z65" s="180" t="s">
        <v>183</v>
      </c>
      <c r="AA65" s="180" t="s">
        <v>467</v>
      </c>
      <c r="AB65" s="182"/>
      <c r="AC65" s="212"/>
      <c r="AD65" s="180" t="s">
        <v>221</v>
      </c>
      <c r="AE65" s="180" t="s">
        <v>407</v>
      </c>
      <c r="AF65" s="180">
        <v>20</v>
      </c>
      <c r="AG65" s="180" t="s">
        <v>254</v>
      </c>
      <c r="AH65" s="180" t="s">
        <v>61</v>
      </c>
      <c r="AI65" s="180" t="s">
        <v>62</v>
      </c>
      <c r="AJ65" s="180" t="s">
        <v>148</v>
      </c>
      <c r="AK65" s="251" t="s">
        <v>497</v>
      </c>
      <c r="AL65" s="182" t="s">
        <v>65</v>
      </c>
      <c r="AM65" s="252" t="s">
        <v>66</v>
      </c>
      <c r="AN65" s="182" t="s">
        <v>67</v>
      </c>
      <c r="AO65" s="182" t="s">
        <v>215</v>
      </c>
      <c r="AP65" s="182" t="s">
        <v>69</v>
      </c>
    </row>
    <row r="66" spans="1:42" s="185" customFormat="1" hidden="1" x14ac:dyDescent="0.2">
      <c r="A66" s="180">
        <v>2022</v>
      </c>
      <c r="B66" s="180" t="s">
        <v>443</v>
      </c>
      <c r="C66" s="180" t="s">
        <v>44</v>
      </c>
      <c r="D66" s="180" t="s">
        <v>498</v>
      </c>
      <c r="E66" s="180" t="s">
        <v>499</v>
      </c>
      <c r="F66" s="180" t="s">
        <v>47</v>
      </c>
      <c r="G66" s="180" t="s">
        <v>500</v>
      </c>
      <c r="H66" s="181">
        <v>43409</v>
      </c>
      <c r="I66" s="180">
        <f t="shared" si="2"/>
        <v>42</v>
      </c>
      <c r="J66" s="181">
        <v>44695</v>
      </c>
      <c r="K66" s="180" t="str">
        <f t="shared" si="3"/>
        <v>ANTIGUO</v>
      </c>
      <c r="L66" s="180"/>
      <c r="M66" s="180"/>
      <c r="N66" s="180"/>
      <c r="O66" s="180">
        <v>0</v>
      </c>
      <c r="P66" s="180" t="s">
        <v>49</v>
      </c>
      <c r="Q66" s="180"/>
      <c r="R66" s="182"/>
      <c r="S66" s="180" t="s">
        <v>50</v>
      </c>
      <c r="T66" s="180" t="s">
        <v>135</v>
      </c>
      <c r="U66" s="180" t="s">
        <v>52</v>
      </c>
      <c r="V66" s="180" t="s">
        <v>123</v>
      </c>
      <c r="W66" s="180" t="s">
        <v>54</v>
      </c>
      <c r="X66" s="180" t="s">
        <v>78</v>
      </c>
      <c r="Y66" s="183">
        <v>0.54861111111111105</v>
      </c>
      <c r="Z66" s="180" t="s">
        <v>154</v>
      </c>
      <c r="AA66" s="180" t="s">
        <v>467</v>
      </c>
      <c r="AB66" s="182"/>
      <c r="AC66" s="212"/>
      <c r="AD66" s="180" t="s">
        <v>58</v>
      </c>
      <c r="AE66" s="180" t="s">
        <v>136</v>
      </c>
      <c r="AF66" s="180">
        <v>37</v>
      </c>
      <c r="AG66" s="180" t="s">
        <v>128</v>
      </c>
      <c r="AH66" s="180" t="s">
        <v>84</v>
      </c>
      <c r="AI66" s="180" t="s">
        <v>62</v>
      </c>
      <c r="AJ66" s="180" t="s">
        <v>63</v>
      </c>
      <c r="AK66" s="184" t="s">
        <v>501</v>
      </c>
      <c r="AL66" s="255" t="s">
        <v>65</v>
      </c>
      <c r="AM66" s="182" t="s">
        <v>66</v>
      </c>
      <c r="AN66" s="182" t="s">
        <v>67</v>
      </c>
      <c r="AO66" s="182" t="s">
        <v>215</v>
      </c>
      <c r="AP66" s="182" t="s">
        <v>351</v>
      </c>
    </row>
    <row r="67" spans="1:42" s="185" customFormat="1" hidden="1" x14ac:dyDescent="0.2">
      <c r="A67" s="180">
        <v>2022</v>
      </c>
      <c r="B67" s="180" t="s">
        <v>443</v>
      </c>
      <c r="C67" s="180" t="s">
        <v>44</v>
      </c>
      <c r="D67" s="180" t="s">
        <v>502</v>
      </c>
      <c r="E67" s="180" t="s">
        <v>503</v>
      </c>
      <c r="F67" s="180" t="s">
        <v>47</v>
      </c>
      <c r="G67" s="180" t="s">
        <v>504</v>
      </c>
      <c r="H67" s="181">
        <v>44690</v>
      </c>
      <c r="I67" s="180">
        <f t="shared" si="2"/>
        <v>0</v>
      </c>
      <c r="J67" s="181">
        <v>44695</v>
      </c>
      <c r="K67" s="180" t="str">
        <f t="shared" si="3"/>
        <v>NUEVO</v>
      </c>
      <c r="L67" s="180"/>
      <c r="M67" s="180"/>
      <c r="N67" s="180"/>
      <c r="O67" s="180">
        <v>0</v>
      </c>
      <c r="P67" s="180" t="s">
        <v>49</v>
      </c>
      <c r="Q67" s="180"/>
      <c r="R67" s="182"/>
      <c r="S67" s="180" t="s">
        <v>219</v>
      </c>
      <c r="T67" s="180" t="s">
        <v>505</v>
      </c>
      <c r="U67" s="180" t="s">
        <v>52</v>
      </c>
      <c r="V67" s="180" t="s">
        <v>506</v>
      </c>
      <c r="W67" s="180" t="s">
        <v>54</v>
      </c>
      <c r="X67" s="180" t="s">
        <v>78</v>
      </c>
      <c r="Y67" s="183">
        <v>0.22916666666666666</v>
      </c>
      <c r="Z67" s="180" t="s">
        <v>154</v>
      </c>
      <c r="AA67" s="180" t="s">
        <v>467</v>
      </c>
      <c r="AB67" s="182"/>
      <c r="AC67" s="212"/>
      <c r="AD67" s="180" t="s">
        <v>221</v>
      </c>
      <c r="AE67" s="180" t="s">
        <v>314</v>
      </c>
      <c r="AF67" s="180">
        <v>29</v>
      </c>
      <c r="AG67" s="180" t="s">
        <v>83</v>
      </c>
      <c r="AH67" s="180" t="s">
        <v>207</v>
      </c>
      <c r="AI67" s="180" t="s">
        <v>408</v>
      </c>
      <c r="AJ67" s="180" t="s">
        <v>85</v>
      </c>
      <c r="AK67" s="184" t="s">
        <v>507</v>
      </c>
      <c r="AL67" s="182" t="s">
        <v>65</v>
      </c>
      <c r="AM67" s="182" t="s">
        <v>66</v>
      </c>
      <c r="AN67" s="182" t="s">
        <v>67</v>
      </c>
      <c r="AO67" s="182" t="s">
        <v>215</v>
      </c>
      <c r="AP67" s="182" t="s">
        <v>351</v>
      </c>
    </row>
    <row r="68" spans="1:42" s="185" customFormat="1" hidden="1" x14ac:dyDescent="0.2">
      <c r="A68" s="180">
        <v>2022</v>
      </c>
      <c r="B68" s="180" t="s">
        <v>443</v>
      </c>
      <c r="C68" s="180" t="s">
        <v>44</v>
      </c>
      <c r="D68" s="180" t="s">
        <v>327</v>
      </c>
      <c r="E68" s="180" t="s">
        <v>262</v>
      </c>
      <c r="F68" s="180" t="s">
        <v>73</v>
      </c>
      <c r="G68" s="180" t="s">
        <v>328</v>
      </c>
      <c r="H68" s="181">
        <v>44236</v>
      </c>
      <c r="I68" s="180">
        <f t="shared" si="2"/>
        <v>15</v>
      </c>
      <c r="J68" s="181">
        <v>44697</v>
      </c>
      <c r="K68" s="180" t="str">
        <f t="shared" si="3"/>
        <v>NUEVO</v>
      </c>
      <c r="L68" s="180"/>
      <c r="M68" s="180"/>
      <c r="N68" s="180"/>
      <c r="O68" s="180">
        <v>0</v>
      </c>
      <c r="P68" s="180" t="s">
        <v>49</v>
      </c>
      <c r="Q68" s="180"/>
      <c r="R68" s="182"/>
      <c r="S68" s="180" t="s">
        <v>50</v>
      </c>
      <c r="T68" s="180" t="s">
        <v>51</v>
      </c>
      <c r="U68" s="180" t="s">
        <v>52</v>
      </c>
      <c r="V68" s="180" t="s">
        <v>53</v>
      </c>
      <c r="W68" s="180" t="s">
        <v>54</v>
      </c>
      <c r="X68" s="180" t="s">
        <v>55</v>
      </c>
      <c r="Y68" s="183">
        <v>0.69097222222222221</v>
      </c>
      <c r="Z68" s="180" t="s">
        <v>79</v>
      </c>
      <c r="AA68" s="180" t="s">
        <v>508</v>
      </c>
      <c r="AB68" s="182"/>
      <c r="AC68" s="212"/>
      <c r="AD68" s="180" t="s">
        <v>58</v>
      </c>
      <c r="AE68" s="180" t="s">
        <v>136</v>
      </c>
      <c r="AF68" s="180">
        <v>21</v>
      </c>
      <c r="AG68" s="180" t="s">
        <v>254</v>
      </c>
      <c r="AH68" s="180" t="s">
        <v>113</v>
      </c>
      <c r="AI68" s="180" t="s">
        <v>62</v>
      </c>
      <c r="AJ68" s="180" t="s">
        <v>115</v>
      </c>
      <c r="AK68" s="184" t="s">
        <v>509</v>
      </c>
      <c r="AL68" s="182" t="s">
        <v>65</v>
      </c>
      <c r="AM68" s="182" t="s">
        <v>66</v>
      </c>
      <c r="AN68" s="182" t="s">
        <v>67</v>
      </c>
      <c r="AO68" s="182" t="s">
        <v>215</v>
      </c>
      <c r="AP68" s="182" t="s">
        <v>89</v>
      </c>
    </row>
    <row r="69" spans="1:42" s="185" customFormat="1" hidden="1" x14ac:dyDescent="0.2">
      <c r="A69" s="180">
        <v>2022</v>
      </c>
      <c r="B69" s="180" t="s">
        <v>443</v>
      </c>
      <c r="C69" s="180" t="s">
        <v>44</v>
      </c>
      <c r="D69" s="180" t="s">
        <v>510</v>
      </c>
      <c r="E69" s="180" t="s">
        <v>511</v>
      </c>
      <c r="F69" s="180" t="s">
        <v>73</v>
      </c>
      <c r="G69" s="180" t="s">
        <v>512</v>
      </c>
      <c r="H69" s="181">
        <v>43521</v>
      </c>
      <c r="I69" s="180">
        <f t="shared" si="2"/>
        <v>38</v>
      </c>
      <c r="J69" s="181">
        <v>44701</v>
      </c>
      <c r="K69" s="180" t="str">
        <f t="shared" si="3"/>
        <v>ANTIGUO</v>
      </c>
      <c r="L69" s="180"/>
      <c r="M69" s="180"/>
      <c r="N69" s="180"/>
      <c r="O69" s="180">
        <v>0</v>
      </c>
      <c r="P69" s="180" t="s">
        <v>49</v>
      </c>
      <c r="Q69" s="180"/>
      <c r="R69" s="182"/>
      <c r="S69" s="180" t="s">
        <v>50</v>
      </c>
      <c r="T69" s="180" t="s">
        <v>135</v>
      </c>
      <c r="U69" s="180" t="s">
        <v>52</v>
      </c>
      <c r="V69" s="180" t="s">
        <v>513</v>
      </c>
      <c r="W69" s="180" t="s">
        <v>54</v>
      </c>
      <c r="X69" s="180" t="s">
        <v>78</v>
      </c>
      <c r="Y69" s="183">
        <v>0.49305555555555558</v>
      </c>
      <c r="Z69" s="180" t="s">
        <v>183</v>
      </c>
      <c r="AA69" s="180" t="s">
        <v>508</v>
      </c>
      <c r="AB69" s="182"/>
      <c r="AC69" s="212"/>
      <c r="AD69" s="180" t="s">
        <v>58</v>
      </c>
      <c r="AE69" s="180" t="s">
        <v>212</v>
      </c>
      <c r="AF69" s="180">
        <v>31</v>
      </c>
      <c r="AG69" s="180" t="s">
        <v>83</v>
      </c>
      <c r="AH69" s="180" t="s">
        <v>514</v>
      </c>
      <c r="AI69" s="180" t="s">
        <v>62</v>
      </c>
      <c r="AJ69" s="180" t="s">
        <v>85</v>
      </c>
      <c r="AK69" s="184" t="s">
        <v>515</v>
      </c>
      <c r="AL69" s="250" t="s">
        <v>65</v>
      </c>
      <c r="AM69" s="182" t="s">
        <v>66</v>
      </c>
      <c r="AN69" s="182" t="s">
        <v>67</v>
      </c>
      <c r="AO69" s="182" t="s">
        <v>215</v>
      </c>
      <c r="AP69" s="182" t="s">
        <v>89</v>
      </c>
    </row>
    <row r="70" spans="1:42" s="185" customFormat="1" hidden="1" x14ac:dyDescent="0.2">
      <c r="A70" s="241">
        <v>2022</v>
      </c>
      <c r="B70" s="180" t="s">
        <v>443</v>
      </c>
      <c r="C70" s="180" t="s">
        <v>44</v>
      </c>
      <c r="D70" s="241" t="s">
        <v>516</v>
      </c>
      <c r="E70" s="241" t="s">
        <v>517</v>
      </c>
      <c r="F70" s="180" t="s">
        <v>47</v>
      </c>
      <c r="G70" s="180" t="s">
        <v>518</v>
      </c>
      <c r="H70" s="181">
        <v>41036</v>
      </c>
      <c r="I70" s="180">
        <f t="shared" si="2"/>
        <v>120</v>
      </c>
      <c r="J70" s="181">
        <v>44705</v>
      </c>
      <c r="K70" s="180" t="str">
        <f t="shared" si="3"/>
        <v>ANTIGUO</v>
      </c>
      <c r="L70" s="181">
        <v>44706</v>
      </c>
      <c r="M70" s="181">
        <v>44706</v>
      </c>
      <c r="N70" s="180"/>
      <c r="O70" s="180">
        <v>0</v>
      </c>
      <c r="P70" s="180" t="s">
        <v>49</v>
      </c>
      <c r="Q70" s="180"/>
      <c r="R70" s="182"/>
      <c r="S70" s="180" t="s">
        <v>50</v>
      </c>
      <c r="T70" s="180" t="s">
        <v>135</v>
      </c>
      <c r="U70" s="180" t="s">
        <v>52</v>
      </c>
      <c r="V70" s="180" t="s">
        <v>519</v>
      </c>
      <c r="W70" s="180" t="s">
        <v>54</v>
      </c>
      <c r="X70" s="180" t="s">
        <v>78</v>
      </c>
      <c r="Y70" s="183">
        <v>0.54513888888888895</v>
      </c>
      <c r="Z70" s="180" t="s">
        <v>96</v>
      </c>
      <c r="AA70" s="180" t="s">
        <v>520</v>
      </c>
      <c r="AB70" s="182"/>
      <c r="AC70" s="213" t="s">
        <v>521</v>
      </c>
      <c r="AD70" s="180" t="s">
        <v>58</v>
      </c>
      <c r="AE70" s="180" t="s">
        <v>522</v>
      </c>
      <c r="AF70" s="180">
        <v>36</v>
      </c>
      <c r="AG70" s="180" t="s">
        <v>128</v>
      </c>
      <c r="AH70" s="180" t="s">
        <v>61</v>
      </c>
      <c r="AI70" s="180" t="s">
        <v>62</v>
      </c>
      <c r="AJ70" s="180" t="s">
        <v>63</v>
      </c>
      <c r="AK70" s="251" t="s">
        <v>523</v>
      </c>
      <c r="AL70" s="180" t="s">
        <v>65</v>
      </c>
      <c r="AM70" s="252" t="s">
        <v>66</v>
      </c>
      <c r="AN70" s="182" t="s">
        <v>66</v>
      </c>
      <c r="AO70" s="182" t="s">
        <v>68</v>
      </c>
      <c r="AP70" s="182" t="s">
        <v>89</v>
      </c>
    </row>
    <row r="71" spans="1:42" hidden="1" x14ac:dyDescent="0.2">
      <c r="A71" s="187">
        <v>2022</v>
      </c>
      <c r="B71" s="187" t="s">
        <v>443</v>
      </c>
      <c r="C71" s="187" t="s">
        <v>44</v>
      </c>
      <c r="D71" s="187" t="s">
        <v>331</v>
      </c>
      <c r="E71" s="187" t="s">
        <v>524</v>
      </c>
      <c r="F71" s="187" t="s">
        <v>47</v>
      </c>
      <c r="G71" s="187" t="s">
        <v>525</v>
      </c>
      <c r="H71" s="239">
        <v>43843</v>
      </c>
      <c r="I71" s="187">
        <f t="shared" ref="I71:I102" si="4">DATEDIF(H71,J71,"m")</f>
        <v>28</v>
      </c>
      <c r="J71" s="239">
        <v>44707</v>
      </c>
      <c r="K71" s="187" t="str">
        <f t="shared" ref="K71:K102" si="5">IF(I71&lt;=18,"NUEVO",IF(I71&lt;=36,"INTERMEDIO","ANTIGUO"))</f>
        <v>INTERMEDIO</v>
      </c>
      <c r="L71" s="187"/>
      <c r="M71" s="187"/>
      <c r="N71" s="187"/>
      <c r="O71" s="187">
        <v>0</v>
      </c>
      <c r="P71" s="187" t="s">
        <v>49</v>
      </c>
      <c r="Q71" s="187" t="s">
        <v>107</v>
      </c>
      <c r="R71" s="182" t="s">
        <v>162</v>
      </c>
      <c r="S71" s="187" t="s">
        <v>75</v>
      </c>
      <c r="T71" s="187" t="s">
        <v>75</v>
      </c>
      <c r="U71" s="187" t="s">
        <v>52</v>
      </c>
      <c r="V71" s="187" t="s">
        <v>526</v>
      </c>
      <c r="W71" s="187" t="s">
        <v>204</v>
      </c>
      <c r="X71" s="187" t="s">
        <v>110</v>
      </c>
      <c r="Y71" s="240">
        <v>5.5555555555555552E-2</v>
      </c>
      <c r="Z71" s="187" t="s">
        <v>164</v>
      </c>
      <c r="AA71" s="187" t="s">
        <v>520</v>
      </c>
      <c r="AB71" s="188"/>
      <c r="AC71" s="215"/>
      <c r="AD71" s="187" t="s">
        <v>82</v>
      </c>
      <c r="AE71" s="180" t="s">
        <v>235</v>
      </c>
      <c r="AF71" s="187">
        <v>34</v>
      </c>
      <c r="AG71" s="187" t="s">
        <v>128</v>
      </c>
      <c r="AH71" s="187" t="s">
        <v>338</v>
      </c>
      <c r="AI71" s="187" t="s">
        <v>527</v>
      </c>
      <c r="AJ71" s="187" t="s">
        <v>177</v>
      </c>
      <c r="AK71" s="189" t="s">
        <v>528</v>
      </c>
      <c r="AL71" s="296" t="s">
        <v>65</v>
      </c>
      <c r="AM71" s="188" t="s">
        <v>66</v>
      </c>
      <c r="AN71" s="188" t="s">
        <v>67</v>
      </c>
      <c r="AO71" s="188" t="s">
        <v>215</v>
      </c>
      <c r="AP71" s="188" t="s">
        <v>69</v>
      </c>
    </row>
    <row r="72" spans="1:42" s="185" customFormat="1" hidden="1" x14ac:dyDescent="0.2">
      <c r="A72" s="241">
        <v>2022</v>
      </c>
      <c r="B72" s="180" t="s">
        <v>443</v>
      </c>
      <c r="C72" s="180" t="s">
        <v>44</v>
      </c>
      <c r="D72" s="180" t="s">
        <v>529</v>
      </c>
      <c r="E72" s="187" t="s">
        <v>196</v>
      </c>
      <c r="F72" s="180" t="s">
        <v>73</v>
      </c>
      <c r="G72" s="180" t="s">
        <v>530</v>
      </c>
      <c r="H72" s="181">
        <v>43528</v>
      </c>
      <c r="I72" s="180">
        <f t="shared" si="4"/>
        <v>38</v>
      </c>
      <c r="J72" s="181">
        <v>44711</v>
      </c>
      <c r="K72" s="180" t="str">
        <f t="shared" si="5"/>
        <v>ANTIGUO</v>
      </c>
      <c r="L72" s="181">
        <v>44712</v>
      </c>
      <c r="M72" s="181">
        <v>44715</v>
      </c>
      <c r="N72" s="180"/>
      <c r="O72" s="180">
        <v>4</v>
      </c>
      <c r="P72" s="180" t="s">
        <v>141</v>
      </c>
      <c r="Q72" s="180"/>
      <c r="R72" s="182"/>
      <c r="S72" s="180" t="s">
        <v>531</v>
      </c>
      <c r="T72" s="180" t="s">
        <v>532</v>
      </c>
      <c r="U72" s="180" t="s">
        <v>52</v>
      </c>
      <c r="V72" s="180" t="s">
        <v>533</v>
      </c>
      <c r="W72" s="180" t="s">
        <v>54</v>
      </c>
      <c r="X72" s="180" t="s">
        <v>55</v>
      </c>
      <c r="Y72" s="183">
        <v>0.97916666666666663</v>
      </c>
      <c r="Z72" s="180" t="s">
        <v>79</v>
      </c>
      <c r="AA72" s="180" t="s">
        <v>534</v>
      </c>
      <c r="AB72" s="182"/>
      <c r="AC72" s="213" t="s">
        <v>535</v>
      </c>
      <c r="AD72" s="180" t="s">
        <v>536</v>
      </c>
      <c r="AE72" s="180" t="s">
        <v>537</v>
      </c>
      <c r="AF72" s="180">
        <v>22</v>
      </c>
      <c r="AG72" s="180" t="s">
        <v>83</v>
      </c>
      <c r="AH72" s="180" t="s">
        <v>61</v>
      </c>
      <c r="AI72" s="180" t="s">
        <v>408</v>
      </c>
      <c r="AJ72" s="180" t="s">
        <v>148</v>
      </c>
      <c r="AK72" s="251" t="s">
        <v>538</v>
      </c>
      <c r="AL72" s="180" t="s">
        <v>65</v>
      </c>
      <c r="AM72" s="252" t="s">
        <v>66</v>
      </c>
      <c r="AN72" s="182" t="s">
        <v>66</v>
      </c>
      <c r="AO72" s="182" t="s">
        <v>68</v>
      </c>
      <c r="AP72" s="182" t="s">
        <v>284</v>
      </c>
    </row>
    <row r="73" spans="1:42" s="185" customFormat="1" hidden="1" x14ac:dyDescent="0.2">
      <c r="A73" s="241">
        <v>2022</v>
      </c>
      <c r="B73" s="180" t="s">
        <v>43</v>
      </c>
      <c r="C73" s="180" t="s">
        <v>44</v>
      </c>
      <c r="D73" s="241" t="s">
        <v>539</v>
      </c>
      <c r="E73" s="241" t="s">
        <v>540</v>
      </c>
      <c r="F73" s="180" t="s">
        <v>73</v>
      </c>
      <c r="G73" s="180" t="s">
        <v>541</v>
      </c>
      <c r="H73" s="181">
        <v>39647</v>
      </c>
      <c r="I73" s="180">
        <f t="shared" si="4"/>
        <v>166</v>
      </c>
      <c r="J73" s="181">
        <v>44713</v>
      </c>
      <c r="K73" s="180" t="str">
        <f t="shared" si="5"/>
        <v>ANTIGUO</v>
      </c>
      <c r="L73" s="181">
        <v>44713</v>
      </c>
      <c r="M73" s="181">
        <v>44722</v>
      </c>
      <c r="N73" s="180"/>
      <c r="O73" s="180">
        <v>10</v>
      </c>
      <c r="P73" s="180" t="s">
        <v>141</v>
      </c>
      <c r="Q73" s="180"/>
      <c r="R73" s="182"/>
      <c r="S73" s="180" t="s">
        <v>50</v>
      </c>
      <c r="T73" s="180" t="s">
        <v>51</v>
      </c>
      <c r="U73" s="180" t="s">
        <v>52</v>
      </c>
      <c r="V73" s="180" t="s">
        <v>542</v>
      </c>
      <c r="W73" s="180" t="s">
        <v>54</v>
      </c>
      <c r="X73" s="180" t="s">
        <v>78</v>
      </c>
      <c r="Y73" s="183">
        <v>0.29166666666666669</v>
      </c>
      <c r="Z73" s="180" t="s">
        <v>56</v>
      </c>
      <c r="AA73" s="180" t="s">
        <v>534</v>
      </c>
      <c r="AB73" s="182"/>
      <c r="AC73" s="213" t="s">
        <v>543</v>
      </c>
      <c r="AD73" s="180" t="s">
        <v>58</v>
      </c>
      <c r="AE73" s="180" t="s">
        <v>59</v>
      </c>
      <c r="AF73" s="180">
        <v>33</v>
      </c>
      <c r="AG73" s="180" t="s">
        <v>83</v>
      </c>
      <c r="AH73" s="180" t="s">
        <v>186</v>
      </c>
      <c r="AI73" s="180" t="s">
        <v>62</v>
      </c>
      <c r="AJ73" s="180" t="s">
        <v>85</v>
      </c>
      <c r="AK73" s="251" t="s">
        <v>544</v>
      </c>
      <c r="AL73" s="180" t="s">
        <v>65</v>
      </c>
      <c r="AM73" s="252" t="s">
        <v>66</v>
      </c>
      <c r="AN73" s="182" t="s">
        <v>66</v>
      </c>
      <c r="AO73" s="182" t="s">
        <v>68</v>
      </c>
      <c r="AP73" s="182" t="s">
        <v>89</v>
      </c>
    </row>
    <row r="74" spans="1:42" s="185" customFormat="1" hidden="1" x14ac:dyDescent="0.2">
      <c r="A74" s="241">
        <v>2022</v>
      </c>
      <c r="B74" s="180" t="s">
        <v>43</v>
      </c>
      <c r="C74" s="180" t="s">
        <v>44</v>
      </c>
      <c r="D74" s="241" t="s">
        <v>545</v>
      </c>
      <c r="E74" s="241" t="s">
        <v>546</v>
      </c>
      <c r="F74" s="180" t="s">
        <v>73</v>
      </c>
      <c r="G74" s="180" t="s">
        <v>547</v>
      </c>
      <c r="H74" s="181">
        <v>43971</v>
      </c>
      <c r="I74" s="180">
        <f t="shared" si="4"/>
        <v>24</v>
      </c>
      <c r="J74" s="181">
        <v>44718</v>
      </c>
      <c r="K74" s="180" t="str">
        <f t="shared" si="5"/>
        <v>INTERMEDIO</v>
      </c>
      <c r="L74" s="181">
        <v>44718</v>
      </c>
      <c r="M74" s="181">
        <v>44718</v>
      </c>
      <c r="N74" s="180"/>
      <c r="O74" s="180">
        <v>0</v>
      </c>
      <c r="P74" s="180" t="s">
        <v>49</v>
      </c>
      <c r="Q74" s="180" t="s">
        <v>107</v>
      </c>
      <c r="R74" s="182" t="s">
        <v>548</v>
      </c>
      <c r="S74" s="180" t="s">
        <v>93</v>
      </c>
      <c r="T74" s="180" t="s">
        <v>549</v>
      </c>
      <c r="U74" s="180" t="s">
        <v>52</v>
      </c>
      <c r="V74" s="180" t="s">
        <v>550</v>
      </c>
      <c r="W74" s="180" t="s">
        <v>551</v>
      </c>
      <c r="X74" s="180" t="s">
        <v>78</v>
      </c>
      <c r="Y74" s="183">
        <v>0.27777777777777779</v>
      </c>
      <c r="Z74" s="180" t="s">
        <v>79</v>
      </c>
      <c r="AA74" s="180" t="s">
        <v>552</v>
      </c>
      <c r="AB74" s="182"/>
      <c r="AC74" s="213" t="s">
        <v>553</v>
      </c>
      <c r="AD74" s="180" t="s">
        <v>97</v>
      </c>
      <c r="AE74" s="180" t="s">
        <v>98</v>
      </c>
      <c r="AF74" s="180">
        <v>39</v>
      </c>
      <c r="AG74" s="180" t="s">
        <v>128</v>
      </c>
      <c r="AH74" s="180" t="s">
        <v>61</v>
      </c>
      <c r="AI74" s="180" t="s">
        <v>100</v>
      </c>
      <c r="AJ74" s="180" t="s">
        <v>130</v>
      </c>
      <c r="AK74" s="251" t="s">
        <v>554</v>
      </c>
      <c r="AL74" s="180" t="s">
        <v>65</v>
      </c>
      <c r="AM74" s="252" t="s">
        <v>66</v>
      </c>
      <c r="AN74" s="182" t="s">
        <v>66</v>
      </c>
      <c r="AO74" s="182" t="s">
        <v>68</v>
      </c>
      <c r="AP74" s="182" t="s">
        <v>69</v>
      </c>
    </row>
    <row r="75" spans="1:42" s="185" customFormat="1" hidden="1" x14ac:dyDescent="0.2">
      <c r="A75" s="180">
        <v>2022</v>
      </c>
      <c r="B75" s="180" t="s">
        <v>43</v>
      </c>
      <c r="C75" s="180" t="s">
        <v>44</v>
      </c>
      <c r="D75" s="180" t="s">
        <v>555</v>
      </c>
      <c r="E75" s="180" t="s">
        <v>556</v>
      </c>
      <c r="F75" s="180" t="s">
        <v>47</v>
      </c>
      <c r="G75" s="180" t="s">
        <v>557</v>
      </c>
      <c r="H75" s="181">
        <v>43479</v>
      </c>
      <c r="I75" s="180">
        <f t="shared" si="4"/>
        <v>40</v>
      </c>
      <c r="J75" s="181">
        <v>44720</v>
      </c>
      <c r="K75" s="180" t="str">
        <f t="shared" si="5"/>
        <v>ANTIGUO</v>
      </c>
      <c r="L75" s="180"/>
      <c r="M75" s="180"/>
      <c r="N75" s="180"/>
      <c r="O75" s="180">
        <v>0</v>
      </c>
      <c r="P75" s="180" t="s">
        <v>49</v>
      </c>
      <c r="Q75" s="180" t="s">
        <v>107</v>
      </c>
      <c r="R75" s="182" t="s">
        <v>558</v>
      </c>
      <c r="S75" s="180" t="s">
        <v>75</v>
      </c>
      <c r="T75" s="180" t="s">
        <v>76</v>
      </c>
      <c r="U75" s="180" t="s">
        <v>52</v>
      </c>
      <c r="V75" s="180" t="s">
        <v>559</v>
      </c>
      <c r="W75" s="180" t="s">
        <v>54</v>
      </c>
      <c r="X75" s="180" t="s">
        <v>110</v>
      </c>
      <c r="Y75" s="183">
        <v>6.25E-2</v>
      </c>
      <c r="Z75" s="180" t="s">
        <v>56</v>
      </c>
      <c r="AA75" s="180" t="s">
        <v>552</v>
      </c>
      <c r="AB75" s="182"/>
      <c r="AC75" s="212"/>
      <c r="AD75" s="180" t="s">
        <v>215</v>
      </c>
      <c r="AE75" s="180" t="s">
        <v>235</v>
      </c>
      <c r="AF75" s="180">
        <v>32</v>
      </c>
      <c r="AG75" s="180" t="s">
        <v>112</v>
      </c>
      <c r="AH75" s="180" t="s">
        <v>454</v>
      </c>
      <c r="AI75" s="180" t="s">
        <v>237</v>
      </c>
      <c r="AJ75" s="180" t="s">
        <v>560</v>
      </c>
      <c r="AK75" s="184" t="s">
        <v>561</v>
      </c>
      <c r="AL75" s="255" t="s">
        <v>87</v>
      </c>
      <c r="AM75" s="182" t="s">
        <v>66</v>
      </c>
      <c r="AN75" s="182" t="s">
        <v>67</v>
      </c>
      <c r="AO75" s="182" t="s">
        <v>68</v>
      </c>
      <c r="AP75" s="182" t="s">
        <v>351</v>
      </c>
    </row>
    <row r="76" spans="1:42" s="185" customFormat="1" hidden="1" x14ac:dyDescent="0.2">
      <c r="A76" s="180">
        <v>2022</v>
      </c>
      <c r="B76" s="180" t="s">
        <v>43</v>
      </c>
      <c r="C76" s="180" t="s">
        <v>44</v>
      </c>
      <c r="D76" s="180" t="s">
        <v>562</v>
      </c>
      <c r="E76" s="180" t="s">
        <v>563</v>
      </c>
      <c r="F76" s="180" t="s">
        <v>47</v>
      </c>
      <c r="G76" s="180" t="s">
        <v>564</v>
      </c>
      <c r="H76" s="181">
        <v>42709</v>
      </c>
      <c r="I76" s="180">
        <f t="shared" si="4"/>
        <v>66</v>
      </c>
      <c r="J76" s="181">
        <v>44720</v>
      </c>
      <c r="K76" s="180" t="str">
        <f t="shared" si="5"/>
        <v>ANTIGUO</v>
      </c>
      <c r="L76" s="180"/>
      <c r="M76" s="180"/>
      <c r="N76" s="180"/>
      <c r="O76" s="180">
        <v>0</v>
      </c>
      <c r="P76" s="180" t="s">
        <v>49</v>
      </c>
      <c r="Q76" s="180" t="s">
        <v>107</v>
      </c>
      <c r="R76" s="182" t="s">
        <v>558</v>
      </c>
      <c r="S76" s="180" t="s">
        <v>75</v>
      </c>
      <c r="T76" s="180" t="s">
        <v>76</v>
      </c>
      <c r="U76" s="180" t="s">
        <v>52</v>
      </c>
      <c r="V76" s="180" t="s">
        <v>244</v>
      </c>
      <c r="W76" s="180" t="s">
        <v>54</v>
      </c>
      <c r="X76" s="180" t="s">
        <v>110</v>
      </c>
      <c r="Y76" s="183">
        <v>6.25E-2</v>
      </c>
      <c r="Z76" s="180" t="s">
        <v>56</v>
      </c>
      <c r="AA76" s="180" t="s">
        <v>552</v>
      </c>
      <c r="AB76" s="182"/>
      <c r="AC76" s="212"/>
      <c r="AD76" s="180" t="s">
        <v>215</v>
      </c>
      <c r="AE76" s="180" t="s">
        <v>235</v>
      </c>
      <c r="AF76" s="180">
        <v>37</v>
      </c>
      <c r="AG76" s="180" t="s">
        <v>112</v>
      </c>
      <c r="AH76" s="180" t="s">
        <v>454</v>
      </c>
      <c r="AI76" s="180" t="s">
        <v>237</v>
      </c>
      <c r="AJ76" s="180" t="s">
        <v>560</v>
      </c>
      <c r="AK76" s="184" t="s">
        <v>565</v>
      </c>
      <c r="AL76" s="182" t="s">
        <v>87</v>
      </c>
      <c r="AM76" s="182" t="s">
        <v>66</v>
      </c>
      <c r="AN76" s="182" t="s">
        <v>67</v>
      </c>
      <c r="AO76" s="182" t="s">
        <v>68</v>
      </c>
      <c r="AP76" s="182" t="s">
        <v>351</v>
      </c>
    </row>
    <row r="77" spans="1:42" s="185" customFormat="1" hidden="1" x14ac:dyDescent="0.2">
      <c r="A77" s="180">
        <v>2022</v>
      </c>
      <c r="B77" s="180" t="s">
        <v>43</v>
      </c>
      <c r="C77" s="180" t="s">
        <v>44</v>
      </c>
      <c r="D77" s="180" t="s">
        <v>566</v>
      </c>
      <c r="E77" s="180" t="s">
        <v>567</v>
      </c>
      <c r="F77" s="180" t="s">
        <v>47</v>
      </c>
      <c r="G77" s="180" t="s">
        <v>568</v>
      </c>
      <c r="H77" s="181">
        <v>33799</v>
      </c>
      <c r="I77" s="180">
        <f t="shared" si="4"/>
        <v>358</v>
      </c>
      <c r="J77" s="181">
        <v>44721</v>
      </c>
      <c r="K77" s="180" t="str">
        <f t="shared" si="5"/>
        <v>ANTIGUO</v>
      </c>
      <c r="L77" s="180"/>
      <c r="M77" s="180"/>
      <c r="N77" s="180"/>
      <c r="O77" s="180">
        <v>0</v>
      </c>
      <c r="P77" s="180" t="s">
        <v>49</v>
      </c>
      <c r="Q77" s="180"/>
      <c r="R77" s="182"/>
      <c r="S77" s="180" t="s">
        <v>121</v>
      </c>
      <c r="T77" s="180" t="s">
        <v>122</v>
      </c>
      <c r="U77" s="180" t="s">
        <v>52</v>
      </c>
      <c r="V77" s="180" t="s">
        <v>121</v>
      </c>
      <c r="W77" s="180" t="s">
        <v>54</v>
      </c>
      <c r="X77" s="180" t="s">
        <v>78</v>
      </c>
      <c r="Y77" s="183">
        <v>0.34722222222222227</v>
      </c>
      <c r="Z77" s="180" t="s">
        <v>164</v>
      </c>
      <c r="AA77" s="180" t="s">
        <v>552</v>
      </c>
      <c r="AB77" s="182"/>
      <c r="AC77" s="212"/>
      <c r="AD77" s="180" t="s">
        <v>126</v>
      </c>
      <c r="AE77" s="180" t="s">
        <v>569</v>
      </c>
      <c r="AF77" s="180">
        <v>52</v>
      </c>
      <c r="AG77" s="180" t="s">
        <v>254</v>
      </c>
      <c r="AH77" s="180" t="s">
        <v>113</v>
      </c>
      <c r="AI77" s="180" t="s">
        <v>237</v>
      </c>
      <c r="AJ77" s="180" t="s">
        <v>115</v>
      </c>
      <c r="AK77" s="184" t="s">
        <v>570</v>
      </c>
      <c r="AL77" s="182" t="s">
        <v>65</v>
      </c>
      <c r="AM77" s="182" t="s">
        <v>66</v>
      </c>
      <c r="AN77" s="182" t="s">
        <v>67</v>
      </c>
      <c r="AO77" s="182" t="s">
        <v>68</v>
      </c>
      <c r="AP77" s="182" t="s">
        <v>89</v>
      </c>
    </row>
    <row r="78" spans="1:42" s="185" customFormat="1" hidden="1" x14ac:dyDescent="0.2">
      <c r="A78" s="180">
        <v>2022</v>
      </c>
      <c r="B78" s="180" t="s">
        <v>43</v>
      </c>
      <c r="C78" s="180" t="s">
        <v>44</v>
      </c>
      <c r="D78" s="180" t="s">
        <v>571</v>
      </c>
      <c r="E78" s="180" t="s">
        <v>572</v>
      </c>
      <c r="F78" s="180" t="s">
        <v>73</v>
      </c>
      <c r="G78" s="180" t="s">
        <v>573</v>
      </c>
      <c r="H78" s="181">
        <v>44636</v>
      </c>
      <c r="I78" s="180">
        <f t="shared" si="4"/>
        <v>2</v>
      </c>
      <c r="J78" s="181">
        <v>44721</v>
      </c>
      <c r="K78" s="180" t="str">
        <f t="shared" si="5"/>
        <v>NUEVO</v>
      </c>
      <c r="L78" s="180"/>
      <c r="M78" s="180"/>
      <c r="N78" s="180"/>
      <c r="O78" s="180">
        <v>0</v>
      </c>
      <c r="P78" s="180" t="s">
        <v>49</v>
      </c>
      <c r="Q78" s="180"/>
      <c r="R78" s="182"/>
      <c r="S78" s="180" t="s">
        <v>93</v>
      </c>
      <c r="T78" s="180" t="s">
        <v>549</v>
      </c>
      <c r="U78" s="180" t="s">
        <v>52</v>
      </c>
      <c r="V78" s="180" t="s">
        <v>574</v>
      </c>
      <c r="W78" s="180" t="s">
        <v>54</v>
      </c>
      <c r="X78" s="180" t="s">
        <v>78</v>
      </c>
      <c r="Y78" s="183">
        <v>0.31597222222222221</v>
      </c>
      <c r="Z78" s="180" t="s">
        <v>164</v>
      </c>
      <c r="AA78" s="180" t="s">
        <v>552</v>
      </c>
      <c r="AB78" s="182"/>
      <c r="AC78" s="212"/>
      <c r="AD78" s="180" t="s">
        <v>97</v>
      </c>
      <c r="AE78" s="180" t="s">
        <v>98</v>
      </c>
      <c r="AF78" s="180">
        <v>50</v>
      </c>
      <c r="AG78" s="180" t="s">
        <v>83</v>
      </c>
      <c r="AH78" s="180" t="s">
        <v>84</v>
      </c>
      <c r="AI78" s="180" t="s">
        <v>62</v>
      </c>
      <c r="AJ78" s="180" t="s">
        <v>156</v>
      </c>
      <c r="AK78" s="184" t="s">
        <v>575</v>
      </c>
      <c r="AL78" s="182" t="s">
        <v>65</v>
      </c>
      <c r="AM78" s="182" t="s">
        <v>66</v>
      </c>
      <c r="AN78" s="182" t="s">
        <v>67</v>
      </c>
      <c r="AO78" s="182" t="s">
        <v>68</v>
      </c>
      <c r="AP78" s="182" t="s">
        <v>89</v>
      </c>
    </row>
    <row r="79" spans="1:42" s="185" customFormat="1" hidden="1" x14ac:dyDescent="0.2">
      <c r="A79" s="180">
        <v>2022</v>
      </c>
      <c r="B79" s="180" t="s">
        <v>43</v>
      </c>
      <c r="C79" s="180" t="s">
        <v>44</v>
      </c>
      <c r="D79" s="180" t="s">
        <v>576</v>
      </c>
      <c r="E79" s="180" t="s">
        <v>577</v>
      </c>
      <c r="F79" s="180" t="s">
        <v>73</v>
      </c>
      <c r="G79" s="180" t="s">
        <v>578</v>
      </c>
      <c r="H79" s="181">
        <v>43467</v>
      </c>
      <c r="I79" s="180">
        <f t="shared" si="4"/>
        <v>41</v>
      </c>
      <c r="J79" s="181">
        <v>44721</v>
      </c>
      <c r="K79" s="180" t="str">
        <f t="shared" si="5"/>
        <v>ANTIGUO</v>
      </c>
      <c r="L79" s="180"/>
      <c r="M79" s="180"/>
      <c r="N79" s="180"/>
      <c r="O79" s="180">
        <v>0</v>
      </c>
      <c r="P79" s="180" t="s">
        <v>49</v>
      </c>
      <c r="Q79" s="180"/>
      <c r="R79" s="182"/>
      <c r="S79" s="180" t="s">
        <v>142</v>
      </c>
      <c r="T79" s="180" t="s">
        <v>143</v>
      </c>
      <c r="U79" s="180" t="s">
        <v>31</v>
      </c>
      <c r="V79" s="180" t="s">
        <v>143</v>
      </c>
      <c r="W79" s="180" t="s">
        <v>54</v>
      </c>
      <c r="X79" s="180" t="s">
        <v>55</v>
      </c>
      <c r="Y79" s="183">
        <v>0.52083333333333337</v>
      </c>
      <c r="Z79" s="180" t="s">
        <v>164</v>
      </c>
      <c r="AA79" s="180" t="s">
        <v>552</v>
      </c>
      <c r="AB79" s="182"/>
      <c r="AC79" s="212"/>
      <c r="AD79" s="180" t="s">
        <v>126</v>
      </c>
      <c r="AE79" s="180" t="s">
        <v>449</v>
      </c>
      <c r="AF79" s="180">
        <v>41</v>
      </c>
      <c r="AG79" s="180" t="s">
        <v>60</v>
      </c>
      <c r="AH79" s="180" t="s">
        <v>61</v>
      </c>
      <c r="AI79" s="180" t="s">
        <v>62</v>
      </c>
      <c r="AJ79" s="180" t="s">
        <v>148</v>
      </c>
      <c r="AK79" s="184" t="s">
        <v>579</v>
      </c>
      <c r="AL79" s="182" t="s">
        <v>65</v>
      </c>
      <c r="AM79" s="182" t="s">
        <v>66</v>
      </c>
      <c r="AN79" s="182" t="s">
        <v>67</v>
      </c>
      <c r="AO79" s="182" t="s">
        <v>68</v>
      </c>
      <c r="AP79" s="182" t="s">
        <v>89</v>
      </c>
    </row>
    <row r="80" spans="1:42" s="185" customFormat="1" hidden="1" x14ac:dyDescent="0.2">
      <c r="A80" s="180">
        <v>2022</v>
      </c>
      <c r="B80" s="180" t="s">
        <v>43</v>
      </c>
      <c r="C80" s="180" t="s">
        <v>44</v>
      </c>
      <c r="D80" s="180" t="s">
        <v>240</v>
      </c>
      <c r="E80" s="180" t="s">
        <v>580</v>
      </c>
      <c r="F80" s="180" t="s">
        <v>73</v>
      </c>
      <c r="G80" s="180" t="s">
        <v>581</v>
      </c>
      <c r="H80" s="181">
        <v>43318</v>
      </c>
      <c r="I80" s="180">
        <f t="shared" si="4"/>
        <v>46</v>
      </c>
      <c r="J80" s="181">
        <v>44726</v>
      </c>
      <c r="K80" s="180" t="str">
        <f t="shared" si="5"/>
        <v>ANTIGUO</v>
      </c>
      <c r="L80" s="180"/>
      <c r="M80" s="180"/>
      <c r="N80" s="180"/>
      <c r="O80" s="180">
        <v>0</v>
      </c>
      <c r="P80" s="180" t="s">
        <v>49</v>
      </c>
      <c r="Q80" s="180" t="s">
        <v>107</v>
      </c>
      <c r="R80" s="188" t="s">
        <v>582</v>
      </c>
      <c r="S80" s="180" t="s">
        <v>75</v>
      </c>
      <c r="T80" s="180" t="s">
        <v>76</v>
      </c>
      <c r="U80" s="180" t="s">
        <v>52</v>
      </c>
      <c r="V80" s="180" t="s">
        <v>583</v>
      </c>
      <c r="W80" s="180" t="s">
        <v>584</v>
      </c>
      <c r="X80" s="180" t="s">
        <v>110</v>
      </c>
      <c r="Y80" s="183">
        <v>2.4305555555555556E-2</v>
      </c>
      <c r="Z80" s="180" t="s">
        <v>96</v>
      </c>
      <c r="AA80" s="180" t="s">
        <v>585</v>
      </c>
      <c r="AB80" s="182"/>
      <c r="AC80" s="212"/>
      <c r="AD80" s="180" t="s">
        <v>215</v>
      </c>
      <c r="AE80" s="180" t="s">
        <v>235</v>
      </c>
      <c r="AF80" s="180">
        <v>24</v>
      </c>
      <c r="AG80" s="180" t="s">
        <v>175</v>
      </c>
      <c r="AH80" s="180" t="s">
        <v>61</v>
      </c>
      <c r="AI80" s="180" t="s">
        <v>527</v>
      </c>
      <c r="AJ80" s="180" t="s">
        <v>177</v>
      </c>
      <c r="AK80" s="184" t="s">
        <v>586</v>
      </c>
      <c r="AL80" s="250" t="s">
        <v>65</v>
      </c>
      <c r="AM80" s="182" t="s">
        <v>66</v>
      </c>
      <c r="AN80" s="182" t="s">
        <v>67</v>
      </c>
      <c r="AO80" s="182" t="s">
        <v>68</v>
      </c>
      <c r="AP80" s="182" t="s">
        <v>89</v>
      </c>
    </row>
    <row r="81" spans="1:42" s="185" customFormat="1" hidden="1" x14ac:dyDescent="0.2">
      <c r="A81" s="241">
        <v>2022</v>
      </c>
      <c r="B81" s="180" t="s">
        <v>43</v>
      </c>
      <c r="C81" s="180" t="s">
        <v>44</v>
      </c>
      <c r="D81" s="241" t="s">
        <v>587</v>
      </c>
      <c r="E81" s="241" t="s">
        <v>588</v>
      </c>
      <c r="F81" s="180" t="s">
        <v>47</v>
      </c>
      <c r="G81" s="180" t="s">
        <v>589</v>
      </c>
      <c r="H81" s="181">
        <v>44599</v>
      </c>
      <c r="I81" s="180">
        <f t="shared" si="4"/>
        <v>4</v>
      </c>
      <c r="J81" s="181">
        <v>44728</v>
      </c>
      <c r="K81" s="180" t="str">
        <f t="shared" si="5"/>
        <v>NUEVO</v>
      </c>
      <c r="L81" s="181">
        <v>44729</v>
      </c>
      <c r="M81" s="181">
        <v>44756</v>
      </c>
      <c r="N81" s="180"/>
      <c r="O81" s="180">
        <v>28</v>
      </c>
      <c r="P81" s="180" t="s">
        <v>141</v>
      </c>
      <c r="Q81" s="180"/>
      <c r="R81" s="182"/>
      <c r="S81" s="180" t="s">
        <v>219</v>
      </c>
      <c r="T81" s="180" t="s">
        <v>590</v>
      </c>
      <c r="U81" s="180" t="s">
        <v>52</v>
      </c>
      <c r="V81" s="180" t="s">
        <v>591</v>
      </c>
      <c r="W81" s="180" t="s">
        <v>54</v>
      </c>
      <c r="X81" s="180" t="s">
        <v>55</v>
      </c>
      <c r="Y81" s="183">
        <v>0.5</v>
      </c>
      <c r="Z81" s="180" t="s">
        <v>164</v>
      </c>
      <c r="AA81" s="180" t="s">
        <v>585</v>
      </c>
      <c r="AB81" s="182"/>
      <c r="AC81" s="213" t="s">
        <v>592</v>
      </c>
      <c r="AD81" s="180" t="s">
        <v>221</v>
      </c>
      <c r="AE81" s="180" t="s">
        <v>222</v>
      </c>
      <c r="AF81" s="180">
        <v>39</v>
      </c>
      <c r="AG81" s="180" t="s">
        <v>83</v>
      </c>
      <c r="AH81" s="180" t="s">
        <v>514</v>
      </c>
      <c r="AI81" s="180" t="s">
        <v>62</v>
      </c>
      <c r="AJ81" s="180" t="s">
        <v>85</v>
      </c>
      <c r="AK81" s="251" t="s">
        <v>593</v>
      </c>
      <c r="AL81" s="180" t="s">
        <v>65</v>
      </c>
      <c r="AM81" s="252" t="s">
        <v>67</v>
      </c>
      <c r="AN81" s="182" t="s">
        <v>66</v>
      </c>
      <c r="AO81" s="182" t="s">
        <v>68</v>
      </c>
      <c r="AP81" s="182" t="s">
        <v>284</v>
      </c>
    </row>
    <row r="82" spans="1:42" s="185" customFormat="1" hidden="1" x14ac:dyDescent="0.2">
      <c r="A82" s="180">
        <v>2022</v>
      </c>
      <c r="B82" s="180" t="s">
        <v>43</v>
      </c>
      <c r="C82" s="180" t="s">
        <v>44</v>
      </c>
      <c r="D82" s="180" t="s">
        <v>594</v>
      </c>
      <c r="E82" s="180" t="s">
        <v>595</v>
      </c>
      <c r="F82" s="180" t="s">
        <v>73</v>
      </c>
      <c r="G82" s="180" t="s">
        <v>596</v>
      </c>
      <c r="H82" s="181">
        <v>41340</v>
      </c>
      <c r="I82" s="180">
        <f t="shared" si="4"/>
        <v>111</v>
      </c>
      <c r="J82" s="181">
        <v>44729</v>
      </c>
      <c r="K82" s="180" t="str">
        <f t="shared" si="5"/>
        <v>ANTIGUO</v>
      </c>
      <c r="L82" s="180"/>
      <c r="M82" s="180"/>
      <c r="N82" s="180"/>
      <c r="O82" s="180">
        <v>0</v>
      </c>
      <c r="P82" s="180" t="s">
        <v>49</v>
      </c>
      <c r="Q82" s="180"/>
      <c r="R82" s="182"/>
      <c r="S82" s="180" t="s">
        <v>142</v>
      </c>
      <c r="T82" s="180" t="s">
        <v>143</v>
      </c>
      <c r="U82" s="180" t="s">
        <v>52</v>
      </c>
      <c r="V82" s="180" t="s">
        <v>143</v>
      </c>
      <c r="W82" s="180" t="s">
        <v>54</v>
      </c>
      <c r="X82" s="180" t="s">
        <v>78</v>
      </c>
      <c r="Y82" s="183">
        <v>0.38194444444444442</v>
      </c>
      <c r="Z82" s="180" t="s">
        <v>183</v>
      </c>
      <c r="AA82" s="180" t="s">
        <v>585</v>
      </c>
      <c r="AB82" s="182"/>
      <c r="AC82" s="212"/>
      <c r="AD82" s="180" t="s">
        <v>126</v>
      </c>
      <c r="AE82" s="180" t="s">
        <v>253</v>
      </c>
      <c r="AF82" s="180">
        <v>37</v>
      </c>
      <c r="AG82" s="180" t="s">
        <v>237</v>
      </c>
      <c r="AH82" s="180" t="s">
        <v>129</v>
      </c>
      <c r="AI82" s="180" t="s">
        <v>100</v>
      </c>
      <c r="AJ82" s="180" t="s">
        <v>63</v>
      </c>
      <c r="AK82" s="184" t="s">
        <v>597</v>
      </c>
      <c r="AL82" s="255" t="s">
        <v>65</v>
      </c>
      <c r="AM82" s="182" t="s">
        <v>66</v>
      </c>
      <c r="AN82" s="182" t="s">
        <v>67</v>
      </c>
      <c r="AO82" s="182" t="s">
        <v>68</v>
      </c>
      <c r="AP82" s="182" t="s">
        <v>89</v>
      </c>
    </row>
    <row r="83" spans="1:42" s="185" customFormat="1" hidden="1" x14ac:dyDescent="0.2">
      <c r="A83" s="180">
        <v>2022</v>
      </c>
      <c r="B83" s="180" t="s">
        <v>43</v>
      </c>
      <c r="C83" s="180" t="s">
        <v>44</v>
      </c>
      <c r="D83" s="180" t="s">
        <v>598</v>
      </c>
      <c r="E83" s="180" t="s">
        <v>599</v>
      </c>
      <c r="F83" s="180" t="s">
        <v>73</v>
      </c>
      <c r="G83" s="180" t="s">
        <v>600</v>
      </c>
      <c r="H83" s="181">
        <v>44453</v>
      </c>
      <c r="I83" s="180">
        <f t="shared" si="4"/>
        <v>9</v>
      </c>
      <c r="J83" s="181">
        <v>44733</v>
      </c>
      <c r="K83" s="180" t="str">
        <f t="shared" si="5"/>
        <v>NUEVO</v>
      </c>
      <c r="L83" s="180"/>
      <c r="M83" s="180"/>
      <c r="N83" s="180"/>
      <c r="O83" s="180">
        <v>0</v>
      </c>
      <c r="P83" s="180" t="s">
        <v>49</v>
      </c>
      <c r="Q83" s="180"/>
      <c r="R83" s="182"/>
      <c r="S83" s="180" t="s">
        <v>142</v>
      </c>
      <c r="T83" s="180" t="s">
        <v>143</v>
      </c>
      <c r="U83" s="180" t="s">
        <v>52</v>
      </c>
      <c r="V83" s="180" t="s">
        <v>559</v>
      </c>
      <c r="W83" s="180" t="s">
        <v>601</v>
      </c>
      <c r="X83" s="180" t="s">
        <v>55</v>
      </c>
      <c r="Y83" s="183">
        <v>0.52083333333333337</v>
      </c>
      <c r="Z83" s="180" t="s">
        <v>96</v>
      </c>
      <c r="AA83" s="180" t="s">
        <v>57</v>
      </c>
      <c r="AB83" s="182"/>
      <c r="AC83" s="212"/>
      <c r="AD83" s="180" t="s">
        <v>126</v>
      </c>
      <c r="AE83" s="180" t="s">
        <v>174</v>
      </c>
      <c r="AF83" s="180">
        <v>19</v>
      </c>
      <c r="AG83" s="180" t="s">
        <v>175</v>
      </c>
      <c r="AH83" s="180" t="s">
        <v>61</v>
      </c>
      <c r="AI83" s="180" t="s">
        <v>62</v>
      </c>
      <c r="AJ83" s="180" t="s">
        <v>148</v>
      </c>
      <c r="AK83" s="184" t="s">
        <v>602</v>
      </c>
      <c r="AL83" s="182" t="s">
        <v>65</v>
      </c>
      <c r="AM83" s="182" t="s">
        <v>66</v>
      </c>
      <c r="AN83" s="182" t="s">
        <v>67</v>
      </c>
      <c r="AO83" s="182" t="s">
        <v>68</v>
      </c>
      <c r="AP83" s="182" t="s">
        <v>89</v>
      </c>
    </row>
    <row r="84" spans="1:42" s="185" customFormat="1" hidden="1" x14ac:dyDescent="0.2">
      <c r="A84" s="180">
        <v>2022</v>
      </c>
      <c r="B84" s="180" t="s">
        <v>43</v>
      </c>
      <c r="C84" s="180" t="s">
        <v>44</v>
      </c>
      <c r="D84" s="180" t="s">
        <v>603</v>
      </c>
      <c r="E84" s="180" t="s">
        <v>604</v>
      </c>
      <c r="F84" s="180" t="s">
        <v>73</v>
      </c>
      <c r="G84" s="180" t="s">
        <v>605</v>
      </c>
      <c r="H84" s="181">
        <v>43979</v>
      </c>
      <c r="I84" s="180">
        <f t="shared" si="4"/>
        <v>24</v>
      </c>
      <c r="J84" s="181">
        <v>44736</v>
      </c>
      <c r="K84" s="180" t="str">
        <f t="shared" si="5"/>
        <v>INTERMEDIO</v>
      </c>
      <c r="L84" s="180"/>
      <c r="M84" s="180"/>
      <c r="N84" s="180"/>
      <c r="O84" s="180">
        <v>0</v>
      </c>
      <c r="P84" s="180" t="s">
        <v>49</v>
      </c>
      <c r="Q84" s="180"/>
      <c r="R84" s="182"/>
      <c r="S84" s="180" t="s">
        <v>142</v>
      </c>
      <c r="T84" s="180" t="s">
        <v>171</v>
      </c>
      <c r="U84" s="180" t="s">
        <v>52</v>
      </c>
      <c r="V84" s="180" t="s">
        <v>606</v>
      </c>
      <c r="W84" s="180" t="s">
        <v>54</v>
      </c>
      <c r="X84" s="180" t="s">
        <v>55</v>
      </c>
      <c r="Y84" s="183">
        <v>0.70833333333333337</v>
      </c>
      <c r="Z84" s="180" t="s">
        <v>183</v>
      </c>
      <c r="AA84" s="180" t="s">
        <v>57</v>
      </c>
      <c r="AB84" s="182"/>
      <c r="AC84" s="212"/>
      <c r="AD84" s="180" t="s">
        <v>126</v>
      </c>
      <c r="AE84" s="180" t="s">
        <v>461</v>
      </c>
      <c r="AF84" s="180">
        <v>30</v>
      </c>
      <c r="AG84" s="180" t="s">
        <v>60</v>
      </c>
      <c r="AH84" s="180" t="s">
        <v>61</v>
      </c>
      <c r="AI84" s="180" t="s">
        <v>62</v>
      </c>
      <c r="AJ84" s="180" t="s">
        <v>63</v>
      </c>
      <c r="AK84" s="184" t="s">
        <v>607</v>
      </c>
      <c r="AL84" s="182" t="s">
        <v>65</v>
      </c>
      <c r="AM84" s="182" t="s">
        <v>66</v>
      </c>
      <c r="AN84" s="182" t="s">
        <v>67</v>
      </c>
      <c r="AO84" s="182" t="s">
        <v>68</v>
      </c>
      <c r="AP84" s="182" t="s">
        <v>284</v>
      </c>
    </row>
    <row r="85" spans="1:42" s="185" customFormat="1" hidden="1" x14ac:dyDescent="0.2">
      <c r="A85" s="180">
        <v>2022</v>
      </c>
      <c r="B85" s="180" t="s">
        <v>43</v>
      </c>
      <c r="C85" s="180" t="s">
        <v>44</v>
      </c>
      <c r="D85" s="180" t="s">
        <v>608</v>
      </c>
      <c r="E85" s="180" t="s">
        <v>609</v>
      </c>
      <c r="F85" s="180" t="s">
        <v>73</v>
      </c>
      <c r="G85" s="180" t="s">
        <v>610</v>
      </c>
      <c r="H85" s="181">
        <v>44236</v>
      </c>
      <c r="I85" s="180">
        <f t="shared" si="4"/>
        <v>16</v>
      </c>
      <c r="J85" s="181">
        <v>44737</v>
      </c>
      <c r="K85" s="180" t="str">
        <f t="shared" si="5"/>
        <v>NUEVO</v>
      </c>
      <c r="L85" s="180"/>
      <c r="M85" s="180"/>
      <c r="N85" s="180"/>
      <c r="O85" s="180">
        <v>0</v>
      </c>
      <c r="P85" s="180" t="s">
        <v>49</v>
      </c>
      <c r="Q85" s="180"/>
      <c r="R85" s="182"/>
      <c r="S85" s="180" t="s">
        <v>611</v>
      </c>
      <c r="T85" s="180" t="s">
        <v>612</v>
      </c>
      <c r="U85" s="180" t="s">
        <v>52</v>
      </c>
      <c r="V85" s="180" t="s">
        <v>613</v>
      </c>
      <c r="W85" s="180" t="s">
        <v>54</v>
      </c>
      <c r="X85" s="180" t="s">
        <v>78</v>
      </c>
      <c r="Y85" s="183">
        <v>0.41666666666666669</v>
      </c>
      <c r="Z85" s="180" t="s">
        <v>154</v>
      </c>
      <c r="AA85" s="180" t="s">
        <v>57</v>
      </c>
      <c r="AB85" s="182"/>
      <c r="AC85" s="212"/>
      <c r="AD85" s="180" t="s">
        <v>126</v>
      </c>
      <c r="AE85" s="180" t="s">
        <v>146</v>
      </c>
      <c r="AF85" s="180">
        <v>26</v>
      </c>
      <c r="AG85" s="180" t="s">
        <v>237</v>
      </c>
      <c r="AH85" s="180" t="s">
        <v>61</v>
      </c>
      <c r="AI85" s="180" t="s">
        <v>237</v>
      </c>
      <c r="AJ85" s="180" t="s">
        <v>237</v>
      </c>
      <c r="AK85" s="184" t="s">
        <v>614</v>
      </c>
      <c r="AL85" s="182" t="s">
        <v>65</v>
      </c>
      <c r="AM85" s="182" t="s">
        <v>67</v>
      </c>
      <c r="AN85" s="182" t="s">
        <v>67</v>
      </c>
      <c r="AO85" s="182" t="s">
        <v>68</v>
      </c>
      <c r="AP85" s="182" t="s">
        <v>89</v>
      </c>
    </row>
    <row r="86" spans="1:42" s="185" customFormat="1" hidden="1" x14ac:dyDescent="0.2">
      <c r="A86" s="180">
        <v>2022</v>
      </c>
      <c r="B86" s="180" t="s">
        <v>43</v>
      </c>
      <c r="C86" s="180" t="s">
        <v>44</v>
      </c>
      <c r="D86" s="180" t="s">
        <v>615</v>
      </c>
      <c r="E86" s="180" t="s">
        <v>616</v>
      </c>
      <c r="F86" s="180" t="s">
        <v>73</v>
      </c>
      <c r="G86" s="180" t="s">
        <v>617</v>
      </c>
      <c r="H86" s="181">
        <v>43619</v>
      </c>
      <c r="I86" s="180">
        <f t="shared" si="4"/>
        <v>36</v>
      </c>
      <c r="J86" s="181">
        <v>44740</v>
      </c>
      <c r="K86" s="180" t="str">
        <f t="shared" si="5"/>
        <v>INTERMEDIO</v>
      </c>
      <c r="L86" s="180"/>
      <c r="M86" s="180"/>
      <c r="N86" s="180"/>
      <c r="O86" s="180" t="s">
        <v>449</v>
      </c>
      <c r="P86" s="180" t="s">
        <v>49</v>
      </c>
      <c r="Q86" s="180"/>
      <c r="R86" s="182"/>
      <c r="S86" s="180" t="s">
        <v>182</v>
      </c>
      <c r="T86" s="180" t="s">
        <v>182</v>
      </c>
      <c r="U86" s="180" t="s">
        <v>365</v>
      </c>
      <c r="V86" s="180" t="s">
        <v>618</v>
      </c>
      <c r="W86" s="180" t="s">
        <v>375</v>
      </c>
      <c r="X86" s="180" t="s">
        <v>55</v>
      </c>
      <c r="Y86" s="183">
        <v>0.8125</v>
      </c>
      <c r="Z86" s="180" t="s">
        <v>96</v>
      </c>
      <c r="AA86" s="180" t="s">
        <v>619</v>
      </c>
      <c r="AB86" s="182"/>
      <c r="AC86" s="212"/>
      <c r="AD86" s="180" t="s">
        <v>184</v>
      </c>
      <c r="AE86" s="180" t="s">
        <v>620</v>
      </c>
      <c r="AF86" s="180">
        <v>30</v>
      </c>
      <c r="AG86" s="180" t="s">
        <v>60</v>
      </c>
      <c r="AH86" s="180" t="s">
        <v>61</v>
      </c>
      <c r="AI86" s="180" t="s">
        <v>62</v>
      </c>
      <c r="AJ86" s="180" t="s">
        <v>148</v>
      </c>
      <c r="AK86" s="184" t="s">
        <v>621</v>
      </c>
      <c r="AL86" s="182" t="s">
        <v>65</v>
      </c>
      <c r="AM86" s="182" t="s">
        <v>66</v>
      </c>
      <c r="AN86" s="182" t="s">
        <v>67</v>
      </c>
      <c r="AO86" s="182" t="s">
        <v>68</v>
      </c>
      <c r="AP86" s="182" t="s">
        <v>284</v>
      </c>
    </row>
    <row r="87" spans="1:42" s="185" customFormat="1" hidden="1" x14ac:dyDescent="0.2">
      <c r="A87" s="180">
        <v>2022</v>
      </c>
      <c r="B87" s="180" t="s">
        <v>43</v>
      </c>
      <c r="C87" s="180" t="s">
        <v>44</v>
      </c>
      <c r="D87" s="180" t="s">
        <v>622</v>
      </c>
      <c r="E87" s="180" t="s">
        <v>623</v>
      </c>
      <c r="F87" s="180" t="s">
        <v>73</v>
      </c>
      <c r="G87" s="180" t="s">
        <v>624</v>
      </c>
      <c r="H87" s="181">
        <v>41493</v>
      </c>
      <c r="I87" s="180">
        <f t="shared" si="4"/>
        <v>106</v>
      </c>
      <c r="J87" s="181">
        <v>44741</v>
      </c>
      <c r="K87" s="180" t="str">
        <f t="shared" si="5"/>
        <v>ANTIGUO</v>
      </c>
      <c r="L87" s="180"/>
      <c r="M87" s="180"/>
      <c r="N87" s="180"/>
      <c r="O87" s="180">
        <v>0</v>
      </c>
      <c r="P87" s="180" t="s">
        <v>49</v>
      </c>
      <c r="Q87" s="180" t="s">
        <v>107</v>
      </c>
      <c r="R87" s="182" t="s">
        <v>548</v>
      </c>
      <c r="S87" s="180" t="s">
        <v>50</v>
      </c>
      <c r="T87" s="180" t="s">
        <v>51</v>
      </c>
      <c r="U87" s="180" t="s">
        <v>365</v>
      </c>
      <c r="V87" s="180" t="s">
        <v>618</v>
      </c>
      <c r="W87" s="180" t="s">
        <v>625</v>
      </c>
      <c r="X87" s="180" t="s">
        <v>55</v>
      </c>
      <c r="Y87" s="183">
        <v>0.66666666666666663</v>
      </c>
      <c r="Z87" s="180" t="s">
        <v>56</v>
      </c>
      <c r="AA87" s="180" t="s">
        <v>619</v>
      </c>
      <c r="AB87" s="182"/>
      <c r="AC87" s="212"/>
      <c r="AD87" s="180" t="s">
        <v>58</v>
      </c>
      <c r="AE87" s="180" t="s">
        <v>228</v>
      </c>
      <c r="AF87" s="180">
        <v>27</v>
      </c>
      <c r="AG87" s="180" t="s">
        <v>175</v>
      </c>
      <c r="AH87" s="180" t="s">
        <v>61</v>
      </c>
      <c r="AI87" s="180" t="s">
        <v>100</v>
      </c>
      <c r="AJ87" s="180" t="s">
        <v>130</v>
      </c>
      <c r="AK87" s="184" t="s">
        <v>626</v>
      </c>
      <c r="AL87" s="182" t="s">
        <v>65</v>
      </c>
      <c r="AM87" s="182" t="s">
        <v>66</v>
      </c>
      <c r="AN87" s="182" t="s">
        <v>67</v>
      </c>
      <c r="AO87" s="182" t="s">
        <v>68</v>
      </c>
      <c r="AP87" s="182" t="s">
        <v>89</v>
      </c>
    </row>
    <row r="88" spans="1:42" s="185" customFormat="1" hidden="1" x14ac:dyDescent="0.2">
      <c r="A88" s="180">
        <v>2022</v>
      </c>
      <c r="B88" s="180" t="s">
        <v>43</v>
      </c>
      <c r="C88" s="180" t="s">
        <v>44</v>
      </c>
      <c r="D88" s="180" t="s">
        <v>627</v>
      </c>
      <c r="E88" s="180" t="s">
        <v>628</v>
      </c>
      <c r="F88" s="180" t="s">
        <v>73</v>
      </c>
      <c r="G88" s="180" t="s">
        <v>629</v>
      </c>
      <c r="H88" s="181">
        <v>41443</v>
      </c>
      <c r="I88" s="180">
        <f t="shared" si="4"/>
        <v>108</v>
      </c>
      <c r="J88" s="181">
        <v>44742</v>
      </c>
      <c r="K88" s="180" t="str">
        <f t="shared" si="5"/>
        <v>ANTIGUO</v>
      </c>
      <c r="L88" s="180"/>
      <c r="M88" s="180"/>
      <c r="N88" s="180"/>
      <c r="O88" s="180">
        <v>0</v>
      </c>
      <c r="P88" s="180" t="s">
        <v>49</v>
      </c>
      <c r="Q88" s="180" t="s">
        <v>107</v>
      </c>
      <c r="R88" s="188" t="s">
        <v>582</v>
      </c>
      <c r="S88" s="180" t="s">
        <v>271</v>
      </c>
      <c r="T88" s="180" t="s">
        <v>244</v>
      </c>
      <c r="U88" s="180" t="s">
        <v>630</v>
      </c>
      <c r="V88" s="180" t="s">
        <v>244</v>
      </c>
      <c r="W88" s="180" t="s">
        <v>163</v>
      </c>
      <c r="X88" s="180" t="s">
        <v>55</v>
      </c>
      <c r="Y88" s="183">
        <v>0.84375</v>
      </c>
      <c r="Z88" s="180" t="s">
        <v>164</v>
      </c>
      <c r="AA88" s="180" t="s">
        <v>631</v>
      </c>
      <c r="AB88" s="182"/>
      <c r="AC88" s="212"/>
      <c r="AD88" s="180" t="s">
        <v>275</v>
      </c>
      <c r="AE88" s="180" t="s">
        <v>632</v>
      </c>
      <c r="AF88" s="180">
        <v>46</v>
      </c>
      <c r="AG88" s="180" t="s">
        <v>329</v>
      </c>
      <c r="AH88" s="180" t="s">
        <v>61</v>
      </c>
      <c r="AI88" s="180" t="s">
        <v>527</v>
      </c>
      <c r="AJ88" s="180" t="s">
        <v>177</v>
      </c>
      <c r="AK88" s="242" t="s">
        <v>633</v>
      </c>
      <c r="AL88" s="182" t="s">
        <v>65</v>
      </c>
      <c r="AM88" s="182" t="s">
        <v>66</v>
      </c>
      <c r="AN88" s="182" t="s">
        <v>67</v>
      </c>
      <c r="AO88" s="182" t="s">
        <v>68</v>
      </c>
      <c r="AP88" s="182" t="s">
        <v>69</v>
      </c>
    </row>
    <row r="89" spans="1:42" s="185" customFormat="1" hidden="1" x14ac:dyDescent="0.2">
      <c r="A89" s="180">
        <v>2022</v>
      </c>
      <c r="B89" s="180" t="s">
        <v>43</v>
      </c>
      <c r="C89" s="180" t="s">
        <v>44</v>
      </c>
      <c r="D89" s="180" t="s">
        <v>634</v>
      </c>
      <c r="E89" s="180" t="s">
        <v>635</v>
      </c>
      <c r="F89" s="180" t="s">
        <v>73</v>
      </c>
      <c r="G89" s="180" t="s">
        <v>636</v>
      </c>
      <c r="H89" s="181">
        <v>43178</v>
      </c>
      <c r="I89" s="180">
        <f t="shared" si="4"/>
        <v>51</v>
      </c>
      <c r="J89" s="181">
        <v>44742</v>
      </c>
      <c r="K89" s="180" t="str">
        <f t="shared" si="5"/>
        <v>ANTIGUO</v>
      </c>
      <c r="L89" s="180"/>
      <c r="M89" s="180"/>
      <c r="N89" s="180"/>
      <c r="O89" s="180">
        <v>0</v>
      </c>
      <c r="P89" s="180" t="s">
        <v>49</v>
      </c>
      <c r="Q89" s="180"/>
      <c r="R89" s="182"/>
      <c r="S89" s="180" t="s">
        <v>423</v>
      </c>
      <c r="T89" s="180" t="s">
        <v>423</v>
      </c>
      <c r="U89" s="180" t="s">
        <v>637</v>
      </c>
      <c r="V89" s="180" t="s">
        <v>638</v>
      </c>
      <c r="W89" s="180" t="s">
        <v>172</v>
      </c>
      <c r="X89" s="180" t="s">
        <v>110</v>
      </c>
      <c r="Y89" s="183">
        <v>0.13055555555555556</v>
      </c>
      <c r="Z89" s="180" t="s">
        <v>164</v>
      </c>
      <c r="AA89" s="180" t="s">
        <v>619</v>
      </c>
      <c r="AB89" s="182"/>
      <c r="AC89" s="212"/>
      <c r="AD89" s="180" t="s">
        <v>426</v>
      </c>
      <c r="AE89" s="180" t="s">
        <v>427</v>
      </c>
      <c r="AF89" s="180">
        <v>23</v>
      </c>
      <c r="AG89" s="180" t="s">
        <v>175</v>
      </c>
      <c r="AH89" s="180" t="s">
        <v>61</v>
      </c>
      <c r="AI89" s="180" t="s">
        <v>100</v>
      </c>
      <c r="AJ89" s="180" t="s">
        <v>101</v>
      </c>
      <c r="AK89" s="242" t="s">
        <v>639</v>
      </c>
      <c r="AL89" s="182" t="s">
        <v>65</v>
      </c>
      <c r="AM89" s="182" t="s">
        <v>66</v>
      </c>
      <c r="AN89" s="182" t="s">
        <v>67</v>
      </c>
      <c r="AO89" s="182" t="s">
        <v>68</v>
      </c>
      <c r="AP89" s="182" t="s">
        <v>89</v>
      </c>
    </row>
    <row r="90" spans="1:42" s="185" customFormat="1" hidden="1" x14ac:dyDescent="0.2">
      <c r="A90" s="180">
        <v>2022</v>
      </c>
      <c r="B90" s="180" t="s">
        <v>640</v>
      </c>
      <c r="C90" s="180" t="s">
        <v>44</v>
      </c>
      <c r="D90" s="180" t="s">
        <v>641</v>
      </c>
      <c r="E90" s="180" t="s">
        <v>642</v>
      </c>
      <c r="F90" s="180" t="s">
        <v>47</v>
      </c>
      <c r="G90" s="180" t="s">
        <v>643</v>
      </c>
      <c r="H90" s="181">
        <v>42884</v>
      </c>
      <c r="I90" s="180">
        <f t="shared" si="4"/>
        <v>61</v>
      </c>
      <c r="J90" s="181">
        <v>44745</v>
      </c>
      <c r="K90" s="180" t="str">
        <f t="shared" si="5"/>
        <v>ANTIGUO</v>
      </c>
      <c r="L90" s="180"/>
      <c r="M90" s="180"/>
      <c r="N90" s="180"/>
      <c r="O90" s="180">
        <v>0</v>
      </c>
      <c r="P90" s="180" t="s">
        <v>49</v>
      </c>
      <c r="Q90" s="180"/>
      <c r="R90" s="182"/>
      <c r="S90" s="180" t="s">
        <v>50</v>
      </c>
      <c r="T90" s="180" t="s">
        <v>135</v>
      </c>
      <c r="U90" s="180" t="s">
        <v>52</v>
      </c>
      <c r="V90" s="180" t="s">
        <v>123</v>
      </c>
      <c r="W90" s="180" t="s">
        <v>54</v>
      </c>
      <c r="X90" s="180" t="s">
        <v>78</v>
      </c>
      <c r="Y90" s="183">
        <v>0.2986111111111111</v>
      </c>
      <c r="Z90" s="180" t="s">
        <v>367</v>
      </c>
      <c r="AA90" s="180" t="s">
        <v>619</v>
      </c>
      <c r="AB90" s="182"/>
      <c r="AC90" s="212"/>
      <c r="AD90" s="180" t="s">
        <v>58</v>
      </c>
      <c r="AE90" s="180" t="s">
        <v>212</v>
      </c>
      <c r="AF90" s="180">
        <v>40</v>
      </c>
      <c r="AG90" s="180" t="s">
        <v>83</v>
      </c>
      <c r="AH90" s="180" t="s">
        <v>441</v>
      </c>
      <c r="AI90" s="180" t="s">
        <v>62</v>
      </c>
      <c r="AJ90" s="180" t="s">
        <v>85</v>
      </c>
      <c r="AK90" s="184" t="s">
        <v>644</v>
      </c>
      <c r="AL90" s="182" t="s">
        <v>65</v>
      </c>
      <c r="AM90" s="182" t="s">
        <v>66</v>
      </c>
      <c r="AN90" s="182" t="s">
        <v>67</v>
      </c>
      <c r="AO90" s="182" t="s">
        <v>68</v>
      </c>
      <c r="AP90" s="182" t="s">
        <v>284</v>
      </c>
    </row>
    <row r="91" spans="1:42" s="185" customFormat="1" hidden="1" x14ac:dyDescent="0.2">
      <c r="A91" s="180">
        <v>2022</v>
      </c>
      <c r="B91" s="180" t="s">
        <v>640</v>
      </c>
      <c r="C91" s="180" t="s">
        <v>44</v>
      </c>
      <c r="D91" s="180" t="s">
        <v>645</v>
      </c>
      <c r="E91" s="180" t="s">
        <v>646</v>
      </c>
      <c r="F91" s="180" t="s">
        <v>73</v>
      </c>
      <c r="G91" s="180" t="s">
        <v>647</v>
      </c>
      <c r="H91" s="181">
        <v>38252</v>
      </c>
      <c r="I91" s="180">
        <f t="shared" si="4"/>
        <v>213</v>
      </c>
      <c r="J91" s="181">
        <v>44746</v>
      </c>
      <c r="K91" s="180" t="str">
        <f t="shared" si="5"/>
        <v>ANTIGUO</v>
      </c>
      <c r="L91" s="180"/>
      <c r="M91" s="180"/>
      <c r="N91" s="180"/>
      <c r="O91" s="180">
        <v>0</v>
      </c>
      <c r="P91" s="180" t="s">
        <v>49</v>
      </c>
      <c r="Q91" s="180"/>
      <c r="R91" s="182"/>
      <c r="S91" s="180" t="s">
        <v>121</v>
      </c>
      <c r="T91" s="180" t="s">
        <v>122</v>
      </c>
      <c r="U91" s="180" t="s">
        <v>52</v>
      </c>
      <c r="V91" s="180" t="s">
        <v>519</v>
      </c>
      <c r="W91" s="180" t="s">
        <v>54</v>
      </c>
      <c r="X91" s="180" t="s">
        <v>78</v>
      </c>
      <c r="Y91" s="183">
        <v>0.38541666666666669</v>
      </c>
      <c r="Z91" s="180" t="s">
        <v>79</v>
      </c>
      <c r="AA91" s="180" t="s">
        <v>648</v>
      </c>
      <c r="AB91" s="182"/>
      <c r="AC91" s="212"/>
      <c r="AD91" s="180" t="s">
        <v>126</v>
      </c>
      <c r="AE91" s="180" t="s">
        <v>569</v>
      </c>
      <c r="AF91" s="180">
        <v>63</v>
      </c>
      <c r="AG91" s="180" t="s">
        <v>237</v>
      </c>
      <c r="AH91" s="180" t="s">
        <v>454</v>
      </c>
      <c r="AI91" s="180" t="s">
        <v>237</v>
      </c>
      <c r="AJ91" s="180" t="s">
        <v>237</v>
      </c>
      <c r="AK91" s="184" t="s">
        <v>649</v>
      </c>
      <c r="AL91" s="182" t="s">
        <v>65</v>
      </c>
      <c r="AM91" s="182" t="s">
        <v>67</v>
      </c>
      <c r="AN91" s="182" t="s">
        <v>67</v>
      </c>
      <c r="AO91" s="182" t="s">
        <v>68</v>
      </c>
      <c r="AP91" s="182" t="s">
        <v>69</v>
      </c>
    </row>
    <row r="92" spans="1:42" s="185" customFormat="1" hidden="1" x14ac:dyDescent="0.2">
      <c r="A92" s="241">
        <v>2022</v>
      </c>
      <c r="B92" s="180" t="s">
        <v>640</v>
      </c>
      <c r="C92" s="180" t="s">
        <v>44</v>
      </c>
      <c r="D92" s="241" t="s">
        <v>650</v>
      </c>
      <c r="E92" s="241" t="s">
        <v>651</v>
      </c>
      <c r="F92" s="180" t="s">
        <v>47</v>
      </c>
      <c r="G92" s="180" t="s">
        <v>652</v>
      </c>
      <c r="H92" s="181">
        <v>41031</v>
      </c>
      <c r="I92" s="180">
        <f t="shared" si="4"/>
        <v>122</v>
      </c>
      <c r="J92" s="181">
        <v>44749</v>
      </c>
      <c r="K92" s="180" t="str">
        <f t="shared" si="5"/>
        <v>ANTIGUO</v>
      </c>
      <c r="L92" s="180"/>
      <c r="M92" s="180"/>
      <c r="N92" s="180"/>
      <c r="O92" s="180">
        <v>0</v>
      </c>
      <c r="P92" s="180" t="s">
        <v>49</v>
      </c>
      <c r="Q92" s="180"/>
      <c r="R92" s="182"/>
      <c r="S92" s="180" t="s">
        <v>142</v>
      </c>
      <c r="T92" s="180" t="s">
        <v>653</v>
      </c>
      <c r="U92" s="180" t="s">
        <v>52</v>
      </c>
      <c r="V92" s="180" t="s">
        <v>654</v>
      </c>
      <c r="W92" s="180" t="s">
        <v>54</v>
      </c>
      <c r="X92" s="180" t="s">
        <v>55</v>
      </c>
      <c r="Y92" s="183">
        <v>0.63541666666666663</v>
      </c>
      <c r="Z92" s="180" t="s">
        <v>164</v>
      </c>
      <c r="AA92" s="180" t="s">
        <v>648</v>
      </c>
      <c r="AB92" s="182"/>
      <c r="AC92" s="213" t="s">
        <v>655</v>
      </c>
      <c r="AD92" s="180" t="s">
        <v>126</v>
      </c>
      <c r="AE92" s="180" t="s">
        <v>461</v>
      </c>
      <c r="AF92" s="180">
        <v>60</v>
      </c>
      <c r="AG92" s="180" t="s">
        <v>83</v>
      </c>
      <c r="AH92" s="180" t="s">
        <v>369</v>
      </c>
      <c r="AI92" s="180" t="s">
        <v>62</v>
      </c>
      <c r="AJ92" s="180" t="s">
        <v>85</v>
      </c>
      <c r="AK92" s="184" t="s">
        <v>656</v>
      </c>
      <c r="AL92" s="180" t="s">
        <v>65</v>
      </c>
      <c r="AM92" s="182" t="s">
        <v>66</v>
      </c>
      <c r="AN92" s="182" t="s">
        <v>66</v>
      </c>
      <c r="AO92" s="182" t="s">
        <v>68</v>
      </c>
      <c r="AP92" s="182" t="s">
        <v>89</v>
      </c>
    </row>
    <row r="93" spans="1:42" s="185" customFormat="1" hidden="1" x14ac:dyDescent="0.2">
      <c r="A93" s="180">
        <v>2022</v>
      </c>
      <c r="B93" s="180" t="s">
        <v>640</v>
      </c>
      <c r="C93" s="180" t="s">
        <v>44</v>
      </c>
      <c r="D93" s="180" t="s">
        <v>657</v>
      </c>
      <c r="E93" s="180" t="s">
        <v>658</v>
      </c>
      <c r="F93" s="180" t="s">
        <v>73</v>
      </c>
      <c r="G93" s="180" t="s">
        <v>74</v>
      </c>
      <c r="H93" s="181">
        <v>43136</v>
      </c>
      <c r="I93" s="180">
        <f t="shared" si="4"/>
        <v>53</v>
      </c>
      <c r="J93" s="181">
        <v>44749</v>
      </c>
      <c r="K93" s="180" t="str">
        <f t="shared" si="5"/>
        <v>ANTIGUO</v>
      </c>
      <c r="L93" s="180"/>
      <c r="M93" s="180"/>
      <c r="N93" s="180"/>
      <c r="O93" s="180"/>
      <c r="P93" s="180" t="s">
        <v>49</v>
      </c>
      <c r="Q93" s="180"/>
      <c r="R93" s="182"/>
      <c r="S93" s="180" t="s">
        <v>75</v>
      </c>
      <c r="T93" s="180" t="s">
        <v>76</v>
      </c>
      <c r="U93" s="180" t="s">
        <v>52</v>
      </c>
      <c r="V93" s="180" t="s">
        <v>659</v>
      </c>
      <c r="W93" s="180" t="s">
        <v>54</v>
      </c>
      <c r="X93" s="180" t="s">
        <v>78</v>
      </c>
      <c r="Y93" s="183">
        <v>0.21875</v>
      </c>
      <c r="Z93" s="180" t="s">
        <v>164</v>
      </c>
      <c r="AA93" s="180" t="s">
        <v>648</v>
      </c>
      <c r="AB93" s="182"/>
      <c r="AC93" s="212"/>
      <c r="AD93" s="180" t="s">
        <v>215</v>
      </c>
      <c r="AE93" s="180" t="s">
        <v>82</v>
      </c>
      <c r="AF93" s="180">
        <v>61</v>
      </c>
      <c r="AG93" s="180" t="s">
        <v>83</v>
      </c>
      <c r="AH93" s="180" t="s">
        <v>84</v>
      </c>
      <c r="AI93" s="180" t="s">
        <v>408</v>
      </c>
      <c r="AJ93" s="180" t="s">
        <v>85</v>
      </c>
      <c r="AK93" s="184" t="s">
        <v>660</v>
      </c>
      <c r="AL93" s="250" t="s">
        <v>65</v>
      </c>
      <c r="AM93" s="182" t="s">
        <v>66</v>
      </c>
      <c r="AN93" s="182" t="s">
        <v>67</v>
      </c>
      <c r="AO93" s="182" t="s">
        <v>68</v>
      </c>
      <c r="AP93" s="182" t="s">
        <v>89</v>
      </c>
    </row>
    <row r="94" spans="1:42" s="185" customFormat="1" hidden="1" x14ac:dyDescent="0.2">
      <c r="A94" s="180">
        <v>2022</v>
      </c>
      <c r="B94" s="180" t="s">
        <v>640</v>
      </c>
      <c r="C94" s="180" t="s">
        <v>44</v>
      </c>
      <c r="D94" s="180" t="s">
        <v>661</v>
      </c>
      <c r="E94" s="180" t="s">
        <v>662</v>
      </c>
      <c r="F94" s="180" t="s">
        <v>47</v>
      </c>
      <c r="G94" s="180" t="s">
        <v>663</v>
      </c>
      <c r="H94" s="181">
        <v>42723</v>
      </c>
      <c r="I94" s="180">
        <f t="shared" si="4"/>
        <v>66</v>
      </c>
      <c r="J94" s="181">
        <v>44750</v>
      </c>
      <c r="K94" s="180" t="str">
        <f t="shared" si="5"/>
        <v>ANTIGUO</v>
      </c>
      <c r="L94" s="180"/>
      <c r="M94" s="180"/>
      <c r="N94" s="180"/>
      <c r="O94" s="180">
        <v>0</v>
      </c>
      <c r="P94" s="180" t="s">
        <v>49</v>
      </c>
      <c r="Q94" s="180"/>
      <c r="R94" s="182"/>
      <c r="S94" s="180" t="s">
        <v>50</v>
      </c>
      <c r="T94" s="180" t="s">
        <v>135</v>
      </c>
      <c r="U94" s="180" t="s">
        <v>52</v>
      </c>
      <c r="V94" s="180" t="s">
        <v>123</v>
      </c>
      <c r="W94" s="180" t="s">
        <v>54</v>
      </c>
      <c r="X94" s="180" t="s">
        <v>55</v>
      </c>
      <c r="Y94" s="183">
        <v>0.72916666666666663</v>
      </c>
      <c r="Z94" s="180" t="s">
        <v>183</v>
      </c>
      <c r="AA94" s="180" t="s">
        <v>648</v>
      </c>
      <c r="AB94" s="182"/>
      <c r="AC94" s="212"/>
      <c r="AD94" s="180" t="s">
        <v>58</v>
      </c>
      <c r="AE94" s="180" t="s">
        <v>212</v>
      </c>
      <c r="AF94" s="180">
        <v>52</v>
      </c>
      <c r="AG94" s="180" t="s">
        <v>237</v>
      </c>
      <c r="AH94" s="180" t="s">
        <v>338</v>
      </c>
      <c r="AI94" s="180" t="s">
        <v>237</v>
      </c>
      <c r="AJ94" s="180" t="s">
        <v>237</v>
      </c>
      <c r="AK94" s="251" t="s">
        <v>664</v>
      </c>
      <c r="AL94" s="182" t="s">
        <v>65</v>
      </c>
      <c r="AM94" s="252" t="s">
        <v>66</v>
      </c>
      <c r="AN94" s="182" t="s">
        <v>67</v>
      </c>
      <c r="AO94" s="182" t="s">
        <v>68</v>
      </c>
      <c r="AP94" s="182" t="s">
        <v>69</v>
      </c>
    </row>
    <row r="95" spans="1:42" s="185" customFormat="1" hidden="1" x14ac:dyDescent="0.2">
      <c r="A95" s="241">
        <v>2022</v>
      </c>
      <c r="B95" s="180" t="s">
        <v>640</v>
      </c>
      <c r="C95" s="180" t="s">
        <v>44</v>
      </c>
      <c r="D95" s="241" t="s">
        <v>665</v>
      </c>
      <c r="E95" s="241" t="s">
        <v>666</v>
      </c>
      <c r="F95" s="180" t="s">
        <v>47</v>
      </c>
      <c r="G95" s="180" t="s">
        <v>667</v>
      </c>
      <c r="H95" s="181">
        <v>44734</v>
      </c>
      <c r="I95" s="180">
        <f t="shared" si="4"/>
        <v>0</v>
      </c>
      <c r="J95" s="181">
        <v>44750</v>
      </c>
      <c r="K95" s="180" t="str">
        <f t="shared" si="5"/>
        <v>NUEVO</v>
      </c>
      <c r="L95" s="180"/>
      <c r="M95" s="180"/>
      <c r="N95" s="180"/>
      <c r="O95" s="180">
        <v>11</v>
      </c>
      <c r="P95" s="180" t="s">
        <v>141</v>
      </c>
      <c r="Q95" s="180"/>
      <c r="R95" s="182"/>
      <c r="S95" s="180" t="s">
        <v>142</v>
      </c>
      <c r="T95" s="180" t="s">
        <v>559</v>
      </c>
      <c r="U95" s="180" t="s">
        <v>52</v>
      </c>
      <c r="V95" s="180" t="s">
        <v>668</v>
      </c>
      <c r="W95" s="180" t="s">
        <v>172</v>
      </c>
      <c r="X95" s="180" t="s">
        <v>78</v>
      </c>
      <c r="Y95" s="183">
        <v>0.49305555555555558</v>
      </c>
      <c r="Z95" s="180" t="s">
        <v>183</v>
      </c>
      <c r="AA95" s="180" t="s">
        <v>648</v>
      </c>
      <c r="AB95" s="182"/>
      <c r="AC95" s="213" t="s">
        <v>669</v>
      </c>
      <c r="AD95" s="180" t="s">
        <v>126</v>
      </c>
      <c r="AE95" s="180" t="s">
        <v>174</v>
      </c>
      <c r="AF95" s="180">
        <v>19</v>
      </c>
      <c r="AG95" s="180" t="s">
        <v>175</v>
      </c>
      <c r="AH95" s="180" t="s">
        <v>61</v>
      </c>
      <c r="AI95" s="180" t="s">
        <v>62</v>
      </c>
      <c r="AJ95" s="180" t="s">
        <v>63</v>
      </c>
      <c r="AK95" s="251" t="s">
        <v>670</v>
      </c>
      <c r="AL95" s="180" t="s">
        <v>65</v>
      </c>
      <c r="AM95" s="252" t="s">
        <v>66</v>
      </c>
      <c r="AN95" s="182" t="s">
        <v>66</v>
      </c>
      <c r="AO95" s="182" t="s">
        <v>68</v>
      </c>
      <c r="AP95" s="182" t="s">
        <v>69</v>
      </c>
    </row>
    <row r="96" spans="1:42" s="185" customFormat="1" hidden="1" x14ac:dyDescent="0.2">
      <c r="A96" s="241">
        <v>2022</v>
      </c>
      <c r="B96" s="180" t="s">
        <v>640</v>
      </c>
      <c r="C96" s="180" t="s">
        <v>44</v>
      </c>
      <c r="D96" s="241" t="s">
        <v>671</v>
      </c>
      <c r="E96" s="241" t="s">
        <v>672</v>
      </c>
      <c r="F96" s="180" t="s">
        <v>47</v>
      </c>
      <c r="G96" s="180" t="s">
        <v>673</v>
      </c>
      <c r="H96" s="181">
        <v>44567</v>
      </c>
      <c r="I96" s="180">
        <f t="shared" si="4"/>
        <v>6</v>
      </c>
      <c r="J96" s="181">
        <v>44751</v>
      </c>
      <c r="K96" s="180" t="str">
        <f t="shared" si="5"/>
        <v>NUEVO</v>
      </c>
      <c r="L96" s="180"/>
      <c r="M96" s="180"/>
      <c r="N96" s="180"/>
      <c r="O96" s="180">
        <v>0</v>
      </c>
      <c r="P96" s="180" t="s">
        <v>49</v>
      </c>
      <c r="Q96" s="180" t="s">
        <v>107</v>
      </c>
      <c r="R96" s="182" t="s">
        <v>410</v>
      </c>
      <c r="S96" s="180" t="s">
        <v>50</v>
      </c>
      <c r="T96" s="180" t="s">
        <v>51</v>
      </c>
      <c r="U96" s="180" t="s">
        <v>52</v>
      </c>
      <c r="V96" s="180" t="s">
        <v>53</v>
      </c>
      <c r="W96" s="180" t="s">
        <v>163</v>
      </c>
      <c r="X96" s="180" t="s">
        <v>78</v>
      </c>
      <c r="Y96" s="183">
        <v>0.59027777777777779</v>
      </c>
      <c r="Z96" s="180" t="s">
        <v>154</v>
      </c>
      <c r="AA96" s="180" t="s">
        <v>648</v>
      </c>
      <c r="AB96" s="182"/>
      <c r="AC96" s="245" t="s">
        <v>674</v>
      </c>
      <c r="AD96" s="180" t="s">
        <v>58</v>
      </c>
      <c r="AE96" s="180" t="s">
        <v>228</v>
      </c>
      <c r="AF96" s="180">
        <v>33</v>
      </c>
      <c r="AG96" s="180" t="s">
        <v>329</v>
      </c>
      <c r="AH96" s="180" t="s">
        <v>441</v>
      </c>
      <c r="AI96" s="180" t="s">
        <v>62</v>
      </c>
      <c r="AJ96" s="180" t="s">
        <v>85</v>
      </c>
      <c r="AK96" s="184" t="s">
        <v>675</v>
      </c>
      <c r="AL96" s="291" t="s">
        <v>65</v>
      </c>
      <c r="AM96" s="182" t="s">
        <v>66</v>
      </c>
      <c r="AN96" s="182" t="s">
        <v>66</v>
      </c>
      <c r="AO96" s="182" t="s">
        <v>68</v>
      </c>
      <c r="AP96" s="182" t="s">
        <v>351</v>
      </c>
    </row>
    <row r="97" spans="1:42" s="185" customFormat="1" hidden="1" x14ac:dyDescent="0.2">
      <c r="A97" s="180">
        <v>2022</v>
      </c>
      <c r="B97" s="180" t="s">
        <v>640</v>
      </c>
      <c r="C97" s="180" t="s">
        <v>44</v>
      </c>
      <c r="D97" s="180" t="s">
        <v>676</v>
      </c>
      <c r="E97" s="180" t="s">
        <v>677</v>
      </c>
      <c r="F97" s="180" t="s">
        <v>73</v>
      </c>
      <c r="G97" s="180" t="s">
        <v>678</v>
      </c>
      <c r="H97" s="181">
        <v>44655</v>
      </c>
      <c r="I97" s="180">
        <f t="shared" si="4"/>
        <v>3</v>
      </c>
      <c r="J97" s="181">
        <v>44752</v>
      </c>
      <c r="K97" s="180" t="str">
        <f t="shared" si="5"/>
        <v>NUEVO</v>
      </c>
      <c r="L97" s="180"/>
      <c r="M97" s="180"/>
      <c r="N97" s="180"/>
      <c r="O97" s="180">
        <v>0</v>
      </c>
      <c r="P97" s="180" t="s">
        <v>49</v>
      </c>
      <c r="Q97" s="180"/>
      <c r="R97" s="182"/>
      <c r="S97" s="180" t="s">
        <v>142</v>
      </c>
      <c r="T97" s="180" t="s">
        <v>559</v>
      </c>
      <c r="U97" s="180" t="s">
        <v>52</v>
      </c>
      <c r="V97" s="180" t="s">
        <v>424</v>
      </c>
      <c r="W97" s="180" t="s">
        <v>54</v>
      </c>
      <c r="X97" s="180" t="s">
        <v>78</v>
      </c>
      <c r="Y97" s="183">
        <v>0.25</v>
      </c>
      <c r="Z97" s="180" t="s">
        <v>367</v>
      </c>
      <c r="AA97" s="180" t="s">
        <v>648</v>
      </c>
      <c r="AB97" s="182"/>
      <c r="AC97" s="212"/>
      <c r="AD97" s="180" t="s">
        <v>126</v>
      </c>
      <c r="AE97" s="180" t="s">
        <v>253</v>
      </c>
      <c r="AF97" s="180">
        <v>21</v>
      </c>
      <c r="AG97" s="180" t="s">
        <v>237</v>
      </c>
      <c r="AH97" s="180" t="s">
        <v>414</v>
      </c>
      <c r="AI97" s="180" t="s">
        <v>237</v>
      </c>
      <c r="AJ97" s="180" t="s">
        <v>237</v>
      </c>
      <c r="AK97" s="251" t="s">
        <v>679</v>
      </c>
      <c r="AL97" s="182" t="s">
        <v>65</v>
      </c>
      <c r="AM97" s="252" t="s">
        <v>67</v>
      </c>
      <c r="AN97" s="182" t="s">
        <v>67</v>
      </c>
      <c r="AO97" s="182" t="s">
        <v>68</v>
      </c>
      <c r="AP97" s="182" t="s">
        <v>69</v>
      </c>
    </row>
    <row r="98" spans="1:42" s="185" customFormat="1" hidden="1" x14ac:dyDescent="0.2">
      <c r="A98" s="180">
        <v>2022</v>
      </c>
      <c r="B98" s="180" t="s">
        <v>640</v>
      </c>
      <c r="C98" s="180" t="s">
        <v>44</v>
      </c>
      <c r="D98" s="180" t="s">
        <v>680</v>
      </c>
      <c r="E98" s="180" t="s">
        <v>681</v>
      </c>
      <c r="F98" s="180" t="s">
        <v>47</v>
      </c>
      <c r="G98" s="180" t="s">
        <v>682</v>
      </c>
      <c r="H98" s="181">
        <v>44726</v>
      </c>
      <c r="I98" s="180">
        <f t="shared" si="4"/>
        <v>0</v>
      </c>
      <c r="J98" s="181">
        <v>44754</v>
      </c>
      <c r="K98" s="180" t="str">
        <f t="shared" si="5"/>
        <v>NUEVO</v>
      </c>
      <c r="L98" s="180"/>
      <c r="M98" s="180"/>
      <c r="N98" s="180"/>
      <c r="O98" s="180">
        <v>0</v>
      </c>
      <c r="P98" s="180" t="s">
        <v>49</v>
      </c>
      <c r="Q98" s="180" t="s">
        <v>107</v>
      </c>
      <c r="R98" s="188" t="s">
        <v>582</v>
      </c>
      <c r="S98" s="180" t="s">
        <v>142</v>
      </c>
      <c r="T98" s="180" t="s">
        <v>559</v>
      </c>
      <c r="U98" s="180" t="s">
        <v>52</v>
      </c>
      <c r="V98" s="180" t="s">
        <v>559</v>
      </c>
      <c r="W98" s="180" t="s">
        <v>683</v>
      </c>
      <c r="X98" s="180" t="s">
        <v>55</v>
      </c>
      <c r="Y98" s="183">
        <v>0.76388888888888884</v>
      </c>
      <c r="Z98" s="180" t="s">
        <v>96</v>
      </c>
      <c r="AA98" s="180" t="s">
        <v>684</v>
      </c>
      <c r="AB98" s="182"/>
      <c r="AC98" s="212"/>
      <c r="AD98" s="180" t="s">
        <v>126</v>
      </c>
      <c r="AE98" s="180" t="s">
        <v>146</v>
      </c>
      <c r="AF98" s="180">
        <v>34</v>
      </c>
      <c r="AG98" s="180" t="s">
        <v>175</v>
      </c>
      <c r="AH98" s="180" t="s">
        <v>61</v>
      </c>
      <c r="AI98" s="180" t="s">
        <v>527</v>
      </c>
      <c r="AJ98" s="180" t="s">
        <v>177</v>
      </c>
      <c r="AK98" s="184" t="s">
        <v>685</v>
      </c>
      <c r="AL98" s="255" t="s">
        <v>65</v>
      </c>
      <c r="AM98" s="182" t="s">
        <v>66</v>
      </c>
      <c r="AN98" s="182" t="s">
        <v>67</v>
      </c>
      <c r="AO98" s="182" t="s">
        <v>68</v>
      </c>
      <c r="AP98" s="182" t="s">
        <v>69</v>
      </c>
    </row>
    <row r="99" spans="1:42" s="185" customFormat="1" hidden="1" x14ac:dyDescent="0.2">
      <c r="A99" s="180">
        <v>2022</v>
      </c>
      <c r="B99" s="180" t="s">
        <v>640</v>
      </c>
      <c r="C99" s="180" t="s">
        <v>44</v>
      </c>
      <c r="D99" s="180" t="s">
        <v>686</v>
      </c>
      <c r="E99" s="180" t="s">
        <v>687</v>
      </c>
      <c r="F99" s="180" t="s">
        <v>47</v>
      </c>
      <c r="G99" s="180" t="s">
        <v>688</v>
      </c>
      <c r="H99" s="181">
        <v>44729</v>
      </c>
      <c r="I99" s="180">
        <f t="shared" si="4"/>
        <v>0</v>
      </c>
      <c r="J99" s="181">
        <v>44756</v>
      </c>
      <c r="K99" s="180" t="str">
        <f t="shared" si="5"/>
        <v>NUEVO</v>
      </c>
      <c r="L99" s="180"/>
      <c r="M99" s="180"/>
      <c r="N99" s="180"/>
      <c r="O99" s="180">
        <v>0</v>
      </c>
      <c r="P99" s="180" t="s">
        <v>49</v>
      </c>
      <c r="Q99" s="180" t="s">
        <v>107</v>
      </c>
      <c r="R99" s="182" t="s">
        <v>410</v>
      </c>
      <c r="S99" s="180" t="s">
        <v>50</v>
      </c>
      <c r="T99" s="180" t="s">
        <v>51</v>
      </c>
      <c r="U99" s="180" t="s">
        <v>52</v>
      </c>
      <c r="V99" s="180" t="s">
        <v>53</v>
      </c>
      <c r="W99" s="180" t="s">
        <v>163</v>
      </c>
      <c r="X99" s="180" t="s">
        <v>55</v>
      </c>
      <c r="Y99" s="183">
        <v>0.63888888888888895</v>
      </c>
      <c r="Z99" s="180" t="s">
        <v>164</v>
      </c>
      <c r="AA99" s="180" t="s">
        <v>684</v>
      </c>
      <c r="AB99" s="182"/>
      <c r="AC99" s="212"/>
      <c r="AD99" s="180" t="s">
        <v>58</v>
      </c>
      <c r="AE99" s="180" t="s">
        <v>228</v>
      </c>
      <c r="AF99" s="180">
        <v>23</v>
      </c>
      <c r="AG99" s="180" t="s">
        <v>329</v>
      </c>
      <c r="AH99" s="180" t="s">
        <v>84</v>
      </c>
      <c r="AI99" s="180" t="s">
        <v>62</v>
      </c>
      <c r="AJ99" s="180" t="s">
        <v>148</v>
      </c>
      <c r="AK99" s="184" t="s">
        <v>689</v>
      </c>
      <c r="AL99" s="182" t="s">
        <v>65</v>
      </c>
      <c r="AM99" s="182" t="s">
        <v>66</v>
      </c>
      <c r="AN99" s="182" t="s">
        <v>67</v>
      </c>
      <c r="AO99" s="182" t="s">
        <v>68</v>
      </c>
      <c r="AP99" s="182" t="s">
        <v>284</v>
      </c>
    </row>
    <row r="100" spans="1:42" s="185" customFormat="1" hidden="1" x14ac:dyDescent="0.2">
      <c r="A100" s="180">
        <v>2022</v>
      </c>
      <c r="B100" s="180" t="s">
        <v>640</v>
      </c>
      <c r="C100" s="180" t="s">
        <v>44</v>
      </c>
      <c r="D100" s="180" t="s">
        <v>690</v>
      </c>
      <c r="E100" s="180" t="s">
        <v>691</v>
      </c>
      <c r="F100" s="180" t="s">
        <v>73</v>
      </c>
      <c r="G100" s="180" t="s">
        <v>692</v>
      </c>
      <c r="H100" s="181">
        <v>41764</v>
      </c>
      <c r="I100" s="180">
        <f t="shared" si="4"/>
        <v>98</v>
      </c>
      <c r="J100" s="181">
        <v>44757</v>
      </c>
      <c r="K100" s="180" t="str">
        <f t="shared" si="5"/>
        <v>ANTIGUO</v>
      </c>
      <c r="L100" s="180"/>
      <c r="M100" s="180"/>
      <c r="N100" s="180"/>
      <c r="O100" s="180">
        <v>0</v>
      </c>
      <c r="P100" s="180" t="s">
        <v>49</v>
      </c>
      <c r="Q100" s="180"/>
      <c r="R100" s="182"/>
      <c r="S100" s="180" t="s">
        <v>121</v>
      </c>
      <c r="T100" s="180" t="s">
        <v>122</v>
      </c>
      <c r="U100" s="180" t="s">
        <v>52</v>
      </c>
      <c r="V100" s="180" t="s">
        <v>121</v>
      </c>
      <c r="W100" s="180" t="s">
        <v>693</v>
      </c>
      <c r="X100" s="180" t="s">
        <v>78</v>
      </c>
      <c r="Y100" s="183">
        <v>0.24652777777777779</v>
      </c>
      <c r="Z100" s="180" t="s">
        <v>183</v>
      </c>
      <c r="AA100" s="180" t="s">
        <v>684</v>
      </c>
      <c r="AB100" s="182"/>
      <c r="AC100" s="212"/>
      <c r="AD100" s="180" t="s">
        <v>126</v>
      </c>
      <c r="AE100" s="180" t="s">
        <v>569</v>
      </c>
      <c r="AF100" s="180">
        <v>29</v>
      </c>
      <c r="AG100" s="180" t="s">
        <v>175</v>
      </c>
      <c r="AH100" s="180" t="s">
        <v>61</v>
      </c>
      <c r="AI100" s="180" t="s">
        <v>100</v>
      </c>
      <c r="AJ100" s="180" t="s">
        <v>130</v>
      </c>
      <c r="AK100" s="184" t="s">
        <v>694</v>
      </c>
      <c r="AL100" s="182" t="s">
        <v>65</v>
      </c>
      <c r="AM100" s="182" t="s">
        <v>66</v>
      </c>
      <c r="AN100" s="182" t="s">
        <v>67</v>
      </c>
      <c r="AO100" s="182" t="s">
        <v>68</v>
      </c>
      <c r="AP100" s="182" t="s">
        <v>89</v>
      </c>
    </row>
    <row r="101" spans="1:42" s="185" customFormat="1" hidden="1" x14ac:dyDescent="0.2">
      <c r="A101" s="180">
        <v>2022</v>
      </c>
      <c r="B101" s="180" t="s">
        <v>640</v>
      </c>
      <c r="C101" s="180" t="s">
        <v>44</v>
      </c>
      <c r="D101" s="180" t="s">
        <v>695</v>
      </c>
      <c r="E101" s="180" t="s">
        <v>696</v>
      </c>
      <c r="F101" s="180" t="s">
        <v>73</v>
      </c>
      <c r="G101" s="180" t="s">
        <v>697</v>
      </c>
      <c r="H101" s="181">
        <v>44753</v>
      </c>
      <c r="I101" s="180">
        <f t="shared" si="4"/>
        <v>0</v>
      </c>
      <c r="J101" s="181">
        <v>44757</v>
      </c>
      <c r="K101" s="180" t="str">
        <f t="shared" si="5"/>
        <v>NUEVO</v>
      </c>
      <c r="L101" s="180"/>
      <c r="M101" s="180"/>
      <c r="N101" s="180"/>
      <c r="O101" s="180">
        <v>0</v>
      </c>
      <c r="P101" s="180" t="s">
        <v>49</v>
      </c>
      <c r="Q101" s="180"/>
      <c r="R101" s="182"/>
      <c r="S101" s="180" t="s">
        <v>271</v>
      </c>
      <c r="T101" s="180" t="s">
        <v>272</v>
      </c>
      <c r="U101" s="180" t="s">
        <v>52</v>
      </c>
      <c r="V101" s="180" t="s">
        <v>272</v>
      </c>
      <c r="W101" s="180" t="s">
        <v>54</v>
      </c>
      <c r="X101" s="180" t="s">
        <v>78</v>
      </c>
      <c r="Y101" s="183">
        <v>0.24652777777777779</v>
      </c>
      <c r="Z101" s="180" t="s">
        <v>183</v>
      </c>
      <c r="AA101" s="180" t="s">
        <v>684</v>
      </c>
      <c r="AB101" s="182"/>
      <c r="AC101" s="212"/>
      <c r="AD101" s="180" t="s">
        <v>275</v>
      </c>
      <c r="AE101" s="180" t="s">
        <v>314</v>
      </c>
      <c r="AF101" s="180" t="s">
        <v>449</v>
      </c>
      <c r="AG101" s="180" t="s">
        <v>213</v>
      </c>
      <c r="AH101" s="180" t="s">
        <v>61</v>
      </c>
      <c r="AI101" s="180" t="s">
        <v>100</v>
      </c>
      <c r="AJ101" s="180" t="s">
        <v>130</v>
      </c>
      <c r="AK101" s="184" t="s">
        <v>698</v>
      </c>
      <c r="AL101" s="182" t="s">
        <v>65</v>
      </c>
      <c r="AM101" s="182" t="s">
        <v>66</v>
      </c>
      <c r="AN101" s="182" t="s">
        <v>67</v>
      </c>
      <c r="AO101" s="182" t="s">
        <v>68</v>
      </c>
      <c r="AP101" s="182" t="s">
        <v>89</v>
      </c>
    </row>
    <row r="102" spans="1:42" s="185" customFormat="1" hidden="1" x14ac:dyDescent="0.2">
      <c r="A102" s="241">
        <v>2022</v>
      </c>
      <c r="B102" s="180" t="s">
        <v>640</v>
      </c>
      <c r="C102" s="180" t="s">
        <v>44</v>
      </c>
      <c r="D102" s="241" t="s">
        <v>699</v>
      </c>
      <c r="E102" s="241" t="s">
        <v>700</v>
      </c>
      <c r="F102" s="180" t="s">
        <v>73</v>
      </c>
      <c r="G102" s="180" t="s">
        <v>701</v>
      </c>
      <c r="H102" s="181">
        <v>34613</v>
      </c>
      <c r="I102" s="180">
        <f t="shared" si="4"/>
        <v>333</v>
      </c>
      <c r="J102" s="181">
        <v>44762</v>
      </c>
      <c r="K102" s="180" t="str">
        <f t="shared" si="5"/>
        <v>ANTIGUO</v>
      </c>
      <c r="L102" s="180"/>
      <c r="M102" s="180"/>
      <c r="N102" s="180"/>
      <c r="O102" s="180">
        <v>0</v>
      </c>
      <c r="P102" s="180" t="s">
        <v>49</v>
      </c>
      <c r="Q102" s="180" t="s">
        <v>107</v>
      </c>
      <c r="R102" s="182" t="s">
        <v>558</v>
      </c>
      <c r="S102" s="180" t="s">
        <v>93</v>
      </c>
      <c r="T102" s="180" t="s">
        <v>702</v>
      </c>
      <c r="U102" s="180" t="s">
        <v>52</v>
      </c>
      <c r="V102" s="180" t="s">
        <v>703</v>
      </c>
      <c r="W102" s="180" t="s">
        <v>54</v>
      </c>
      <c r="X102" s="180" t="s">
        <v>55</v>
      </c>
      <c r="Y102" s="183">
        <v>0.58333333333333337</v>
      </c>
      <c r="Z102" s="180" t="s">
        <v>56</v>
      </c>
      <c r="AA102" s="180" t="s">
        <v>704</v>
      </c>
      <c r="AB102" s="182"/>
      <c r="AC102" s="245" t="s">
        <v>705</v>
      </c>
      <c r="AD102" s="180" t="s">
        <v>97</v>
      </c>
      <c r="AE102" s="180" t="s">
        <v>155</v>
      </c>
      <c r="AF102" s="180">
        <v>54</v>
      </c>
      <c r="AG102" s="180" t="s">
        <v>112</v>
      </c>
      <c r="AH102" s="180" t="s">
        <v>454</v>
      </c>
      <c r="AI102" s="180" t="s">
        <v>237</v>
      </c>
      <c r="AJ102" s="180" t="s">
        <v>560</v>
      </c>
      <c r="AK102" s="184" t="s">
        <v>706</v>
      </c>
      <c r="AL102" s="180" t="s">
        <v>87</v>
      </c>
      <c r="AM102" s="182" t="s">
        <v>66</v>
      </c>
      <c r="AN102" s="182" t="s">
        <v>66</v>
      </c>
      <c r="AO102" s="182" t="s">
        <v>68</v>
      </c>
      <c r="AP102" s="182" t="s">
        <v>69</v>
      </c>
    </row>
    <row r="103" spans="1:42" s="185" customFormat="1" hidden="1" x14ac:dyDescent="0.2">
      <c r="A103" s="180">
        <v>2022</v>
      </c>
      <c r="B103" s="180" t="s">
        <v>640</v>
      </c>
      <c r="C103" s="180" t="s">
        <v>44</v>
      </c>
      <c r="D103" s="180" t="s">
        <v>707</v>
      </c>
      <c r="E103" s="180" t="s">
        <v>708</v>
      </c>
      <c r="F103" s="180" t="s">
        <v>73</v>
      </c>
      <c r="G103" s="180" t="s">
        <v>709</v>
      </c>
      <c r="H103" s="181">
        <v>44624</v>
      </c>
      <c r="I103" s="180">
        <f t="shared" ref="I103:I133" si="6">DATEDIF(H103,J103,"m")</f>
        <v>4</v>
      </c>
      <c r="J103" s="181">
        <v>44762</v>
      </c>
      <c r="K103" s="180" t="str">
        <f t="shared" ref="K103:K122" si="7">IF(I103&lt;=18,"NUEVO",IF(I103&lt;=36,"INTERMEDIO","ANTIGUO"))</f>
        <v>NUEVO</v>
      </c>
      <c r="L103" s="180"/>
      <c r="M103" s="180"/>
      <c r="N103" s="180"/>
      <c r="O103" s="180">
        <v>0</v>
      </c>
      <c r="P103" s="180" t="s">
        <v>49</v>
      </c>
      <c r="Q103" s="180"/>
      <c r="R103" s="182"/>
      <c r="S103" s="180" t="s">
        <v>50</v>
      </c>
      <c r="T103" s="180" t="s">
        <v>51</v>
      </c>
      <c r="U103" s="180" t="s">
        <v>52</v>
      </c>
      <c r="V103" s="180" t="s">
        <v>53</v>
      </c>
      <c r="W103" s="180" t="s">
        <v>54</v>
      </c>
      <c r="X103" s="180" t="s">
        <v>55</v>
      </c>
      <c r="Y103" s="183">
        <v>0.70833333333333337</v>
      </c>
      <c r="Z103" s="180" t="s">
        <v>56</v>
      </c>
      <c r="AA103" s="180" t="s">
        <v>704</v>
      </c>
      <c r="AB103" s="182"/>
      <c r="AC103" s="212"/>
      <c r="AD103" s="180" t="s">
        <v>58</v>
      </c>
      <c r="AE103" s="180" t="s">
        <v>59</v>
      </c>
      <c r="AF103" s="180">
        <v>36</v>
      </c>
      <c r="AG103" s="180" t="s">
        <v>128</v>
      </c>
      <c r="AH103" s="180" t="s">
        <v>338</v>
      </c>
      <c r="AI103" s="180" t="s">
        <v>62</v>
      </c>
      <c r="AJ103" s="180" t="s">
        <v>148</v>
      </c>
      <c r="AK103" s="184" t="s">
        <v>710</v>
      </c>
      <c r="AL103" s="250" t="s">
        <v>87</v>
      </c>
      <c r="AM103" s="182" t="s">
        <v>66</v>
      </c>
      <c r="AN103" s="182" t="s">
        <v>67</v>
      </c>
      <c r="AO103" s="182" t="s">
        <v>68</v>
      </c>
      <c r="AP103" s="182" t="s">
        <v>69</v>
      </c>
    </row>
    <row r="104" spans="1:42" s="185" customFormat="1" hidden="1" x14ac:dyDescent="0.2">
      <c r="A104" s="180">
        <v>2022</v>
      </c>
      <c r="B104" s="180" t="s">
        <v>640</v>
      </c>
      <c r="C104" s="180" t="s">
        <v>44</v>
      </c>
      <c r="D104" s="180" t="s">
        <v>711</v>
      </c>
      <c r="E104" s="180" t="s">
        <v>712</v>
      </c>
      <c r="F104" s="180" t="s">
        <v>73</v>
      </c>
      <c r="G104" s="180" t="s">
        <v>713</v>
      </c>
      <c r="H104" s="181">
        <v>44571</v>
      </c>
      <c r="I104" s="180">
        <f t="shared" si="6"/>
        <v>6</v>
      </c>
      <c r="J104" s="181">
        <v>44768</v>
      </c>
      <c r="K104" s="180" t="str">
        <f t="shared" si="7"/>
        <v>NUEVO</v>
      </c>
      <c r="L104" s="180"/>
      <c r="M104" s="180"/>
      <c r="N104" s="180"/>
      <c r="O104" s="180">
        <v>0</v>
      </c>
      <c r="P104" s="180" t="s">
        <v>49</v>
      </c>
      <c r="Q104" s="180"/>
      <c r="R104" s="182"/>
      <c r="S104" s="180" t="s">
        <v>219</v>
      </c>
      <c r="T104" s="180" t="s">
        <v>590</v>
      </c>
      <c r="U104" s="180" t="s">
        <v>52</v>
      </c>
      <c r="V104" s="180" t="s">
        <v>714</v>
      </c>
      <c r="W104" s="180" t="s">
        <v>54</v>
      </c>
      <c r="X104" s="180" t="s">
        <v>78</v>
      </c>
      <c r="Y104" s="183">
        <v>0.59375</v>
      </c>
      <c r="Z104" s="180" t="s">
        <v>96</v>
      </c>
      <c r="AA104" s="180" t="s">
        <v>715</v>
      </c>
      <c r="AB104" s="182"/>
      <c r="AC104" s="212"/>
      <c r="AD104" s="180"/>
      <c r="AE104" s="180"/>
      <c r="AF104" s="180">
        <v>29</v>
      </c>
      <c r="AG104" s="180" t="s">
        <v>237</v>
      </c>
      <c r="AH104" s="180" t="s">
        <v>113</v>
      </c>
      <c r="AI104" s="180" t="s">
        <v>237</v>
      </c>
      <c r="AJ104" s="180" t="s">
        <v>115</v>
      </c>
      <c r="AK104" s="251" t="s">
        <v>716</v>
      </c>
      <c r="AL104" s="182" t="s">
        <v>65</v>
      </c>
      <c r="AM104" s="252" t="s">
        <v>66</v>
      </c>
      <c r="AN104" s="182" t="s">
        <v>67</v>
      </c>
      <c r="AO104" s="182" t="s">
        <v>68</v>
      </c>
      <c r="AP104" s="182" t="s">
        <v>717</v>
      </c>
    </row>
    <row r="105" spans="1:42" s="185" customFormat="1" hidden="1" x14ac:dyDescent="0.2">
      <c r="A105" s="180">
        <v>2022</v>
      </c>
      <c r="B105" s="180" t="s">
        <v>640</v>
      </c>
      <c r="C105" s="180" t="s">
        <v>44</v>
      </c>
      <c r="D105" s="180" t="s">
        <v>718</v>
      </c>
      <c r="E105" s="180" t="s">
        <v>719</v>
      </c>
      <c r="F105" s="180" t="s">
        <v>47</v>
      </c>
      <c r="G105" s="180" t="s">
        <v>720</v>
      </c>
      <c r="H105" s="181">
        <v>43857</v>
      </c>
      <c r="I105" s="180">
        <f t="shared" si="6"/>
        <v>30</v>
      </c>
      <c r="J105" s="181">
        <v>44769</v>
      </c>
      <c r="K105" s="180" t="str">
        <f t="shared" si="7"/>
        <v>INTERMEDIO</v>
      </c>
      <c r="L105" s="180"/>
      <c r="M105" s="180"/>
      <c r="N105" s="180"/>
      <c r="O105" s="180">
        <v>0</v>
      </c>
      <c r="P105" s="180" t="s">
        <v>49</v>
      </c>
      <c r="Q105" s="180"/>
      <c r="R105" s="182"/>
      <c r="S105" s="180" t="s">
        <v>271</v>
      </c>
      <c r="T105" s="180" t="s">
        <v>721</v>
      </c>
      <c r="U105" s="180" t="s">
        <v>52</v>
      </c>
      <c r="V105" s="180" t="s">
        <v>244</v>
      </c>
      <c r="W105" s="180" t="s">
        <v>54</v>
      </c>
      <c r="X105" s="180" t="s">
        <v>55</v>
      </c>
      <c r="Y105" s="183">
        <v>0.83333333333333337</v>
      </c>
      <c r="Z105" s="180" t="s">
        <v>56</v>
      </c>
      <c r="AA105" s="180" t="s">
        <v>715</v>
      </c>
      <c r="AB105" s="182"/>
      <c r="AC105" s="212"/>
      <c r="AD105" s="180" t="s">
        <v>275</v>
      </c>
      <c r="AE105" s="180" t="s">
        <v>632</v>
      </c>
      <c r="AF105" s="180">
        <v>43</v>
      </c>
      <c r="AG105" s="180" t="s">
        <v>237</v>
      </c>
      <c r="AH105" s="180" t="s">
        <v>338</v>
      </c>
      <c r="AI105" s="180" t="s">
        <v>237</v>
      </c>
      <c r="AJ105" s="180" t="s">
        <v>237</v>
      </c>
      <c r="AK105" s="184" t="s">
        <v>722</v>
      </c>
      <c r="AL105" s="255" t="s">
        <v>65</v>
      </c>
      <c r="AM105" s="182" t="s">
        <v>66</v>
      </c>
      <c r="AN105" s="182" t="s">
        <v>67</v>
      </c>
      <c r="AO105" s="182" t="s">
        <v>68</v>
      </c>
      <c r="AP105" s="182" t="s">
        <v>351</v>
      </c>
    </row>
    <row r="106" spans="1:42" s="185" customFormat="1" hidden="1" x14ac:dyDescent="0.2">
      <c r="A106" s="180">
        <v>2022</v>
      </c>
      <c r="B106" s="180" t="s">
        <v>640</v>
      </c>
      <c r="C106" s="180" t="s">
        <v>44</v>
      </c>
      <c r="D106" s="180" t="s">
        <v>723</v>
      </c>
      <c r="E106" s="180" t="s">
        <v>494</v>
      </c>
      <c r="F106" s="180" t="s">
        <v>73</v>
      </c>
      <c r="G106" s="180" t="s">
        <v>724</v>
      </c>
      <c r="H106" s="181">
        <v>43486</v>
      </c>
      <c r="I106" s="180">
        <f t="shared" si="6"/>
        <v>42</v>
      </c>
      <c r="J106" s="181">
        <v>44769</v>
      </c>
      <c r="K106" s="180" t="str">
        <f t="shared" si="7"/>
        <v>ANTIGUO</v>
      </c>
      <c r="L106" s="180"/>
      <c r="M106" s="180"/>
      <c r="N106" s="180"/>
      <c r="O106" s="180">
        <v>0</v>
      </c>
      <c r="P106" s="180" t="s">
        <v>49</v>
      </c>
      <c r="Q106" s="180"/>
      <c r="R106" s="182"/>
      <c r="S106" s="180" t="s">
        <v>142</v>
      </c>
      <c r="T106" s="180" t="s">
        <v>559</v>
      </c>
      <c r="U106" s="180" t="s">
        <v>52</v>
      </c>
      <c r="V106" s="180" t="s">
        <v>725</v>
      </c>
      <c r="W106" s="180" t="s">
        <v>163</v>
      </c>
      <c r="X106" s="180" t="s">
        <v>78</v>
      </c>
      <c r="Y106" s="183">
        <v>0.4513888888888889</v>
      </c>
      <c r="Z106" s="180" t="s">
        <v>56</v>
      </c>
      <c r="AA106" s="180" t="s">
        <v>715</v>
      </c>
      <c r="AB106" s="182"/>
      <c r="AC106" s="212"/>
      <c r="AD106" s="180" t="s">
        <v>126</v>
      </c>
      <c r="AE106" s="180" t="s">
        <v>461</v>
      </c>
      <c r="AF106" s="180">
        <v>52</v>
      </c>
      <c r="AG106" s="180" t="s">
        <v>128</v>
      </c>
      <c r="AH106" s="180" t="s">
        <v>338</v>
      </c>
      <c r="AI106" s="180" t="s">
        <v>62</v>
      </c>
      <c r="AJ106" s="180" t="s">
        <v>85</v>
      </c>
      <c r="AK106" s="184" t="s">
        <v>726</v>
      </c>
      <c r="AL106" s="182" t="s">
        <v>87</v>
      </c>
      <c r="AM106" s="182" t="s">
        <v>66</v>
      </c>
      <c r="AN106" s="182" t="s">
        <v>67</v>
      </c>
      <c r="AO106" s="182" t="s">
        <v>68</v>
      </c>
      <c r="AP106" s="182" t="s">
        <v>351</v>
      </c>
    </row>
    <row r="107" spans="1:42" s="185" customFormat="1" hidden="1" x14ac:dyDescent="0.2">
      <c r="A107" s="180">
        <v>2022</v>
      </c>
      <c r="B107" s="180" t="s">
        <v>640</v>
      </c>
      <c r="C107" s="180" t="s">
        <v>44</v>
      </c>
      <c r="D107" s="180" t="s">
        <v>727</v>
      </c>
      <c r="E107" s="180" t="s">
        <v>728</v>
      </c>
      <c r="F107" s="180" t="s">
        <v>73</v>
      </c>
      <c r="G107" s="180" t="s">
        <v>729</v>
      </c>
      <c r="H107" s="181">
        <v>43234</v>
      </c>
      <c r="I107" s="180">
        <f t="shared" si="6"/>
        <v>50</v>
      </c>
      <c r="J107" s="181">
        <v>44770</v>
      </c>
      <c r="K107" s="180" t="str">
        <f t="shared" si="7"/>
        <v>ANTIGUO</v>
      </c>
      <c r="L107" s="180"/>
      <c r="M107" s="180"/>
      <c r="N107" s="180"/>
      <c r="O107" s="180">
        <v>0</v>
      </c>
      <c r="P107" s="180" t="s">
        <v>49</v>
      </c>
      <c r="Q107" s="180"/>
      <c r="R107" s="182"/>
      <c r="S107" s="180" t="s">
        <v>50</v>
      </c>
      <c r="T107" s="180" t="s">
        <v>730</v>
      </c>
      <c r="U107" s="180" t="s">
        <v>52</v>
      </c>
      <c r="V107" s="180" t="s">
        <v>53</v>
      </c>
      <c r="W107" s="180" t="s">
        <v>54</v>
      </c>
      <c r="X107" s="180" t="s">
        <v>55</v>
      </c>
      <c r="Y107" s="183">
        <v>0.98263888888888884</v>
      </c>
      <c r="Z107" s="180" t="s">
        <v>164</v>
      </c>
      <c r="AA107" s="180" t="s">
        <v>715</v>
      </c>
      <c r="AB107" s="182"/>
      <c r="AC107" s="212"/>
      <c r="AD107" s="180" t="s">
        <v>58</v>
      </c>
      <c r="AE107" s="180" t="s">
        <v>228</v>
      </c>
      <c r="AF107" s="180">
        <v>35</v>
      </c>
      <c r="AG107" s="180" t="s">
        <v>237</v>
      </c>
      <c r="AH107" s="180" t="s">
        <v>207</v>
      </c>
      <c r="AI107" s="180" t="s">
        <v>237</v>
      </c>
      <c r="AJ107" s="180" t="s">
        <v>148</v>
      </c>
      <c r="AK107" s="184" t="s">
        <v>731</v>
      </c>
      <c r="AL107" s="182" t="s">
        <v>65</v>
      </c>
      <c r="AM107" s="182" t="s">
        <v>66</v>
      </c>
      <c r="AN107" s="182" t="s">
        <v>67</v>
      </c>
      <c r="AO107" s="182" t="s">
        <v>68</v>
      </c>
      <c r="AP107" s="182" t="s">
        <v>69</v>
      </c>
    </row>
    <row r="108" spans="1:42" s="185" customFormat="1" hidden="1" x14ac:dyDescent="0.2">
      <c r="A108" s="180">
        <v>2022</v>
      </c>
      <c r="B108" s="180" t="s">
        <v>640</v>
      </c>
      <c r="C108" s="180" t="s">
        <v>44</v>
      </c>
      <c r="D108" s="180" t="s">
        <v>732</v>
      </c>
      <c r="E108" s="180" t="s">
        <v>696</v>
      </c>
      <c r="F108" s="180" t="s">
        <v>73</v>
      </c>
      <c r="G108" s="180" t="s">
        <v>733</v>
      </c>
      <c r="H108" s="181">
        <v>37653</v>
      </c>
      <c r="I108" s="180">
        <f t="shared" si="6"/>
        <v>233</v>
      </c>
      <c r="J108" s="181">
        <v>44771</v>
      </c>
      <c r="K108" s="180" t="str">
        <f t="shared" si="7"/>
        <v>ANTIGUO</v>
      </c>
      <c r="L108" s="180"/>
      <c r="M108" s="180"/>
      <c r="N108" s="180"/>
      <c r="O108" s="180">
        <v>0</v>
      </c>
      <c r="P108" s="180" t="s">
        <v>49</v>
      </c>
      <c r="Q108" s="180"/>
      <c r="R108" s="182"/>
      <c r="S108" s="180" t="s">
        <v>50</v>
      </c>
      <c r="T108" s="180" t="s">
        <v>135</v>
      </c>
      <c r="U108" s="180" t="s">
        <v>52</v>
      </c>
      <c r="V108" s="180" t="s">
        <v>123</v>
      </c>
      <c r="W108" s="180" t="s">
        <v>54</v>
      </c>
      <c r="X108" s="180" t="s">
        <v>55</v>
      </c>
      <c r="Y108" s="183">
        <v>0.66666666666666663</v>
      </c>
      <c r="Z108" s="180" t="s">
        <v>183</v>
      </c>
      <c r="AA108" s="180" t="s">
        <v>715</v>
      </c>
      <c r="AB108" s="182"/>
      <c r="AC108" s="212"/>
      <c r="AD108" s="180" t="s">
        <v>58</v>
      </c>
      <c r="AE108" s="180" t="s">
        <v>522</v>
      </c>
      <c r="AF108" s="180">
        <v>56</v>
      </c>
      <c r="AG108" s="180" t="s">
        <v>237</v>
      </c>
      <c r="AH108" s="180" t="s">
        <v>338</v>
      </c>
      <c r="AI108" s="180" t="s">
        <v>237</v>
      </c>
      <c r="AJ108" s="180" t="s">
        <v>237</v>
      </c>
      <c r="AK108" s="184" t="s">
        <v>734</v>
      </c>
      <c r="AL108" s="182" t="s">
        <v>65</v>
      </c>
      <c r="AM108" s="182" t="s">
        <v>66</v>
      </c>
      <c r="AN108" s="182" t="s">
        <v>67</v>
      </c>
      <c r="AO108" s="182" t="s">
        <v>68</v>
      </c>
      <c r="AP108" s="182" t="s">
        <v>351</v>
      </c>
    </row>
    <row r="109" spans="1:42" s="185" customFormat="1" ht="25.5" hidden="1" x14ac:dyDescent="0.2">
      <c r="A109" s="241">
        <v>2022</v>
      </c>
      <c r="B109" s="241" t="s">
        <v>735</v>
      </c>
      <c r="C109" s="241" t="s">
        <v>44</v>
      </c>
      <c r="D109" s="241" t="s">
        <v>736</v>
      </c>
      <c r="E109" s="241" t="s">
        <v>737</v>
      </c>
      <c r="F109" s="241" t="s">
        <v>73</v>
      </c>
      <c r="G109" s="241" t="s">
        <v>738</v>
      </c>
      <c r="H109" s="275">
        <v>37663</v>
      </c>
      <c r="I109" s="241">
        <f t="shared" si="6"/>
        <v>233</v>
      </c>
      <c r="J109" s="275">
        <v>44773</v>
      </c>
      <c r="K109" s="241" t="str">
        <f t="shared" si="7"/>
        <v>ANTIGUO</v>
      </c>
      <c r="L109" s="241"/>
      <c r="M109" s="241"/>
      <c r="N109" s="241"/>
      <c r="O109" s="241">
        <v>0</v>
      </c>
      <c r="P109" s="241" t="s">
        <v>49</v>
      </c>
      <c r="Q109" s="241"/>
      <c r="R109" s="270"/>
      <c r="S109" s="241" t="s">
        <v>50</v>
      </c>
      <c r="T109" s="180" t="s">
        <v>730</v>
      </c>
      <c r="U109" s="241" t="s">
        <v>52</v>
      </c>
      <c r="V109" s="241" t="s">
        <v>53</v>
      </c>
      <c r="W109" s="241" t="s">
        <v>739</v>
      </c>
      <c r="X109" s="241" t="s">
        <v>78</v>
      </c>
      <c r="Y109" s="276">
        <v>0.44791666666666669</v>
      </c>
      <c r="Z109" s="241" t="s">
        <v>367</v>
      </c>
      <c r="AA109" s="241" t="s">
        <v>740</v>
      </c>
      <c r="AB109" s="270"/>
      <c r="AC109" s="277" t="s">
        <v>741</v>
      </c>
      <c r="AD109" s="241" t="s">
        <v>58</v>
      </c>
      <c r="AE109" s="241" t="s">
        <v>228</v>
      </c>
      <c r="AF109" s="241">
        <v>41</v>
      </c>
      <c r="AG109" s="241" t="s">
        <v>175</v>
      </c>
      <c r="AH109" s="241" t="s">
        <v>129</v>
      </c>
      <c r="AI109" s="241" t="s">
        <v>100</v>
      </c>
      <c r="AJ109" s="241" t="s">
        <v>148</v>
      </c>
      <c r="AK109" s="280" t="s">
        <v>742</v>
      </c>
      <c r="AL109" s="293" t="s">
        <v>65</v>
      </c>
      <c r="AM109" s="270" t="s">
        <v>67</v>
      </c>
      <c r="AN109" s="270" t="s">
        <v>66</v>
      </c>
      <c r="AO109" s="270" t="s">
        <v>68</v>
      </c>
      <c r="AP109" s="270" t="s">
        <v>69</v>
      </c>
    </row>
    <row r="110" spans="1:42" s="185" customFormat="1" hidden="1" x14ac:dyDescent="0.2">
      <c r="A110" s="180">
        <v>2022</v>
      </c>
      <c r="B110" s="180" t="s">
        <v>735</v>
      </c>
      <c r="C110" s="180" t="s">
        <v>44</v>
      </c>
      <c r="D110" s="180" t="s">
        <v>743</v>
      </c>
      <c r="E110" s="180" t="s">
        <v>744</v>
      </c>
      <c r="F110" s="180" t="s">
        <v>73</v>
      </c>
      <c r="G110" s="180" t="s">
        <v>745</v>
      </c>
      <c r="H110" s="181">
        <v>44585</v>
      </c>
      <c r="I110" s="180">
        <f t="shared" si="6"/>
        <v>6</v>
      </c>
      <c r="J110" s="181">
        <v>44775</v>
      </c>
      <c r="K110" s="180" t="str">
        <f t="shared" si="7"/>
        <v>NUEVO</v>
      </c>
      <c r="L110" s="180"/>
      <c r="M110" s="180"/>
      <c r="N110" s="180"/>
      <c r="O110" s="180">
        <v>0</v>
      </c>
      <c r="P110" s="180" t="s">
        <v>49</v>
      </c>
      <c r="Q110" s="180"/>
      <c r="R110" s="182"/>
      <c r="S110" s="180" t="s">
        <v>50</v>
      </c>
      <c r="T110" s="180" t="s">
        <v>730</v>
      </c>
      <c r="U110" s="180" t="s">
        <v>52</v>
      </c>
      <c r="V110" s="180" t="s">
        <v>53</v>
      </c>
      <c r="W110" s="180" t="s">
        <v>54</v>
      </c>
      <c r="X110" s="180" t="s">
        <v>110</v>
      </c>
      <c r="Y110" s="183">
        <v>0.9194444444444444</v>
      </c>
      <c r="Z110" s="180" t="s">
        <v>96</v>
      </c>
      <c r="AA110" s="180" t="s">
        <v>746</v>
      </c>
      <c r="AB110" s="182"/>
      <c r="AC110" s="212"/>
      <c r="AD110" s="180" t="s">
        <v>58</v>
      </c>
      <c r="AE110" s="180" t="s">
        <v>59</v>
      </c>
      <c r="AF110" s="180">
        <v>28</v>
      </c>
      <c r="AG110" s="180" t="s">
        <v>237</v>
      </c>
      <c r="AH110" s="180" t="s">
        <v>61</v>
      </c>
      <c r="AI110" s="180" t="s">
        <v>100</v>
      </c>
      <c r="AJ110" s="180" t="s">
        <v>130</v>
      </c>
      <c r="AK110" s="251" t="s">
        <v>747</v>
      </c>
      <c r="AL110" s="182" t="s">
        <v>65</v>
      </c>
      <c r="AM110" s="252" t="s">
        <v>66</v>
      </c>
      <c r="AN110" s="182" t="s">
        <v>67</v>
      </c>
      <c r="AO110" s="182" t="s">
        <v>68</v>
      </c>
      <c r="AP110" s="182" t="s">
        <v>351</v>
      </c>
    </row>
    <row r="111" spans="1:42" s="185" customFormat="1" hidden="1" x14ac:dyDescent="0.2">
      <c r="A111" s="241">
        <v>2022</v>
      </c>
      <c r="B111" s="241" t="s">
        <v>735</v>
      </c>
      <c r="C111" s="241" t="s">
        <v>44</v>
      </c>
      <c r="D111" s="241" t="s">
        <v>748</v>
      </c>
      <c r="E111" s="241" t="s">
        <v>749</v>
      </c>
      <c r="F111" s="241" t="s">
        <v>73</v>
      </c>
      <c r="G111" s="241" t="s">
        <v>750</v>
      </c>
      <c r="H111" s="275">
        <v>38553</v>
      </c>
      <c r="I111" s="241">
        <f t="shared" si="6"/>
        <v>204</v>
      </c>
      <c r="J111" s="275">
        <v>44778</v>
      </c>
      <c r="K111" s="241" t="str">
        <f t="shared" si="7"/>
        <v>ANTIGUO</v>
      </c>
      <c r="L111" s="241"/>
      <c r="M111" s="241"/>
      <c r="N111" s="241"/>
      <c r="O111" s="241">
        <v>8</v>
      </c>
      <c r="P111" s="241" t="s">
        <v>141</v>
      </c>
      <c r="Q111" s="241"/>
      <c r="R111" s="270"/>
      <c r="S111" s="241" t="s">
        <v>50</v>
      </c>
      <c r="T111" s="180" t="s">
        <v>135</v>
      </c>
      <c r="U111" s="241" t="s">
        <v>52</v>
      </c>
      <c r="V111" s="241" t="s">
        <v>123</v>
      </c>
      <c r="W111" s="241" t="s">
        <v>751</v>
      </c>
      <c r="X111" s="241"/>
      <c r="Y111" s="276"/>
      <c r="Z111" s="241" t="s">
        <v>183</v>
      </c>
      <c r="AA111" s="241" t="s">
        <v>746</v>
      </c>
      <c r="AB111" s="270"/>
      <c r="AC111" s="277" t="s">
        <v>752</v>
      </c>
      <c r="AD111" s="241" t="s">
        <v>58</v>
      </c>
      <c r="AE111" s="187" t="s">
        <v>522</v>
      </c>
      <c r="AF111" s="241">
        <v>62</v>
      </c>
      <c r="AG111" s="241" t="s">
        <v>128</v>
      </c>
      <c r="AH111" s="241" t="s">
        <v>61</v>
      </c>
      <c r="AI111" s="241" t="s">
        <v>100</v>
      </c>
      <c r="AJ111" s="241" t="s">
        <v>130</v>
      </c>
      <c r="AK111" s="280" t="s">
        <v>753</v>
      </c>
      <c r="AL111" s="294" t="s">
        <v>87</v>
      </c>
      <c r="AM111" s="270" t="s">
        <v>66</v>
      </c>
      <c r="AN111" s="270" t="s">
        <v>66</v>
      </c>
      <c r="AO111" s="270" t="s">
        <v>68</v>
      </c>
      <c r="AP111" s="270" t="s">
        <v>69</v>
      </c>
    </row>
    <row r="112" spans="1:42" s="185" customFormat="1" hidden="1" x14ac:dyDescent="0.2">
      <c r="A112" s="241">
        <v>2022</v>
      </c>
      <c r="B112" s="241" t="s">
        <v>735</v>
      </c>
      <c r="C112" s="241" t="s">
        <v>44</v>
      </c>
      <c r="D112" s="241" t="s">
        <v>754</v>
      </c>
      <c r="E112" s="241" t="s">
        <v>755</v>
      </c>
      <c r="F112" s="241" t="s">
        <v>73</v>
      </c>
      <c r="G112" s="241" t="s">
        <v>756</v>
      </c>
      <c r="H112" s="275">
        <v>44704</v>
      </c>
      <c r="I112" s="241">
        <f t="shared" si="6"/>
        <v>3</v>
      </c>
      <c r="J112" s="275">
        <v>44799</v>
      </c>
      <c r="K112" s="241" t="str">
        <f t="shared" si="7"/>
        <v>NUEVO</v>
      </c>
      <c r="L112" s="275">
        <v>44802</v>
      </c>
      <c r="M112" s="241"/>
      <c r="N112" s="241"/>
      <c r="O112" s="241">
        <v>47</v>
      </c>
      <c r="P112" s="241" t="s">
        <v>141</v>
      </c>
      <c r="Q112" s="241"/>
      <c r="R112" s="270"/>
      <c r="S112" s="241" t="s">
        <v>142</v>
      </c>
      <c r="T112" s="241" t="s">
        <v>143</v>
      </c>
      <c r="U112" s="241" t="s">
        <v>52</v>
      </c>
      <c r="V112" s="241" t="s">
        <v>143</v>
      </c>
      <c r="W112" s="241" t="s">
        <v>54</v>
      </c>
      <c r="X112" s="241" t="s">
        <v>55</v>
      </c>
      <c r="Y112" s="276">
        <v>0.97569444444444453</v>
      </c>
      <c r="Z112" s="241" t="s">
        <v>183</v>
      </c>
      <c r="AA112" s="241" t="s">
        <v>757</v>
      </c>
      <c r="AB112" s="270"/>
      <c r="AC112" s="277" t="s">
        <v>758</v>
      </c>
      <c r="AD112" s="241" t="s">
        <v>126</v>
      </c>
      <c r="AE112" s="241" t="s">
        <v>146</v>
      </c>
      <c r="AF112" s="241">
        <v>44</v>
      </c>
      <c r="AG112" s="241" t="s">
        <v>237</v>
      </c>
      <c r="AH112" s="241" t="s">
        <v>84</v>
      </c>
      <c r="AI112" s="241" t="s">
        <v>176</v>
      </c>
      <c r="AJ112" s="241" t="s">
        <v>85</v>
      </c>
      <c r="AK112" s="287" t="s">
        <v>759</v>
      </c>
      <c r="AL112" s="241" t="s">
        <v>87</v>
      </c>
      <c r="AM112" s="299" t="s">
        <v>66</v>
      </c>
      <c r="AN112" s="270" t="s">
        <v>66</v>
      </c>
      <c r="AO112" s="270" t="s">
        <v>68</v>
      </c>
      <c r="AP112" s="270" t="s">
        <v>351</v>
      </c>
    </row>
    <row r="113" spans="1:42" s="185" customFormat="1" hidden="1" x14ac:dyDescent="0.2">
      <c r="A113" s="241">
        <v>2022</v>
      </c>
      <c r="B113" s="241" t="s">
        <v>735</v>
      </c>
      <c r="C113" s="241" t="s">
        <v>44</v>
      </c>
      <c r="D113" s="241" t="s">
        <v>760</v>
      </c>
      <c r="E113" s="241" t="s">
        <v>761</v>
      </c>
      <c r="F113" s="241" t="s">
        <v>47</v>
      </c>
      <c r="G113" s="241" t="s">
        <v>762</v>
      </c>
      <c r="H113" s="275">
        <v>43808</v>
      </c>
      <c r="I113" s="241">
        <f t="shared" si="6"/>
        <v>32</v>
      </c>
      <c r="J113" s="275">
        <v>44799</v>
      </c>
      <c r="K113" s="241" t="str">
        <f t="shared" si="7"/>
        <v>INTERMEDIO</v>
      </c>
      <c r="L113" s="275">
        <v>44799</v>
      </c>
      <c r="M113" s="241"/>
      <c r="N113" s="241"/>
      <c r="O113" s="241" t="s">
        <v>449</v>
      </c>
      <c r="P113" s="241" t="s">
        <v>141</v>
      </c>
      <c r="Q113" s="241"/>
      <c r="R113" s="270"/>
      <c r="S113" s="241" t="s">
        <v>75</v>
      </c>
      <c r="T113" s="241" t="s">
        <v>75</v>
      </c>
      <c r="U113" s="241" t="s">
        <v>52</v>
      </c>
      <c r="V113" s="241" t="s">
        <v>763</v>
      </c>
      <c r="W113" s="241" t="s">
        <v>54</v>
      </c>
      <c r="X113" s="241" t="s">
        <v>78</v>
      </c>
      <c r="Y113" s="276">
        <v>0.41319444444444442</v>
      </c>
      <c r="Z113" s="241" t="s">
        <v>183</v>
      </c>
      <c r="AA113" s="241" t="s">
        <v>757</v>
      </c>
      <c r="AB113" s="270"/>
      <c r="AC113" s="277" t="s">
        <v>764</v>
      </c>
      <c r="AD113" s="241" t="s">
        <v>215</v>
      </c>
      <c r="AE113" s="241" t="s">
        <v>765</v>
      </c>
      <c r="AF113" s="241">
        <v>57</v>
      </c>
      <c r="AG113" s="241" t="s">
        <v>237</v>
      </c>
      <c r="AH113" s="241" t="s">
        <v>338</v>
      </c>
      <c r="AI113" s="241" t="s">
        <v>176</v>
      </c>
      <c r="AJ113" s="241" t="s">
        <v>156</v>
      </c>
      <c r="AK113" s="287" t="s">
        <v>766</v>
      </c>
      <c r="AL113" s="241" t="s">
        <v>65</v>
      </c>
      <c r="AM113" s="299" t="s">
        <v>67</v>
      </c>
      <c r="AN113" s="270" t="s">
        <v>66</v>
      </c>
      <c r="AO113" s="270" t="s">
        <v>68</v>
      </c>
      <c r="AP113" s="270" t="s">
        <v>351</v>
      </c>
    </row>
    <row r="114" spans="1:42" s="185" customFormat="1" hidden="1" x14ac:dyDescent="0.2">
      <c r="A114" s="241">
        <v>2022</v>
      </c>
      <c r="B114" s="180" t="s">
        <v>767</v>
      </c>
      <c r="C114" s="180" t="s">
        <v>44</v>
      </c>
      <c r="D114" s="241" t="s">
        <v>768</v>
      </c>
      <c r="E114" s="241" t="s">
        <v>769</v>
      </c>
      <c r="F114" s="180" t="s">
        <v>73</v>
      </c>
      <c r="G114" s="180" t="s">
        <v>770</v>
      </c>
      <c r="H114" s="181">
        <v>44623</v>
      </c>
      <c r="I114" s="180">
        <f t="shared" si="6"/>
        <v>5</v>
      </c>
      <c r="J114" s="181">
        <v>44805</v>
      </c>
      <c r="K114" s="180" t="str">
        <f t="shared" si="7"/>
        <v>NUEVO</v>
      </c>
      <c r="L114" s="181">
        <v>44805</v>
      </c>
      <c r="M114" s="180" t="s">
        <v>771</v>
      </c>
      <c r="N114" s="180"/>
      <c r="O114" s="180">
        <v>0</v>
      </c>
      <c r="P114" s="180" t="s">
        <v>49</v>
      </c>
      <c r="Q114" s="180"/>
      <c r="R114" s="182"/>
      <c r="S114" s="180" t="s">
        <v>93</v>
      </c>
      <c r="T114" s="180" t="s">
        <v>702</v>
      </c>
      <c r="U114" s="180" t="s">
        <v>52</v>
      </c>
      <c r="V114" s="180" t="s">
        <v>702</v>
      </c>
      <c r="W114" s="180" t="s">
        <v>54</v>
      </c>
      <c r="X114" s="180" t="s">
        <v>78</v>
      </c>
      <c r="Y114" s="183">
        <v>0.23958333333333334</v>
      </c>
      <c r="Z114" s="180" t="s">
        <v>164</v>
      </c>
      <c r="AA114" s="180" t="s">
        <v>772</v>
      </c>
      <c r="AB114" s="182"/>
      <c r="AC114" s="245" t="s">
        <v>773</v>
      </c>
      <c r="AD114" s="180" t="s">
        <v>97</v>
      </c>
      <c r="AE114" s="180" t="s">
        <v>265</v>
      </c>
      <c r="AF114" s="180">
        <v>22</v>
      </c>
      <c r="AG114" s="180" t="s">
        <v>60</v>
      </c>
      <c r="AH114" s="180" t="s">
        <v>61</v>
      </c>
      <c r="AI114" s="180" t="s">
        <v>237</v>
      </c>
      <c r="AJ114" s="180" t="s">
        <v>237</v>
      </c>
      <c r="AK114" s="288" t="s">
        <v>774</v>
      </c>
      <c r="AL114" s="180" t="s">
        <v>65</v>
      </c>
      <c r="AM114" s="252" t="s">
        <v>66</v>
      </c>
      <c r="AN114" s="182" t="s">
        <v>66</v>
      </c>
      <c r="AO114" s="182" t="s">
        <v>68</v>
      </c>
      <c r="AP114" s="182" t="s">
        <v>351</v>
      </c>
    </row>
    <row r="115" spans="1:42" s="185" customFormat="1" ht="25.5" hidden="1" x14ac:dyDescent="0.2">
      <c r="A115" s="241">
        <v>2022</v>
      </c>
      <c r="B115" s="241" t="s">
        <v>767</v>
      </c>
      <c r="C115" s="241" t="s">
        <v>44</v>
      </c>
      <c r="D115" s="241" t="s">
        <v>775</v>
      </c>
      <c r="E115" s="241" t="s">
        <v>217</v>
      </c>
      <c r="F115" s="241" t="s">
        <v>73</v>
      </c>
      <c r="G115" s="241" t="s">
        <v>776</v>
      </c>
      <c r="H115" s="281">
        <v>43998</v>
      </c>
      <c r="I115" s="241">
        <f t="shared" si="6"/>
        <v>26</v>
      </c>
      <c r="J115" s="275">
        <v>44811</v>
      </c>
      <c r="K115" s="241" t="str">
        <f t="shared" si="7"/>
        <v>INTERMEDIO</v>
      </c>
      <c r="L115" s="275">
        <v>44811</v>
      </c>
      <c r="M115" s="241"/>
      <c r="N115" s="241"/>
      <c r="O115" s="241">
        <v>67</v>
      </c>
      <c r="P115" s="241" t="s">
        <v>141</v>
      </c>
      <c r="Q115" s="241" t="s">
        <v>107</v>
      </c>
      <c r="R115" s="270" t="s">
        <v>777</v>
      </c>
      <c r="S115" s="241" t="s">
        <v>142</v>
      </c>
      <c r="T115" s="241" t="s">
        <v>559</v>
      </c>
      <c r="U115" s="241" t="s">
        <v>52</v>
      </c>
      <c r="V115" s="241" t="s">
        <v>778</v>
      </c>
      <c r="W115" s="241" t="s">
        <v>172</v>
      </c>
      <c r="X115" s="241" t="s">
        <v>55</v>
      </c>
      <c r="Y115" s="276" t="s">
        <v>779</v>
      </c>
      <c r="Z115" s="241" t="s">
        <v>56</v>
      </c>
      <c r="AA115" s="241" t="s">
        <v>780</v>
      </c>
      <c r="AB115" s="270"/>
      <c r="AC115" s="277" t="s">
        <v>781</v>
      </c>
      <c r="AD115" s="241" t="s">
        <v>126</v>
      </c>
      <c r="AE115" s="241" t="s">
        <v>174</v>
      </c>
      <c r="AF115" s="241">
        <v>22</v>
      </c>
      <c r="AG115" s="241" t="s">
        <v>175</v>
      </c>
      <c r="AH115" s="241" t="s">
        <v>338</v>
      </c>
      <c r="AI115" s="241" t="s">
        <v>527</v>
      </c>
      <c r="AJ115" s="241" t="s">
        <v>177</v>
      </c>
      <c r="AK115" s="279" t="s">
        <v>782</v>
      </c>
      <c r="AL115" s="292" t="s">
        <v>65</v>
      </c>
      <c r="AM115" s="270" t="s">
        <v>66</v>
      </c>
      <c r="AN115" s="300" t="s">
        <v>66</v>
      </c>
      <c r="AO115" s="270" t="s">
        <v>68</v>
      </c>
      <c r="AP115" s="270" t="s">
        <v>351</v>
      </c>
    </row>
    <row r="116" spans="1:42" s="185" customFormat="1" hidden="1" x14ac:dyDescent="0.2">
      <c r="A116" s="241">
        <v>2022</v>
      </c>
      <c r="B116" s="241" t="s">
        <v>767</v>
      </c>
      <c r="C116" s="241" t="s">
        <v>44</v>
      </c>
      <c r="D116" s="241" t="s">
        <v>783</v>
      </c>
      <c r="E116" s="241" t="s">
        <v>784</v>
      </c>
      <c r="F116" s="241" t="s">
        <v>47</v>
      </c>
      <c r="G116" s="241" t="s">
        <v>785</v>
      </c>
      <c r="H116" s="275">
        <v>41953</v>
      </c>
      <c r="I116" s="241">
        <f t="shared" si="6"/>
        <v>93</v>
      </c>
      <c r="J116" s="275">
        <v>44813</v>
      </c>
      <c r="K116" s="241" t="str">
        <f t="shared" si="7"/>
        <v>ANTIGUO</v>
      </c>
      <c r="L116" s="275">
        <v>44816</v>
      </c>
      <c r="M116" s="275">
        <v>44817</v>
      </c>
      <c r="N116" s="241"/>
      <c r="O116" s="241">
        <v>4</v>
      </c>
      <c r="P116" s="241" t="s">
        <v>141</v>
      </c>
      <c r="Q116" s="241" t="s">
        <v>107</v>
      </c>
      <c r="R116" s="270" t="s">
        <v>243</v>
      </c>
      <c r="S116" s="241" t="s">
        <v>75</v>
      </c>
      <c r="T116" s="241" t="s">
        <v>786</v>
      </c>
      <c r="U116" s="241" t="s">
        <v>52</v>
      </c>
      <c r="V116" s="241" t="s">
        <v>787</v>
      </c>
      <c r="W116" s="241" t="s">
        <v>245</v>
      </c>
      <c r="X116" s="241" t="s">
        <v>110</v>
      </c>
      <c r="Y116" s="276">
        <v>0.14583333333333334</v>
      </c>
      <c r="Z116" s="241" t="s">
        <v>183</v>
      </c>
      <c r="AA116" s="241" t="s">
        <v>780</v>
      </c>
      <c r="AB116" s="270"/>
      <c r="AC116" s="277" t="s">
        <v>788</v>
      </c>
      <c r="AD116" s="241" t="s">
        <v>215</v>
      </c>
      <c r="AE116" s="241" t="s">
        <v>235</v>
      </c>
      <c r="AF116" s="241">
        <v>56</v>
      </c>
      <c r="AG116" s="241" t="s">
        <v>237</v>
      </c>
      <c r="AH116" s="241" t="s">
        <v>186</v>
      </c>
      <c r="AI116" s="241" t="s">
        <v>62</v>
      </c>
      <c r="AJ116" s="241" t="s">
        <v>148</v>
      </c>
      <c r="AK116" s="279" t="s">
        <v>789</v>
      </c>
      <c r="AL116" s="241" t="s">
        <v>87</v>
      </c>
      <c r="AM116" s="270" t="s">
        <v>66</v>
      </c>
      <c r="AN116" s="300" t="s">
        <v>66</v>
      </c>
      <c r="AO116" s="270" t="s">
        <v>68</v>
      </c>
      <c r="AP116" s="270" t="s">
        <v>717</v>
      </c>
    </row>
    <row r="117" spans="1:42" s="185" customFormat="1" ht="15" hidden="1" x14ac:dyDescent="0.25">
      <c r="A117" s="180">
        <v>2022</v>
      </c>
      <c r="B117" s="180" t="s">
        <v>767</v>
      </c>
      <c r="C117" s="180" t="s">
        <v>44</v>
      </c>
      <c r="D117" s="180" t="s">
        <v>708</v>
      </c>
      <c r="E117" s="180" t="s">
        <v>790</v>
      </c>
      <c r="F117" s="257" t="s">
        <v>47</v>
      </c>
      <c r="G117" s="257" t="s">
        <v>791</v>
      </c>
      <c r="H117" s="284">
        <v>44551</v>
      </c>
      <c r="I117" s="257">
        <f t="shared" si="6"/>
        <v>8</v>
      </c>
      <c r="J117" s="181">
        <v>44814</v>
      </c>
      <c r="K117" s="180" t="str">
        <f t="shared" si="7"/>
        <v>NUEVO</v>
      </c>
      <c r="L117" s="42" t="s">
        <v>792</v>
      </c>
      <c r="M117" s="42" t="s">
        <v>793</v>
      </c>
      <c r="N117" s="180"/>
      <c r="O117" s="180" t="s">
        <v>449</v>
      </c>
      <c r="P117" s="180" t="s">
        <v>49</v>
      </c>
      <c r="Q117" s="180"/>
      <c r="R117" s="182"/>
      <c r="S117" s="180" t="s">
        <v>142</v>
      </c>
      <c r="T117" s="180" t="s">
        <v>143</v>
      </c>
      <c r="U117" s="180" t="s">
        <v>52</v>
      </c>
      <c r="V117" s="180" t="s">
        <v>143</v>
      </c>
      <c r="W117" s="180" t="s">
        <v>54</v>
      </c>
      <c r="X117" s="180" t="s">
        <v>78</v>
      </c>
      <c r="Y117" s="183">
        <v>0.39583333333333331</v>
      </c>
      <c r="Z117" s="180" t="s">
        <v>154</v>
      </c>
      <c r="AA117" s="180" t="s">
        <v>780</v>
      </c>
      <c r="AB117" s="182"/>
      <c r="AC117" s="212"/>
      <c r="AD117" s="180" t="s">
        <v>126</v>
      </c>
      <c r="AE117" s="180" t="s">
        <v>253</v>
      </c>
      <c r="AF117" s="180">
        <v>29</v>
      </c>
      <c r="AG117" s="180" t="s">
        <v>254</v>
      </c>
      <c r="AH117" s="180" t="s">
        <v>441</v>
      </c>
      <c r="AI117" s="180" t="s">
        <v>62</v>
      </c>
      <c r="AJ117" s="180" t="s">
        <v>148</v>
      </c>
      <c r="AK117" s="258" t="s">
        <v>794</v>
      </c>
      <c r="AL117" s="250" t="s">
        <v>65</v>
      </c>
      <c r="AM117" s="182" t="s">
        <v>66</v>
      </c>
      <c r="AN117" s="249" t="s">
        <v>67</v>
      </c>
      <c r="AO117" s="182" t="s">
        <v>68</v>
      </c>
      <c r="AP117" s="182" t="s">
        <v>69</v>
      </c>
    </row>
    <row r="118" spans="1:42" s="185" customFormat="1" hidden="1" x14ac:dyDescent="0.2">
      <c r="A118" s="180">
        <v>2022</v>
      </c>
      <c r="B118" s="180" t="s">
        <v>767</v>
      </c>
      <c r="C118" s="180" t="s">
        <v>44</v>
      </c>
      <c r="D118" s="180" t="s">
        <v>795</v>
      </c>
      <c r="E118" s="180" t="s">
        <v>796</v>
      </c>
      <c r="F118" s="180" t="s">
        <v>47</v>
      </c>
      <c r="G118" s="180" t="s">
        <v>797</v>
      </c>
      <c r="H118" s="181">
        <v>44726</v>
      </c>
      <c r="I118" s="180">
        <f t="shared" si="6"/>
        <v>2</v>
      </c>
      <c r="J118" s="181">
        <v>44817</v>
      </c>
      <c r="K118" s="180" t="str">
        <f t="shared" si="7"/>
        <v>NUEVO</v>
      </c>
      <c r="L118" s="181">
        <v>44817</v>
      </c>
      <c r="M118" s="181">
        <v>44817</v>
      </c>
      <c r="N118" s="180"/>
      <c r="O118" s="180" t="s">
        <v>449</v>
      </c>
      <c r="P118" s="180" t="s">
        <v>49</v>
      </c>
      <c r="Q118" s="180"/>
      <c r="R118" s="182"/>
      <c r="S118" s="180" t="s">
        <v>142</v>
      </c>
      <c r="T118" s="180" t="s">
        <v>143</v>
      </c>
      <c r="U118" s="180" t="s">
        <v>52</v>
      </c>
      <c r="V118" s="180" t="s">
        <v>143</v>
      </c>
      <c r="W118" s="180" t="s">
        <v>54</v>
      </c>
      <c r="X118" s="180" t="s">
        <v>55</v>
      </c>
      <c r="Y118" s="183">
        <v>0.9902777777777777</v>
      </c>
      <c r="Z118" s="180" t="s">
        <v>96</v>
      </c>
      <c r="AA118" s="180" t="s">
        <v>798</v>
      </c>
      <c r="AB118" s="182"/>
      <c r="AC118" s="212"/>
      <c r="AD118" s="180" t="s">
        <v>126</v>
      </c>
      <c r="AE118" s="180" t="s">
        <v>253</v>
      </c>
      <c r="AF118" s="180">
        <v>19</v>
      </c>
      <c r="AG118" s="180" t="s">
        <v>254</v>
      </c>
      <c r="AH118" s="180" t="s">
        <v>186</v>
      </c>
      <c r="AI118" s="180" t="s">
        <v>62</v>
      </c>
      <c r="AJ118" s="180" t="s">
        <v>148</v>
      </c>
      <c r="AK118" s="288" t="s">
        <v>799</v>
      </c>
      <c r="AL118" s="182" t="s">
        <v>65</v>
      </c>
      <c r="AM118" s="252" t="s">
        <v>66</v>
      </c>
      <c r="AN118" s="182" t="s">
        <v>67</v>
      </c>
      <c r="AO118" s="182" t="s">
        <v>68</v>
      </c>
      <c r="AP118" s="182" t="s">
        <v>89</v>
      </c>
    </row>
    <row r="119" spans="1:42" s="185" customFormat="1" hidden="1" x14ac:dyDescent="0.2">
      <c r="A119" s="241">
        <v>2022</v>
      </c>
      <c r="B119" s="241" t="s">
        <v>767</v>
      </c>
      <c r="C119" s="241" t="s">
        <v>44</v>
      </c>
      <c r="D119" s="241" t="s">
        <v>800</v>
      </c>
      <c r="E119" s="241" t="s">
        <v>801</v>
      </c>
      <c r="F119" s="241" t="s">
        <v>47</v>
      </c>
      <c r="G119" s="241" t="s">
        <v>802</v>
      </c>
      <c r="H119" s="275">
        <v>43836</v>
      </c>
      <c r="I119" s="241">
        <f t="shared" si="6"/>
        <v>32</v>
      </c>
      <c r="J119" s="275">
        <v>44825</v>
      </c>
      <c r="K119" s="241" t="str">
        <f t="shared" si="7"/>
        <v>INTERMEDIO</v>
      </c>
      <c r="L119" s="275">
        <v>44826</v>
      </c>
      <c r="M119" s="275">
        <v>44826</v>
      </c>
      <c r="N119" s="241"/>
      <c r="O119" s="241" t="s">
        <v>449</v>
      </c>
      <c r="P119" s="241" t="s">
        <v>49</v>
      </c>
      <c r="Q119" s="241"/>
      <c r="R119" s="270"/>
      <c r="S119" s="241" t="s">
        <v>50</v>
      </c>
      <c r="T119" s="180" t="s">
        <v>135</v>
      </c>
      <c r="U119" s="241" t="s">
        <v>52</v>
      </c>
      <c r="V119" s="241" t="s">
        <v>123</v>
      </c>
      <c r="W119" s="241" t="s">
        <v>54</v>
      </c>
      <c r="X119" s="241" t="s">
        <v>55</v>
      </c>
      <c r="Y119" s="276">
        <v>0.79166666666666663</v>
      </c>
      <c r="Z119" s="241" t="s">
        <v>56</v>
      </c>
      <c r="AA119" s="241" t="s">
        <v>803</v>
      </c>
      <c r="AB119" s="270"/>
      <c r="AC119" s="277" t="s">
        <v>804</v>
      </c>
      <c r="AD119" s="241" t="s">
        <v>58</v>
      </c>
      <c r="AE119" s="187" t="s">
        <v>522</v>
      </c>
      <c r="AF119" s="241">
        <v>41</v>
      </c>
      <c r="AG119" s="241" t="s">
        <v>60</v>
      </c>
      <c r="AH119" s="241" t="s">
        <v>61</v>
      </c>
      <c r="AI119" s="241" t="s">
        <v>408</v>
      </c>
      <c r="AJ119" s="241" t="s">
        <v>177</v>
      </c>
      <c r="AK119" s="289" t="s">
        <v>805</v>
      </c>
      <c r="AL119" s="241" t="s">
        <v>65</v>
      </c>
      <c r="AM119" s="299" t="s">
        <v>66</v>
      </c>
      <c r="AN119" s="270" t="s">
        <v>66</v>
      </c>
      <c r="AO119" s="270" t="s">
        <v>68</v>
      </c>
      <c r="AP119" s="270" t="s">
        <v>69</v>
      </c>
    </row>
    <row r="120" spans="1:42" s="185" customFormat="1" ht="26.25" hidden="1" x14ac:dyDescent="0.25">
      <c r="A120" s="180">
        <v>2022</v>
      </c>
      <c r="B120" s="180" t="s">
        <v>767</v>
      </c>
      <c r="C120" s="180" t="s">
        <v>44</v>
      </c>
      <c r="D120" s="180" t="s">
        <v>806</v>
      </c>
      <c r="E120" s="180" t="s">
        <v>807</v>
      </c>
      <c r="F120" s="180" t="s">
        <v>73</v>
      </c>
      <c r="G120" s="180" t="s">
        <v>808</v>
      </c>
      <c r="H120" s="181">
        <v>38930</v>
      </c>
      <c r="I120" s="180">
        <f t="shared" si="6"/>
        <v>193</v>
      </c>
      <c r="J120" s="181">
        <v>44825</v>
      </c>
      <c r="K120" s="180" t="str">
        <f t="shared" si="7"/>
        <v>ANTIGUO</v>
      </c>
      <c r="L120" s="42" t="s">
        <v>809</v>
      </c>
      <c r="M120" s="42" t="s">
        <v>809</v>
      </c>
      <c r="N120" s="180"/>
      <c r="O120" s="180" t="s">
        <v>449</v>
      </c>
      <c r="P120" s="180" t="s">
        <v>49</v>
      </c>
      <c r="Q120" s="180" t="s">
        <v>107</v>
      </c>
      <c r="R120" s="182" t="s">
        <v>810</v>
      </c>
      <c r="S120" s="180" t="s">
        <v>142</v>
      </c>
      <c r="T120" s="180" t="s">
        <v>559</v>
      </c>
      <c r="U120" s="180" t="s">
        <v>52</v>
      </c>
      <c r="V120" s="180" t="s">
        <v>559</v>
      </c>
      <c r="W120" s="190" t="s">
        <v>163</v>
      </c>
      <c r="X120" s="180" t="s">
        <v>78</v>
      </c>
      <c r="Y120" s="183">
        <v>0.58680555555555558</v>
      </c>
      <c r="Z120" s="180" t="s">
        <v>56</v>
      </c>
      <c r="AA120" s="180" t="s">
        <v>803</v>
      </c>
      <c r="AB120" s="182"/>
      <c r="AC120" s="212"/>
      <c r="AD120" s="180" t="s">
        <v>126</v>
      </c>
      <c r="AE120" s="180" t="s">
        <v>461</v>
      </c>
      <c r="AF120" s="180">
        <v>42</v>
      </c>
      <c r="AG120" s="180" t="s">
        <v>175</v>
      </c>
      <c r="AH120" s="180" t="s">
        <v>207</v>
      </c>
      <c r="AI120" s="180" t="s">
        <v>62</v>
      </c>
      <c r="AJ120" s="180" t="s">
        <v>148</v>
      </c>
      <c r="AK120" s="288" t="s">
        <v>811</v>
      </c>
      <c r="AL120" s="182" t="s">
        <v>65</v>
      </c>
      <c r="AM120" s="252" t="s">
        <v>66</v>
      </c>
      <c r="AN120" s="182" t="s">
        <v>67</v>
      </c>
      <c r="AO120" s="182" t="s">
        <v>68</v>
      </c>
      <c r="AP120" s="182" t="s">
        <v>89</v>
      </c>
    </row>
    <row r="121" spans="1:42" s="185" customFormat="1" ht="15" hidden="1" x14ac:dyDescent="0.25">
      <c r="A121" s="180">
        <v>2022</v>
      </c>
      <c r="B121" s="180" t="s">
        <v>767</v>
      </c>
      <c r="C121" s="180" t="s">
        <v>44</v>
      </c>
      <c r="D121" s="180" t="s">
        <v>812</v>
      </c>
      <c r="E121" s="180" t="s">
        <v>169</v>
      </c>
      <c r="F121" s="180" t="s">
        <v>73</v>
      </c>
      <c r="G121" s="180" t="s">
        <v>813</v>
      </c>
      <c r="H121" s="181">
        <v>41757</v>
      </c>
      <c r="I121" s="180">
        <f t="shared" si="6"/>
        <v>100</v>
      </c>
      <c r="J121" s="181">
        <v>44825</v>
      </c>
      <c r="K121" s="180" t="str">
        <f t="shared" si="7"/>
        <v>ANTIGUO</v>
      </c>
      <c r="L121" s="180" t="s">
        <v>809</v>
      </c>
      <c r="M121" s="42" t="s">
        <v>809</v>
      </c>
      <c r="N121" s="180"/>
      <c r="O121" s="180" t="s">
        <v>449</v>
      </c>
      <c r="P121" s="180" t="s">
        <v>49</v>
      </c>
      <c r="Q121" s="180"/>
      <c r="R121" s="182"/>
      <c r="S121" s="180" t="s">
        <v>75</v>
      </c>
      <c r="T121" s="180" t="s">
        <v>76</v>
      </c>
      <c r="U121" s="180" t="s">
        <v>52</v>
      </c>
      <c r="V121" s="180" t="s">
        <v>814</v>
      </c>
      <c r="W121" s="180" t="s">
        <v>54</v>
      </c>
      <c r="X121" s="180" t="s">
        <v>55</v>
      </c>
      <c r="Y121" s="183">
        <v>0.71180555555555547</v>
      </c>
      <c r="Z121" s="180" t="s">
        <v>56</v>
      </c>
      <c r="AA121" s="180" t="s">
        <v>803</v>
      </c>
      <c r="AB121" s="182"/>
      <c r="AC121" s="212"/>
      <c r="AD121" s="180" t="s">
        <v>215</v>
      </c>
      <c r="AE121" s="180" t="s">
        <v>82</v>
      </c>
      <c r="AF121" s="180">
        <v>69</v>
      </c>
      <c r="AG121" s="180" t="s">
        <v>237</v>
      </c>
      <c r="AH121" s="180" t="s">
        <v>414</v>
      </c>
      <c r="AI121" s="180" t="s">
        <v>237</v>
      </c>
      <c r="AJ121" s="180" t="s">
        <v>85</v>
      </c>
      <c r="AK121" s="258" t="s">
        <v>815</v>
      </c>
      <c r="AL121" s="255" t="s">
        <v>65</v>
      </c>
      <c r="AM121" s="182" t="s">
        <v>67</v>
      </c>
      <c r="AN121" s="182" t="s">
        <v>67</v>
      </c>
      <c r="AO121" s="182" t="s">
        <v>68</v>
      </c>
      <c r="AP121" s="182" t="s">
        <v>89</v>
      </c>
    </row>
    <row r="122" spans="1:42" s="185" customFormat="1" ht="26.25" hidden="1" x14ac:dyDescent="0.25">
      <c r="A122" s="241">
        <v>2022</v>
      </c>
      <c r="B122" s="180" t="s">
        <v>816</v>
      </c>
      <c r="C122" s="180" t="s">
        <v>44</v>
      </c>
      <c r="D122" s="241" t="s">
        <v>817</v>
      </c>
      <c r="E122" s="241" t="s">
        <v>818</v>
      </c>
      <c r="F122" s="180" t="s">
        <v>73</v>
      </c>
      <c r="G122" s="180" t="s">
        <v>819</v>
      </c>
      <c r="H122" s="10">
        <v>43332</v>
      </c>
      <c r="I122" s="180">
        <f t="shared" si="6"/>
        <v>49</v>
      </c>
      <c r="J122" s="181">
        <v>44838</v>
      </c>
      <c r="K122" s="180" t="str">
        <f t="shared" si="7"/>
        <v>ANTIGUO</v>
      </c>
      <c r="L122" s="181">
        <v>44838</v>
      </c>
      <c r="M122" s="181">
        <v>44839</v>
      </c>
      <c r="N122" s="180"/>
      <c r="O122" s="180" t="s">
        <v>449</v>
      </c>
      <c r="P122" s="180" t="s">
        <v>141</v>
      </c>
      <c r="Q122" s="180" t="s">
        <v>107</v>
      </c>
      <c r="R122" s="182" t="s">
        <v>548</v>
      </c>
      <c r="S122" s="180" t="s">
        <v>93</v>
      </c>
      <c r="T122" s="180" t="s">
        <v>549</v>
      </c>
      <c r="U122" s="180" t="s">
        <v>52</v>
      </c>
      <c r="V122" s="180" t="s">
        <v>583</v>
      </c>
      <c r="W122" s="180" t="s">
        <v>820</v>
      </c>
      <c r="X122" s="180" t="s">
        <v>55</v>
      </c>
      <c r="Y122" s="183">
        <v>0.65972222222222221</v>
      </c>
      <c r="Z122" s="180" t="s">
        <v>96</v>
      </c>
      <c r="AA122" s="180" t="s">
        <v>821</v>
      </c>
      <c r="AB122" s="182"/>
      <c r="AC122" s="214" t="s">
        <v>822</v>
      </c>
      <c r="AD122" s="180" t="s">
        <v>97</v>
      </c>
      <c r="AE122" s="180" t="s">
        <v>98</v>
      </c>
      <c r="AF122" s="180">
        <v>27</v>
      </c>
      <c r="AG122" s="180" t="s">
        <v>175</v>
      </c>
      <c r="AH122" s="180" t="s">
        <v>61</v>
      </c>
      <c r="AI122" s="180" t="s">
        <v>100</v>
      </c>
      <c r="AJ122" s="180" t="s">
        <v>130</v>
      </c>
      <c r="AK122" s="184" t="s">
        <v>823</v>
      </c>
      <c r="AL122" s="180" t="s">
        <v>65</v>
      </c>
      <c r="AM122" s="182" t="s">
        <v>67</v>
      </c>
      <c r="AN122" s="182" t="s">
        <v>66</v>
      </c>
      <c r="AO122" s="182" t="s">
        <v>68</v>
      </c>
      <c r="AP122" s="182" t="s">
        <v>69</v>
      </c>
    </row>
    <row r="123" spans="1:42" s="185" customFormat="1" ht="15" hidden="1" x14ac:dyDescent="0.25">
      <c r="A123" s="180">
        <v>2022</v>
      </c>
      <c r="B123" s="180" t="s">
        <v>816</v>
      </c>
      <c r="C123" s="180" t="s">
        <v>44</v>
      </c>
      <c r="D123" s="180" t="s">
        <v>824</v>
      </c>
      <c r="E123" s="180" t="s">
        <v>825</v>
      </c>
      <c r="F123" s="180" t="s">
        <v>47</v>
      </c>
      <c r="G123" s="180" t="s">
        <v>826</v>
      </c>
      <c r="H123" s="10">
        <v>43864</v>
      </c>
      <c r="I123" s="180">
        <f t="shared" si="6"/>
        <v>32</v>
      </c>
      <c r="J123" s="181">
        <v>44840</v>
      </c>
      <c r="K123" s="180" t="s">
        <v>827</v>
      </c>
      <c r="L123" s="9" t="s">
        <v>828</v>
      </c>
      <c r="M123" s="9" t="s">
        <v>829</v>
      </c>
      <c r="N123" s="180"/>
      <c r="O123" s="180"/>
      <c r="P123" s="180" t="s">
        <v>49</v>
      </c>
      <c r="Q123" s="180"/>
      <c r="R123" s="182"/>
      <c r="S123" s="180" t="s">
        <v>93</v>
      </c>
      <c r="T123" s="1" t="s">
        <v>830</v>
      </c>
      <c r="U123" s="180" t="s">
        <v>52</v>
      </c>
      <c r="V123" s="180" t="s">
        <v>135</v>
      </c>
      <c r="W123" s="180" t="s">
        <v>54</v>
      </c>
      <c r="X123" s="180" t="s">
        <v>55</v>
      </c>
      <c r="Y123" s="183">
        <v>0.91666666666666663</v>
      </c>
      <c r="Z123" s="180" t="s">
        <v>96</v>
      </c>
      <c r="AA123" s="180" t="s">
        <v>831</v>
      </c>
      <c r="AB123" s="182"/>
      <c r="AC123" s="212"/>
      <c r="AD123" s="180" t="s">
        <v>97</v>
      </c>
      <c r="AE123" s="180" t="s">
        <v>522</v>
      </c>
      <c r="AF123" s="180">
        <v>32</v>
      </c>
      <c r="AG123" s="180" t="s">
        <v>237</v>
      </c>
      <c r="AH123" s="180" t="s">
        <v>84</v>
      </c>
      <c r="AI123" s="180" t="s">
        <v>62</v>
      </c>
      <c r="AJ123" s="180" t="s">
        <v>148</v>
      </c>
      <c r="AK123" s="248" t="s">
        <v>832</v>
      </c>
      <c r="AL123" s="182" t="s">
        <v>87</v>
      </c>
      <c r="AM123" s="182" t="s">
        <v>66</v>
      </c>
      <c r="AN123" s="182" t="s">
        <v>67</v>
      </c>
      <c r="AO123" s="182" t="s">
        <v>68</v>
      </c>
      <c r="AP123" s="182"/>
    </row>
    <row r="124" spans="1:42" s="185" customFormat="1" hidden="1" x14ac:dyDescent="0.2">
      <c r="A124" s="241">
        <v>2022</v>
      </c>
      <c r="B124" s="180" t="s">
        <v>816</v>
      </c>
      <c r="C124" s="180" t="s">
        <v>44</v>
      </c>
      <c r="D124" s="241" t="s">
        <v>833</v>
      </c>
      <c r="E124" s="241" t="s">
        <v>511</v>
      </c>
      <c r="F124" s="180" t="s">
        <v>73</v>
      </c>
      <c r="G124" s="180" t="s">
        <v>834</v>
      </c>
      <c r="H124" s="181">
        <v>41396</v>
      </c>
      <c r="I124" s="180">
        <f t="shared" si="6"/>
        <v>113</v>
      </c>
      <c r="J124" s="181">
        <v>44841</v>
      </c>
      <c r="K124" s="180" t="str">
        <f t="shared" ref="K124:K133" si="8">IF(I124&lt;=18,"NUEVO",IF(I124&lt;=36,"INTERMEDIO","ANTIGUO"))</f>
        <v>ANTIGUO</v>
      </c>
      <c r="L124" s="181">
        <v>44841</v>
      </c>
      <c r="M124" s="181">
        <v>44841</v>
      </c>
      <c r="N124" s="180"/>
      <c r="O124" s="180" t="s">
        <v>449</v>
      </c>
      <c r="P124" s="180" t="s">
        <v>49</v>
      </c>
      <c r="Q124" s="180"/>
      <c r="R124" s="182"/>
      <c r="S124" s="180" t="s">
        <v>219</v>
      </c>
      <c r="T124" s="180" t="s">
        <v>590</v>
      </c>
      <c r="U124" s="180" t="s">
        <v>52</v>
      </c>
      <c r="V124" s="180" t="s">
        <v>406</v>
      </c>
      <c r="W124" s="180" t="s">
        <v>54</v>
      </c>
      <c r="X124" s="180" t="s">
        <v>78</v>
      </c>
      <c r="Y124" s="183">
        <v>0.22500000000000001</v>
      </c>
      <c r="Z124" s="180" t="s">
        <v>183</v>
      </c>
      <c r="AA124" s="180" t="s">
        <v>821</v>
      </c>
      <c r="AB124" s="182"/>
      <c r="AC124" s="214" t="s">
        <v>835</v>
      </c>
      <c r="AD124" s="180" t="s">
        <v>221</v>
      </c>
      <c r="AE124" s="180" t="s">
        <v>222</v>
      </c>
      <c r="AF124" s="180">
        <v>29</v>
      </c>
      <c r="AG124" s="180" t="s">
        <v>237</v>
      </c>
      <c r="AH124" s="180" t="s">
        <v>207</v>
      </c>
      <c r="AI124" s="180" t="s">
        <v>408</v>
      </c>
      <c r="AJ124" s="180" t="s">
        <v>156</v>
      </c>
      <c r="AK124" s="184" t="s">
        <v>836</v>
      </c>
      <c r="AL124" s="257" t="s">
        <v>65</v>
      </c>
      <c r="AM124" s="182" t="s">
        <v>67</v>
      </c>
      <c r="AN124" s="182" t="s">
        <v>66</v>
      </c>
      <c r="AO124" s="182" t="s">
        <v>68</v>
      </c>
      <c r="AP124" s="182" t="s">
        <v>717</v>
      </c>
    </row>
    <row r="125" spans="1:42" s="185" customFormat="1" ht="15" hidden="1" x14ac:dyDescent="0.25">
      <c r="A125" s="241">
        <v>2022</v>
      </c>
      <c r="B125" s="180" t="s">
        <v>816</v>
      </c>
      <c r="C125" s="180" t="s">
        <v>44</v>
      </c>
      <c r="D125" s="241" t="s">
        <v>837</v>
      </c>
      <c r="E125" s="241" t="s">
        <v>838</v>
      </c>
      <c r="F125" s="180" t="s">
        <v>47</v>
      </c>
      <c r="G125" s="180" t="s">
        <v>839</v>
      </c>
      <c r="H125" s="181">
        <v>44326</v>
      </c>
      <c r="I125" s="180">
        <f t="shared" si="6"/>
        <v>17</v>
      </c>
      <c r="J125" s="181">
        <v>44848</v>
      </c>
      <c r="K125" s="180" t="str">
        <f t="shared" si="8"/>
        <v>NUEVO</v>
      </c>
      <c r="L125" s="181">
        <v>44848</v>
      </c>
      <c r="M125" s="42" t="s">
        <v>840</v>
      </c>
      <c r="N125" s="180"/>
      <c r="O125" s="180" t="s">
        <v>449</v>
      </c>
      <c r="P125" s="180" t="s">
        <v>141</v>
      </c>
      <c r="Q125" s="180"/>
      <c r="R125" s="182"/>
      <c r="S125" s="180" t="s">
        <v>50</v>
      </c>
      <c r="T125" s="180" t="s">
        <v>135</v>
      </c>
      <c r="U125" s="180" t="s">
        <v>52</v>
      </c>
      <c r="V125" s="180" t="s">
        <v>841</v>
      </c>
      <c r="W125" s="180" t="s">
        <v>54</v>
      </c>
      <c r="X125" s="180" t="s">
        <v>55</v>
      </c>
      <c r="Y125" s="183">
        <v>0.78125</v>
      </c>
      <c r="Z125" s="180" t="s">
        <v>183</v>
      </c>
      <c r="AA125" s="180" t="s">
        <v>831</v>
      </c>
      <c r="AB125" s="182"/>
      <c r="AC125" s="214" t="s">
        <v>842</v>
      </c>
      <c r="AD125" s="180" t="s">
        <v>58</v>
      </c>
      <c r="AE125" s="180" t="s">
        <v>59</v>
      </c>
      <c r="AF125" s="180">
        <v>24</v>
      </c>
      <c r="AG125" s="180" t="s">
        <v>237</v>
      </c>
      <c r="AH125" s="180" t="s">
        <v>113</v>
      </c>
      <c r="AI125" s="180" t="s">
        <v>62</v>
      </c>
      <c r="AJ125" s="180" t="s">
        <v>148</v>
      </c>
      <c r="AK125" s="251" t="s">
        <v>843</v>
      </c>
      <c r="AL125" s="180" t="s">
        <v>87</v>
      </c>
      <c r="AM125" s="252" t="s">
        <v>66</v>
      </c>
      <c r="AN125" s="182" t="s">
        <v>66</v>
      </c>
      <c r="AO125" s="182" t="s">
        <v>844</v>
      </c>
      <c r="AP125" s="182" t="s">
        <v>717</v>
      </c>
    </row>
    <row r="126" spans="1:42" s="185" customFormat="1" ht="26.25" hidden="1" x14ac:dyDescent="0.25">
      <c r="A126" s="187">
        <v>2022</v>
      </c>
      <c r="B126" s="187" t="s">
        <v>816</v>
      </c>
      <c r="C126" s="187" t="s">
        <v>44</v>
      </c>
      <c r="D126" s="187" t="s">
        <v>845</v>
      </c>
      <c r="E126" s="187" t="s">
        <v>846</v>
      </c>
      <c r="F126" s="180" t="s">
        <v>47</v>
      </c>
      <c r="G126" s="180" t="s">
        <v>847</v>
      </c>
      <c r="H126" s="284">
        <v>44781</v>
      </c>
      <c r="I126" s="180">
        <f t="shared" si="6"/>
        <v>2</v>
      </c>
      <c r="J126" s="181">
        <v>44851</v>
      </c>
      <c r="K126" s="180" t="str">
        <f t="shared" si="8"/>
        <v>NUEVO</v>
      </c>
      <c r="L126" s="42" t="s">
        <v>848</v>
      </c>
      <c r="M126" s="181">
        <v>44851</v>
      </c>
      <c r="N126" s="180"/>
      <c r="O126" s="180">
        <v>0</v>
      </c>
      <c r="P126" s="180" t="s">
        <v>49</v>
      </c>
      <c r="Q126" s="180" t="s">
        <v>107</v>
      </c>
      <c r="R126" s="182" t="s">
        <v>777</v>
      </c>
      <c r="S126" s="180" t="s">
        <v>142</v>
      </c>
      <c r="T126" s="180" t="s">
        <v>143</v>
      </c>
      <c r="U126" s="180" t="s">
        <v>52</v>
      </c>
      <c r="V126" s="180" t="s">
        <v>849</v>
      </c>
      <c r="W126" s="180" t="s">
        <v>849</v>
      </c>
      <c r="X126" s="180" t="s">
        <v>55</v>
      </c>
      <c r="Y126" s="183">
        <v>0.76041666666666663</v>
      </c>
      <c r="Z126" s="180" t="s">
        <v>79</v>
      </c>
      <c r="AA126" s="180" t="s">
        <v>850</v>
      </c>
      <c r="AB126" s="182"/>
      <c r="AC126" s="212"/>
      <c r="AD126" s="180" t="s">
        <v>126</v>
      </c>
      <c r="AE126" s="180" t="s">
        <v>146</v>
      </c>
      <c r="AF126" s="180">
        <v>28</v>
      </c>
      <c r="AG126" s="180" t="s">
        <v>175</v>
      </c>
      <c r="AH126" s="180" t="s">
        <v>61</v>
      </c>
      <c r="AI126" s="180" t="s">
        <v>527</v>
      </c>
      <c r="AJ126" s="180" t="s">
        <v>177</v>
      </c>
      <c r="AK126" s="184" t="s">
        <v>851</v>
      </c>
      <c r="AL126" s="255" t="s">
        <v>65</v>
      </c>
      <c r="AM126" s="182" t="s">
        <v>66</v>
      </c>
      <c r="AN126" s="182" t="s">
        <v>67</v>
      </c>
      <c r="AO126" s="182" t="s">
        <v>68</v>
      </c>
      <c r="AP126" s="182" t="s">
        <v>351</v>
      </c>
    </row>
    <row r="127" spans="1:42" s="185" customFormat="1" hidden="1" x14ac:dyDescent="0.2">
      <c r="A127" s="241">
        <v>2022</v>
      </c>
      <c r="B127" s="180" t="s">
        <v>816</v>
      </c>
      <c r="C127" s="180" t="s">
        <v>44</v>
      </c>
      <c r="D127" s="241" t="s">
        <v>852</v>
      </c>
      <c r="E127" s="241" t="s">
        <v>853</v>
      </c>
      <c r="F127" s="180" t="s">
        <v>47</v>
      </c>
      <c r="G127" s="190" t="s">
        <v>854</v>
      </c>
      <c r="H127" s="181">
        <v>44567</v>
      </c>
      <c r="I127" s="180">
        <f t="shared" si="6"/>
        <v>9</v>
      </c>
      <c r="J127" s="181">
        <v>44851</v>
      </c>
      <c r="K127" s="180" t="str">
        <f t="shared" si="8"/>
        <v>NUEVO</v>
      </c>
      <c r="L127" s="181">
        <v>44852</v>
      </c>
      <c r="M127" s="180"/>
      <c r="N127" s="180"/>
      <c r="O127" s="180">
        <v>15</v>
      </c>
      <c r="P127" s="180" t="s">
        <v>141</v>
      </c>
      <c r="Q127" s="180" t="s">
        <v>107</v>
      </c>
      <c r="R127" s="182"/>
      <c r="S127" s="180" t="s">
        <v>75</v>
      </c>
      <c r="T127" s="180" t="s">
        <v>855</v>
      </c>
      <c r="U127" s="180" t="s">
        <v>52</v>
      </c>
      <c r="V127" s="180" t="s">
        <v>730</v>
      </c>
      <c r="W127" s="180" t="s">
        <v>163</v>
      </c>
      <c r="X127" s="180" t="s">
        <v>110</v>
      </c>
      <c r="Y127" s="183">
        <v>0.94791666666666663</v>
      </c>
      <c r="Z127" s="180" t="s">
        <v>79</v>
      </c>
      <c r="AA127" s="180" t="s">
        <v>850</v>
      </c>
      <c r="AB127" s="182"/>
      <c r="AC127" s="214" t="s">
        <v>856</v>
      </c>
      <c r="AD127" s="180" t="s">
        <v>215</v>
      </c>
      <c r="AE127" s="180" t="s">
        <v>857</v>
      </c>
      <c r="AF127" s="180">
        <v>46</v>
      </c>
      <c r="AG127" s="180" t="s">
        <v>175</v>
      </c>
      <c r="AH127" s="180" t="s">
        <v>858</v>
      </c>
      <c r="AI127" s="180" t="s">
        <v>62</v>
      </c>
      <c r="AJ127" s="180" t="s">
        <v>148</v>
      </c>
      <c r="AK127" s="184" t="s">
        <v>859</v>
      </c>
      <c r="AL127" s="180" t="s">
        <v>87</v>
      </c>
      <c r="AM127" s="182" t="s">
        <v>66</v>
      </c>
      <c r="AN127" s="182" t="s">
        <v>66</v>
      </c>
      <c r="AO127" s="182" t="s">
        <v>68</v>
      </c>
      <c r="AP127" s="182" t="s">
        <v>351</v>
      </c>
    </row>
    <row r="128" spans="1:42" s="185" customFormat="1" ht="15" hidden="1" x14ac:dyDescent="0.2">
      <c r="A128" s="180">
        <v>2022</v>
      </c>
      <c r="B128" s="180" t="s">
        <v>816</v>
      </c>
      <c r="C128" s="180" t="s">
        <v>44</v>
      </c>
      <c r="D128" s="180" t="s">
        <v>860</v>
      </c>
      <c r="E128" s="180" t="s">
        <v>861</v>
      </c>
      <c r="F128" s="180" t="s">
        <v>47</v>
      </c>
      <c r="G128" s="180" t="s">
        <v>862</v>
      </c>
      <c r="H128" s="253">
        <v>37363</v>
      </c>
      <c r="I128" s="180">
        <f t="shared" si="6"/>
        <v>246</v>
      </c>
      <c r="J128" s="181">
        <v>44852</v>
      </c>
      <c r="K128" s="180" t="str">
        <f t="shared" si="8"/>
        <v>ANTIGUO</v>
      </c>
      <c r="L128" s="181"/>
      <c r="M128" s="180"/>
      <c r="N128" s="180"/>
      <c r="O128" s="180"/>
      <c r="P128" s="180" t="s">
        <v>49</v>
      </c>
      <c r="Q128" s="180"/>
      <c r="R128" s="182"/>
      <c r="S128" s="180" t="s">
        <v>50</v>
      </c>
      <c r="T128" s="180" t="s">
        <v>730</v>
      </c>
      <c r="U128" s="180" t="s">
        <v>52</v>
      </c>
      <c r="V128" s="180" t="s">
        <v>855</v>
      </c>
      <c r="W128" s="180" t="s">
        <v>863</v>
      </c>
      <c r="X128" s="180" t="s">
        <v>55</v>
      </c>
      <c r="Y128" s="183">
        <v>0.89583333333333337</v>
      </c>
      <c r="Z128" s="180" t="s">
        <v>96</v>
      </c>
      <c r="AA128" s="180" t="s">
        <v>850</v>
      </c>
      <c r="AB128" s="182"/>
      <c r="AC128" s="212"/>
      <c r="AD128" s="180" t="s">
        <v>58</v>
      </c>
      <c r="AE128" s="180" t="s">
        <v>228</v>
      </c>
      <c r="AF128" s="180">
        <v>43</v>
      </c>
      <c r="AG128" s="180" t="s">
        <v>60</v>
      </c>
      <c r="AH128" s="180" t="s">
        <v>338</v>
      </c>
      <c r="AI128" s="180" t="s">
        <v>62</v>
      </c>
      <c r="AJ128" s="180" t="s">
        <v>148</v>
      </c>
      <c r="AK128" s="184" t="s">
        <v>864</v>
      </c>
      <c r="AL128" s="297" t="s">
        <v>87</v>
      </c>
      <c r="AM128" s="182" t="s">
        <v>66</v>
      </c>
      <c r="AN128" s="182" t="s">
        <v>67</v>
      </c>
      <c r="AO128" s="182" t="s">
        <v>865</v>
      </c>
      <c r="AP128" s="182" t="s">
        <v>717</v>
      </c>
    </row>
    <row r="129" spans="1:42" s="185" customFormat="1" ht="15" hidden="1" x14ac:dyDescent="0.25">
      <c r="A129" s="180">
        <v>2022</v>
      </c>
      <c r="B129" s="180" t="s">
        <v>816</v>
      </c>
      <c r="C129" s="180" t="s">
        <v>866</v>
      </c>
      <c r="D129" s="180" t="s">
        <v>867</v>
      </c>
      <c r="E129" s="180" t="s">
        <v>868</v>
      </c>
      <c r="F129" s="180" t="s">
        <v>73</v>
      </c>
      <c r="G129" s="1" t="s">
        <v>869</v>
      </c>
      <c r="H129" s="10">
        <v>44419</v>
      </c>
      <c r="I129" s="180">
        <f t="shared" si="6"/>
        <v>14</v>
      </c>
      <c r="J129" s="181">
        <v>44852</v>
      </c>
      <c r="K129" s="180" t="str">
        <f t="shared" si="8"/>
        <v>NUEVO</v>
      </c>
      <c r="L129" s="181"/>
      <c r="M129" s="180"/>
      <c r="N129" s="180"/>
      <c r="O129" s="180"/>
      <c r="P129" s="180" t="s">
        <v>49</v>
      </c>
      <c r="Q129" s="180"/>
      <c r="R129" s="182"/>
      <c r="S129" s="180" t="s">
        <v>50</v>
      </c>
      <c r="T129" s="180" t="s">
        <v>730</v>
      </c>
      <c r="U129" s="180" t="s">
        <v>52</v>
      </c>
      <c r="V129" s="180" t="s">
        <v>855</v>
      </c>
      <c r="W129" s="180" t="s">
        <v>54</v>
      </c>
      <c r="X129" s="180" t="s">
        <v>55</v>
      </c>
      <c r="Y129" s="183">
        <v>0.70833333333333337</v>
      </c>
      <c r="Z129" s="180" t="s">
        <v>96</v>
      </c>
      <c r="AA129" s="180" t="s">
        <v>850</v>
      </c>
      <c r="AB129" s="182"/>
      <c r="AC129" s="212"/>
      <c r="AD129" s="180" t="s">
        <v>58</v>
      </c>
      <c r="AE129" s="180" t="s">
        <v>228</v>
      </c>
      <c r="AF129" s="180">
        <v>50</v>
      </c>
      <c r="AG129" s="180" t="s">
        <v>254</v>
      </c>
      <c r="AH129" s="180" t="s">
        <v>113</v>
      </c>
      <c r="AI129" s="180" t="s">
        <v>237</v>
      </c>
      <c r="AJ129" s="180" t="s">
        <v>115</v>
      </c>
      <c r="AK129" s="251" t="s">
        <v>870</v>
      </c>
      <c r="AL129" s="187" t="s">
        <v>87</v>
      </c>
      <c r="AM129" s="252" t="s">
        <v>66</v>
      </c>
      <c r="AN129" s="182" t="s">
        <v>67</v>
      </c>
      <c r="AO129" s="182" t="s">
        <v>865</v>
      </c>
      <c r="AP129" s="182" t="s">
        <v>717</v>
      </c>
    </row>
    <row r="130" spans="1:42" s="185" customFormat="1" hidden="1" x14ac:dyDescent="0.2">
      <c r="A130" s="241">
        <v>2022</v>
      </c>
      <c r="B130" s="180" t="s">
        <v>816</v>
      </c>
      <c r="C130" s="180" t="s">
        <v>44</v>
      </c>
      <c r="D130" s="241" t="s">
        <v>871</v>
      </c>
      <c r="E130" s="241" t="s">
        <v>872</v>
      </c>
      <c r="F130" s="180" t="s">
        <v>73</v>
      </c>
      <c r="G130" s="180" t="s">
        <v>873</v>
      </c>
      <c r="H130" s="254">
        <v>44144</v>
      </c>
      <c r="I130" s="180">
        <f t="shared" si="6"/>
        <v>23</v>
      </c>
      <c r="J130" s="181">
        <v>44854</v>
      </c>
      <c r="K130" s="180" t="str">
        <f t="shared" si="8"/>
        <v>INTERMEDIO</v>
      </c>
      <c r="L130" s="181">
        <v>44854</v>
      </c>
      <c r="M130" s="181">
        <v>44976</v>
      </c>
      <c r="N130" s="180"/>
      <c r="O130" s="180"/>
      <c r="P130" s="180" t="s">
        <v>141</v>
      </c>
      <c r="Q130" s="180"/>
      <c r="R130" s="182"/>
      <c r="S130" s="180" t="s">
        <v>50</v>
      </c>
      <c r="T130" s="180" t="s">
        <v>730</v>
      </c>
      <c r="U130" s="180" t="s">
        <v>52</v>
      </c>
      <c r="V130" s="180" t="s">
        <v>874</v>
      </c>
      <c r="W130" s="180" t="s">
        <v>54</v>
      </c>
      <c r="X130" s="180" t="s">
        <v>55</v>
      </c>
      <c r="Y130" s="183">
        <v>0.69791666666666663</v>
      </c>
      <c r="Z130" s="180" t="s">
        <v>164</v>
      </c>
      <c r="AA130" s="180" t="s">
        <v>850</v>
      </c>
      <c r="AB130" s="182"/>
      <c r="AC130" s="214" t="s">
        <v>875</v>
      </c>
      <c r="AD130" s="180" t="s">
        <v>58</v>
      </c>
      <c r="AE130" s="180" t="s">
        <v>59</v>
      </c>
      <c r="AF130" s="180">
        <v>30</v>
      </c>
      <c r="AG130" s="180" t="s">
        <v>237</v>
      </c>
      <c r="AH130" s="180" t="s">
        <v>84</v>
      </c>
      <c r="AI130" s="180" t="s">
        <v>62</v>
      </c>
      <c r="AJ130" s="180" t="s">
        <v>63</v>
      </c>
      <c r="AK130" s="251" t="s">
        <v>876</v>
      </c>
      <c r="AL130" s="187" t="s">
        <v>65</v>
      </c>
      <c r="AM130" s="252" t="s">
        <v>67</v>
      </c>
      <c r="AN130" s="182" t="s">
        <v>66</v>
      </c>
      <c r="AO130" s="182" t="s">
        <v>865</v>
      </c>
      <c r="AP130" s="182" t="s">
        <v>69</v>
      </c>
    </row>
    <row r="131" spans="1:42" s="185" customFormat="1" ht="15" hidden="1" x14ac:dyDescent="0.2">
      <c r="A131" s="180">
        <v>2022</v>
      </c>
      <c r="B131" s="180" t="s">
        <v>816</v>
      </c>
      <c r="C131" s="180" t="s">
        <v>44</v>
      </c>
      <c r="D131" s="180" t="s">
        <v>877</v>
      </c>
      <c r="E131" s="180" t="s">
        <v>878</v>
      </c>
      <c r="F131" s="257" t="s">
        <v>47</v>
      </c>
      <c r="G131" s="257" t="s">
        <v>879</v>
      </c>
      <c r="H131" s="282">
        <v>42954</v>
      </c>
      <c r="I131" s="257">
        <f t="shared" si="6"/>
        <v>62</v>
      </c>
      <c r="J131" s="181">
        <v>44854</v>
      </c>
      <c r="K131" s="180" t="str">
        <f t="shared" si="8"/>
        <v>ANTIGUO</v>
      </c>
      <c r="L131" s="181"/>
      <c r="M131" s="180"/>
      <c r="N131" s="180"/>
      <c r="O131" s="180"/>
      <c r="P131" s="180" t="s">
        <v>49</v>
      </c>
      <c r="Q131" s="180"/>
      <c r="R131" s="182"/>
      <c r="S131" s="180" t="s">
        <v>75</v>
      </c>
      <c r="T131" s="180" t="s">
        <v>786</v>
      </c>
      <c r="U131" s="180" t="s">
        <v>52</v>
      </c>
      <c r="V131" s="180" t="s">
        <v>273</v>
      </c>
      <c r="W131" s="180" t="s">
        <v>54</v>
      </c>
      <c r="X131" s="180" t="s">
        <v>110</v>
      </c>
      <c r="Y131" s="183">
        <v>0.125</v>
      </c>
      <c r="Z131" s="180" t="s">
        <v>56</v>
      </c>
      <c r="AA131" s="180" t="s">
        <v>850</v>
      </c>
      <c r="AB131" s="182"/>
      <c r="AC131" s="212"/>
      <c r="AD131" s="180" t="s">
        <v>215</v>
      </c>
      <c r="AE131" s="180" t="s">
        <v>235</v>
      </c>
      <c r="AF131" s="180">
        <v>33</v>
      </c>
      <c r="AG131" s="180" t="s">
        <v>60</v>
      </c>
      <c r="AH131" s="180" t="s">
        <v>338</v>
      </c>
      <c r="AI131" s="180" t="s">
        <v>62</v>
      </c>
      <c r="AJ131" s="180" t="s">
        <v>85</v>
      </c>
      <c r="AK131" s="251" t="s">
        <v>880</v>
      </c>
      <c r="AL131" s="180" t="s">
        <v>87</v>
      </c>
      <c r="AM131" s="252" t="s">
        <v>66</v>
      </c>
      <c r="AN131" s="182" t="s">
        <v>67</v>
      </c>
      <c r="AO131" s="182" t="s">
        <v>865</v>
      </c>
      <c r="AP131" s="182" t="s">
        <v>89</v>
      </c>
    </row>
    <row r="132" spans="1:42" s="185" customFormat="1" ht="15" hidden="1" x14ac:dyDescent="0.25">
      <c r="A132" s="187">
        <v>2022</v>
      </c>
      <c r="B132" s="187" t="s">
        <v>816</v>
      </c>
      <c r="C132" s="187" t="s">
        <v>44</v>
      </c>
      <c r="D132" s="187" t="s">
        <v>881</v>
      </c>
      <c r="E132" s="187" t="s">
        <v>882</v>
      </c>
      <c r="F132" s="180" t="s">
        <v>73</v>
      </c>
      <c r="G132" s="1" t="s">
        <v>883</v>
      </c>
      <c r="H132" s="253">
        <v>44754</v>
      </c>
      <c r="I132" s="180">
        <f t="shared" si="6"/>
        <v>3</v>
      </c>
      <c r="J132" s="181">
        <v>44854</v>
      </c>
      <c r="K132" s="180" t="str">
        <f t="shared" si="8"/>
        <v>NUEVO</v>
      </c>
      <c r="L132" s="181"/>
      <c r="M132" s="180"/>
      <c r="N132" s="180"/>
      <c r="O132" s="180"/>
      <c r="P132" s="180" t="s">
        <v>49</v>
      </c>
      <c r="Q132" s="180"/>
      <c r="R132" s="182"/>
      <c r="S132" s="180" t="s">
        <v>50</v>
      </c>
      <c r="T132" s="180" t="s">
        <v>135</v>
      </c>
      <c r="U132" s="180" t="s">
        <v>52</v>
      </c>
      <c r="V132" s="180" t="s">
        <v>884</v>
      </c>
      <c r="W132" s="180" t="s">
        <v>54</v>
      </c>
      <c r="X132" s="180" t="s">
        <v>885</v>
      </c>
      <c r="Y132" s="183">
        <v>0.85416666666666663</v>
      </c>
      <c r="Z132" s="180" t="s">
        <v>164</v>
      </c>
      <c r="AA132" s="180" t="s">
        <v>850</v>
      </c>
      <c r="AB132" s="182"/>
      <c r="AC132" s="212"/>
      <c r="AD132" s="180" t="s">
        <v>58</v>
      </c>
      <c r="AE132" s="187" t="s">
        <v>522</v>
      </c>
      <c r="AF132" s="180">
        <v>40</v>
      </c>
      <c r="AG132" s="180" t="s">
        <v>128</v>
      </c>
      <c r="AH132" s="180" t="s">
        <v>207</v>
      </c>
      <c r="AI132" s="180" t="s">
        <v>408</v>
      </c>
      <c r="AJ132" s="180" t="s">
        <v>237</v>
      </c>
      <c r="AK132" s="184" t="s">
        <v>886</v>
      </c>
      <c r="AL132" s="295" t="s">
        <v>87</v>
      </c>
      <c r="AM132" s="182" t="s">
        <v>66</v>
      </c>
      <c r="AN132" s="182" t="s">
        <v>67</v>
      </c>
      <c r="AO132" s="182" t="s">
        <v>865</v>
      </c>
      <c r="AP132" s="182" t="s">
        <v>69</v>
      </c>
    </row>
    <row r="133" spans="1:42" s="185" customFormat="1" ht="15" hidden="1" x14ac:dyDescent="0.25">
      <c r="A133" s="241">
        <v>2022</v>
      </c>
      <c r="B133" s="187" t="s">
        <v>816</v>
      </c>
      <c r="C133" s="187" t="s">
        <v>44</v>
      </c>
      <c r="D133" s="241" t="s">
        <v>887</v>
      </c>
      <c r="E133" s="241" t="s">
        <v>888</v>
      </c>
      <c r="F133" s="180" t="s">
        <v>73</v>
      </c>
      <c r="G133" s="1" t="s">
        <v>889</v>
      </c>
      <c r="H133" s="253">
        <v>44816</v>
      </c>
      <c r="I133" s="180">
        <f t="shared" si="6"/>
        <v>1</v>
      </c>
      <c r="J133" s="181">
        <v>44856</v>
      </c>
      <c r="K133" s="180" t="str">
        <f t="shared" si="8"/>
        <v>NUEVO</v>
      </c>
      <c r="L133" s="181">
        <v>44858</v>
      </c>
      <c r="M133" s="181">
        <v>44860</v>
      </c>
      <c r="N133" s="180"/>
      <c r="O133" s="180">
        <v>3</v>
      </c>
      <c r="P133" s="180" t="s">
        <v>141</v>
      </c>
      <c r="Q133" s="180"/>
      <c r="R133" s="182"/>
      <c r="S133" s="180" t="s">
        <v>75</v>
      </c>
      <c r="T133" s="180" t="s">
        <v>890</v>
      </c>
      <c r="U133" s="180" t="s">
        <v>52</v>
      </c>
      <c r="V133" s="180" t="s">
        <v>891</v>
      </c>
      <c r="W133" s="180" t="s">
        <v>54</v>
      </c>
      <c r="X133" s="180" t="s">
        <v>55</v>
      </c>
      <c r="Y133" s="183">
        <v>0.6875</v>
      </c>
      <c r="Z133" s="180" t="s">
        <v>154</v>
      </c>
      <c r="AA133" s="180" t="s">
        <v>850</v>
      </c>
      <c r="AB133" s="182"/>
      <c r="AC133" s="214" t="s">
        <v>892</v>
      </c>
      <c r="AD133" s="180" t="s">
        <v>215</v>
      </c>
      <c r="AE133" s="180" t="s">
        <v>82</v>
      </c>
      <c r="AF133" s="180">
        <v>28</v>
      </c>
      <c r="AG133" s="180" t="s">
        <v>60</v>
      </c>
      <c r="AH133" s="180" t="s">
        <v>129</v>
      </c>
      <c r="AI133" s="180" t="s">
        <v>100</v>
      </c>
      <c r="AJ133" s="180" t="s">
        <v>148</v>
      </c>
      <c r="AK133" s="184" t="s">
        <v>893</v>
      </c>
      <c r="AL133" s="180" t="s">
        <v>65</v>
      </c>
      <c r="AM133" s="182" t="s">
        <v>66</v>
      </c>
      <c r="AN133" s="249" t="s">
        <v>66</v>
      </c>
      <c r="AO133" s="182" t="s">
        <v>68</v>
      </c>
      <c r="AP133" s="182" t="s">
        <v>717</v>
      </c>
    </row>
    <row r="134" spans="1:42" s="185" customFormat="1" hidden="1" x14ac:dyDescent="0.2">
      <c r="A134" s="180">
        <v>2022</v>
      </c>
      <c r="B134" s="180" t="s">
        <v>816</v>
      </c>
      <c r="C134" s="180" t="s">
        <v>44</v>
      </c>
      <c r="D134" s="180" t="s">
        <v>894</v>
      </c>
      <c r="E134" s="180" t="s">
        <v>895</v>
      </c>
      <c r="F134" s="180" t="s">
        <v>73</v>
      </c>
      <c r="G134" s="180" t="s">
        <v>342</v>
      </c>
      <c r="H134" s="181">
        <v>38433</v>
      </c>
      <c r="I134" s="180">
        <v>211</v>
      </c>
      <c r="J134" s="181">
        <v>44861</v>
      </c>
      <c r="K134" s="180" t="s">
        <v>896</v>
      </c>
      <c r="L134" s="181"/>
      <c r="M134" s="180"/>
      <c r="N134" s="180"/>
      <c r="O134" s="180"/>
      <c r="P134" s="180" t="s">
        <v>49</v>
      </c>
      <c r="Q134" s="180"/>
      <c r="R134" s="182"/>
      <c r="S134" s="180" t="s">
        <v>75</v>
      </c>
      <c r="T134" s="180" t="s">
        <v>703</v>
      </c>
      <c r="U134" s="180" t="s">
        <v>52</v>
      </c>
      <c r="V134" s="180" t="s">
        <v>94</v>
      </c>
      <c r="W134" s="180" t="s">
        <v>54</v>
      </c>
      <c r="X134" s="180" t="s">
        <v>55</v>
      </c>
      <c r="Y134" s="183">
        <v>0.69791666666666663</v>
      </c>
      <c r="Z134" s="180" t="s">
        <v>897</v>
      </c>
      <c r="AA134" s="180" t="s">
        <v>898</v>
      </c>
      <c r="AB134" s="182"/>
      <c r="AC134" s="212"/>
      <c r="AD134" s="180" t="s">
        <v>215</v>
      </c>
      <c r="AE134" s="180" t="s">
        <v>82</v>
      </c>
      <c r="AF134" s="180">
        <v>65</v>
      </c>
      <c r="AG134" s="180" t="s">
        <v>237</v>
      </c>
      <c r="AH134" s="180" t="s">
        <v>414</v>
      </c>
      <c r="AI134" s="180" t="s">
        <v>62</v>
      </c>
      <c r="AJ134" s="180" t="s">
        <v>85</v>
      </c>
      <c r="AK134" s="184" t="s">
        <v>899</v>
      </c>
      <c r="AL134" s="180" t="s">
        <v>900</v>
      </c>
      <c r="AM134" s="182" t="s">
        <v>66</v>
      </c>
      <c r="AN134" s="249" t="s">
        <v>67</v>
      </c>
      <c r="AO134" s="182" t="s">
        <v>844</v>
      </c>
      <c r="AP134" s="182" t="s">
        <v>901</v>
      </c>
    </row>
    <row r="135" spans="1:42" s="185" customFormat="1" hidden="1" x14ac:dyDescent="0.2">
      <c r="A135" s="180">
        <v>2022</v>
      </c>
      <c r="B135" s="180" t="s">
        <v>816</v>
      </c>
      <c r="C135" s="180" t="s">
        <v>44</v>
      </c>
      <c r="D135" s="180" t="s">
        <v>902</v>
      </c>
      <c r="E135" s="180" t="s">
        <v>708</v>
      </c>
      <c r="F135" s="180" t="s">
        <v>73</v>
      </c>
      <c r="G135" s="180" t="s">
        <v>903</v>
      </c>
      <c r="H135" s="284">
        <v>43815</v>
      </c>
      <c r="I135" s="180">
        <f t="shared" ref="I135:I153" si="9">DATEDIF(H135,J135,"m")</f>
        <v>34</v>
      </c>
      <c r="J135" s="181">
        <v>44862</v>
      </c>
      <c r="K135" s="180" t="str">
        <f t="shared" ref="K135:K153" si="10">IF(I135&lt;=18,"NUEVO",IF(I135&lt;=36,"INTERMEDIO","ANTIGUO"))</f>
        <v>INTERMEDIO</v>
      </c>
      <c r="L135" s="181"/>
      <c r="M135" s="180"/>
      <c r="N135" s="180"/>
      <c r="O135" s="180"/>
      <c r="P135" s="180" t="s">
        <v>49</v>
      </c>
      <c r="Q135" s="180" t="s">
        <v>107</v>
      </c>
      <c r="R135" s="182"/>
      <c r="S135" s="180" t="s">
        <v>142</v>
      </c>
      <c r="T135" s="180" t="s">
        <v>904</v>
      </c>
      <c r="U135" s="180" t="s">
        <v>52</v>
      </c>
      <c r="V135" s="180" t="s">
        <v>884</v>
      </c>
      <c r="W135" s="180" t="s">
        <v>163</v>
      </c>
      <c r="X135" s="180" t="s">
        <v>78</v>
      </c>
      <c r="Y135" s="183">
        <v>0.21875</v>
      </c>
      <c r="Z135" s="180" t="s">
        <v>183</v>
      </c>
      <c r="AA135" s="180" t="s">
        <v>898</v>
      </c>
      <c r="AB135" s="182"/>
      <c r="AC135" s="212"/>
      <c r="AD135" s="180" t="s">
        <v>58</v>
      </c>
      <c r="AE135" s="180" t="s">
        <v>461</v>
      </c>
      <c r="AF135" s="180">
        <v>22</v>
      </c>
      <c r="AG135" s="180" t="s">
        <v>905</v>
      </c>
      <c r="AH135" s="180" t="s">
        <v>514</v>
      </c>
      <c r="AI135" s="180" t="s">
        <v>62</v>
      </c>
      <c r="AJ135" s="180" t="s">
        <v>63</v>
      </c>
      <c r="AK135" s="184" t="s">
        <v>906</v>
      </c>
      <c r="AL135" s="250" t="s">
        <v>65</v>
      </c>
      <c r="AM135" s="182" t="s">
        <v>66</v>
      </c>
      <c r="AN135" s="249" t="s">
        <v>67</v>
      </c>
      <c r="AO135" s="182" t="s">
        <v>865</v>
      </c>
      <c r="AP135" s="182" t="s">
        <v>907</v>
      </c>
    </row>
    <row r="136" spans="1:42" s="185" customFormat="1" hidden="1" x14ac:dyDescent="0.2">
      <c r="A136" s="180">
        <v>2022</v>
      </c>
      <c r="B136" s="180" t="s">
        <v>908</v>
      </c>
      <c r="C136" s="180" t="s">
        <v>44</v>
      </c>
      <c r="D136" s="241" t="s">
        <v>909</v>
      </c>
      <c r="E136" s="241" t="s">
        <v>910</v>
      </c>
      <c r="F136" s="180" t="s">
        <v>73</v>
      </c>
      <c r="G136" s="180" t="s">
        <v>911</v>
      </c>
      <c r="H136" s="181">
        <v>44636</v>
      </c>
      <c r="I136" s="180">
        <f t="shared" si="9"/>
        <v>7</v>
      </c>
      <c r="J136" s="181">
        <v>44867</v>
      </c>
      <c r="K136" s="180" t="str">
        <f t="shared" si="10"/>
        <v>NUEVO</v>
      </c>
      <c r="L136" s="181"/>
      <c r="M136" s="180"/>
      <c r="N136" s="180"/>
      <c r="O136" s="180"/>
      <c r="P136" s="180" t="s">
        <v>49</v>
      </c>
      <c r="Q136" s="180"/>
      <c r="R136" s="182"/>
      <c r="S136" s="180" t="s">
        <v>142</v>
      </c>
      <c r="T136" s="180" t="s">
        <v>559</v>
      </c>
      <c r="U136" s="180" t="s">
        <v>52</v>
      </c>
      <c r="V136" s="180" t="s">
        <v>912</v>
      </c>
      <c r="W136" s="180" t="s">
        <v>54</v>
      </c>
      <c r="X136" s="180" t="s">
        <v>78</v>
      </c>
      <c r="Y136" s="183">
        <v>0.4861111111111111</v>
      </c>
      <c r="Z136" s="180" t="s">
        <v>56</v>
      </c>
      <c r="AA136" s="180" t="s">
        <v>913</v>
      </c>
      <c r="AB136" s="182"/>
      <c r="AC136" s="212"/>
      <c r="AD136" s="180" t="s">
        <v>126</v>
      </c>
      <c r="AE136" s="180" t="s">
        <v>461</v>
      </c>
      <c r="AF136" s="180">
        <v>57</v>
      </c>
      <c r="AG136" s="180" t="s">
        <v>237</v>
      </c>
      <c r="AH136" s="180" t="s">
        <v>129</v>
      </c>
      <c r="AI136" s="180" t="s">
        <v>100</v>
      </c>
      <c r="AJ136" s="180" t="s">
        <v>237</v>
      </c>
      <c r="AK136" s="251" t="s">
        <v>914</v>
      </c>
      <c r="AL136" s="182" t="s">
        <v>65</v>
      </c>
      <c r="AM136" s="252" t="s">
        <v>66</v>
      </c>
      <c r="AN136" s="249" t="s">
        <v>67</v>
      </c>
      <c r="AO136" s="182" t="s">
        <v>865</v>
      </c>
      <c r="AP136" s="182" t="s">
        <v>351</v>
      </c>
    </row>
    <row r="137" spans="1:42" s="185" customFormat="1" hidden="1" x14ac:dyDescent="0.2">
      <c r="A137" s="241">
        <v>2022</v>
      </c>
      <c r="B137" s="180" t="s">
        <v>908</v>
      </c>
      <c r="C137" s="180" t="s">
        <v>44</v>
      </c>
      <c r="D137" s="241" t="s">
        <v>915</v>
      </c>
      <c r="E137" s="241" t="s">
        <v>696</v>
      </c>
      <c r="F137" s="180" t="s">
        <v>73</v>
      </c>
      <c r="G137" s="180" t="s">
        <v>916</v>
      </c>
      <c r="H137" s="181">
        <v>34296</v>
      </c>
      <c r="I137" s="180">
        <f t="shared" si="9"/>
        <v>347</v>
      </c>
      <c r="J137" s="181">
        <v>44868</v>
      </c>
      <c r="K137" s="180" t="str">
        <f t="shared" si="10"/>
        <v>ANTIGUO</v>
      </c>
      <c r="L137" s="181">
        <v>44869</v>
      </c>
      <c r="M137" s="180"/>
      <c r="N137" s="180"/>
      <c r="O137" s="180">
        <v>9</v>
      </c>
      <c r="P137" s="180" t="s">
        <v>141</v>
      </c>
      <c r="Q137" s="180" t="s">
        <v>107</v>
      </c>
      <c r="R137" s="182" t="s">
        <v>410</v>
      </c>
      <c r="S137" s="180" t="s">
        <v>142</v>
      </c>
      <c r="T137" s="180" t="s">
        <v>143</v>
      </c>
      <c r="U137" s="180" t="s">
        <v>52</v>
      </c>
      <c r="V137" s="180" t="s">
        <v>917</v>
      </c>
      <c r="W137" s="180" t="s">
        <v>163</v>
      </c>
      <c r="X137" s="180" t="s">
        <v>55</v>
      </c>
      <c r="Y137" s="183">
        <v>0.8979166666666667</v>
      </c>
      <c r="Z137" s="180" t="s">
        <v>164</v>
      </c>
      <c r="AA137" s="180" t="s">
        <v>913</v>
      </c>
      <c r="AB137" s="182"/>
      <c r="AC137" s="214" t="s">
        <v>918</v>
      </c>
      <c r="AD137" s="180" t="s">
        <v>126</v>
      </c>
      <c r="AE137" s="180" t="s">
        <v>174</v>
      </c>
      <c r="AF137" s="180">
        <v>54</v>
      </c>
      <c r="AG137" s="180" t="s">
        <v>329</v>
      </c>
      <c r="AH137" s="180" t="s">
        <v>207</v>
      </c>
      <c r="AI137" s="180" t="s">
        <v>176</v>
      </c>
      <c r="AJ137" s="180" t="s">
        <v>148</v>
      </c>
      <c r="AK137" s="251" t="s">
        <v>919</v>
      </c>
      <c r="AL137" s="182" t="s">
        <v>65</v>
      </c>
      <c r="AM137" s="252" t="s">
        <v>66</v>
      </c>
      <c r="AN137" s="249" t="s">
        <v>66</v>
      </c>
      <c r="AO137" s="182" t="s">
        <v>865</v>
      </c>
      <c r="AP137" s="182" t="s">
        <v>717</v>
      </c>
    </row>
    <row r="138" spans="1:42" s="185" customFormat="1" hidden="1" x14ac:dyDescent="0.2">
      <c r="A138" s="180">
        <v>2022</v>
      </c>
      <c r="B138" s="180" t="s">
        <v>908</v>
      </c>
      <c r="C138" s="180" t="s">
        <v>44</v>
      </c>
      <c r="D138" s="241" t="s">
        <v>920</v>
      </c>
      <c r="E138" s="241" t="s">
        <v>921</v>
      </c>
      <c r="F138" s="180" t="s">
        <v>73</v>
      </c>
      <c r="G138" s="180" t="s">
        <v>922</v>
      </c>
      <c r="H138" s="181">
        <v>43640</v>
      </c>
      <c r="I138" s="180">
        <f t="shared" si="9"/>
        <v>40</v>
      </c>
      <c r="J138" s="181">
        <v>44870</v>
      </c>
      <c r="K138" s="180" t="str">
        <f t="shared" si="10"/>
        <v>ANTIGUO</v>
      </c>
      <c r="L138" s="180"/>
      <c r="M138" s="180"/>
      <c r="N138" s="180"/>
      <c r="O138" s="180" t="s">
        <v>449</v>
      </c>
      <c r="P138" s="180" t="s">
        <v>49</v>
      </c>
      <c r="Q138" s="180"/>
      <c r="R138" s="182"/>
      <c r="S138" s="180" t="s">
        <v>271</v>
      </c>
      <c r="T138" s="180" t="s">
        <v>271</v>
      </c>
      <c r="U138" s="180" t="s">
        <v>52</v>
      </c>
      <c r="V138" s="180" t="s">
        <v>271</v>
      </c>
      <c r="W138" s="180" t="s">
        <v>54</v>
      </c>
      <c r="X138" s="180" t="s">
        <v>78</v>
      </c>
      <c r="Y138" s="183">
        <v>0.58333333333333337</v>
      </c>
      <c r="Z138" s="180" t="s">
        <v>154</v>
      </c>
      <c r="AA138" s="180" t="s">
        <v>913</v>
      </c>
      <c r="AB138" s="182"/>
      <c r="AC138" s="212"/>
      <c r="AD138" s="180" t="s">
        <v>275</v>
      </c>
      <c r="AE138" s="180" t="s">
        <v>923</v>
      </c>
      <c r="AF138" s="180">
        <v>59</v>
      </c>
      <c r="AG138" s="180" t="s">
        <v>147</v>
      </c>
      <c r="AH138" s="180" t="s">
        <v>84</v>
      </c>
      <c r="AI138" s="180" t="s">
        <v>62</v>
      </c>
      <c r="AJ138" s="180" t="s">
        <v>148</v>
      </c>
      <c r="AK138" s="251" t="s">
        <v>924</v>
      </c>
      <c r="AL138" s="274" t="s">
        <v>65</v>
      </c>
      <c r="AM138" s="252" t="s">
        <v>66</v>
      </c>
      <c r="AN138" s="249" t="s">
        <v>67</v>
      </c>
      <c r="AO138" s="182" t="s">
        <v>844</v>
      </c>
      <c r="AP138" s="182" t="s">
        <v>907</v>
      </c>
    </row>
    <row r="139" spans="1:42" s="185" customFormat="1" hidden="1" x14ac:dyDescent="0.2">
      <c r="A139" s="180">
        <v>2022</v>
      </c>
      <c r="B139" s="180" t="s">
        <v>908</v>
      </c>
      <c r="C139" s="180" t="s">
        <v>44</v>
      </c>
      <c r="D139" s="180" t="s">
        <v>925</v>
      </c>
      <c r="E139" s="180" t="s">
        <v>926</v>
      </c>
      <c r="F139" s="180" t="s">
        <v>73</v>
      </c>
      <c r="G139" s="180" t="s">
        <v>927</v>
      </c>
      <c r="H139" s="181">
        <v>42828</v>
      </c>
      <c r="I139" s="180">
        <f t="shared" si="9"/>
        <v>67</v>
      </c>
      <c r="J139" s="181">
        <v>44870</v>
      </c>
      <c r="K139" s="180" t="str">
        <f t="shared" si="10"/>
        <v>ANTIGUO</v>
      </c>
      <c r="L139" s="181"/>
      <c r="M139" s="180"/>
      <c r="N139" s="180"/>
      <c r="O139" s="180"/>
      <c r="P139" s="180" t="s">
        <v>49</v>
      </c>
      <c r="Q139" s="180"/>
      <c r="R139" s="182"/>
      <c r="S139" s="180" t="s">
        <v>75</v>
      </c>
      <c r="T139" s="180" t="s">
        <v>928</v>
      </c>
      <c r="U139" s="180" t="s">
        <v>52</v>
      </c>
      <c r="V139" s="180" t="s">
        <v>928</v>
      </c>
      <c r="W139" s="180" t="s">
        <v>54</v>
      </c>
      <c r="X139" s="180" t="s">
        <v>55</v>
      </c>
      <c r="Y139" s="183">
        <v>0.84375</v>
      </c>
      <c r="Z139" s="180" t="s">
        <v>154</v>
      </c>
      <c r="AA139" s="180" t="s">
        <v>929</v>
      </c>
      <c r="AB139" s="182"/>
      <c r="AC139" s="212"/>
      <c r="AD139" s="180" t="s">
        <v>215</v>
      </c>
      <c r="AE139" s="180" t="s">
        <v>337</v>
      </c>
      <c r="AF139" s="180">
        <v>41</v>
      </c>
      <c r="AG139" s="216"/>
      <c r="AH139" s="216"/>
      <c r="AI139" s="216" t="s">
        <v>449</v>
      </c>
      <c r="AJ139" s="216"/>
      <c r="AK139" s="184" t="s">
        <v>930</v>
      </c>
      <c r="AL139" s="186" t="s">
        <v>87</v>
      </c>
      <c r="AM139" s="182" t="s">
        <v>67</v>
      </c>
      <c r="AN139" s="249" t="s">
        <v>67</v>
      </c>
      <c r="AO139" s="182" t="s">
        <v>844</v>
      </c>
      <c r="AP139" s="182" t="s">
        <v>907</v>
      </c>
    </row>
    <row r="140" spans="1:42" s="185" customFormat="1" hidden="1" x14ac:dyDescent="0.2">
      <c r="A140" s="241">
        <v>2022</v>
      </c>
      <c r="B140" s="187" t="s">
        <v>908</v>
      </c>
      <c r="C140" s="187" t="s">
        <v>44</v>
      </c>
      <c r="D140" s="241" t="s">
        <v>931</v>
      </c>
      <c r="E140" s="241" t="s">
        <v>372</v>
      </c>
      <c r="F140" s="180" t="s">
        <v>73</v>
      </c>
      <c r="G140" s="180" t="s">
        <v>932</v>
      </c>
      <c r="H140" s="181">
        <v>44781</v>
      </c>
      <c r="I140" s="180">
        <f t="shared" si="9"/>
        <v>2</v>
      </c>
      <c r="J140" s="181">
        <v>44872</v>
      </c>
      <c r="K140" s="180" t="str">
        <f t="shared" si="10"/>
        <v>NUEVO</v>
      </c>
      <c r="L140" s="181">
        <v>44873</v>
      </c>
      <c r="M140" s="180"/>
      <c r="N140" s="180"/>
      <c r="O140" s="180">
        <v>0</v>
      </c>
      <c r="P140" s="180" t="s">
        <v>49</v>
      </c>
      <c r="Q140" s="180"/>
      <c r="R140" s="182"/>
      <c r="S140" s="180" t="s">
        <v>142</v>
      </c>
      <c r="T140" s="180" t="s">
        <v>143</v>
      </c>
      <c r="U140" s="180" t="s">
        <v>52</v>
      </c>
      <c r="V140" s="180" t="s">
        <v>143</v>
      </c>
      <c r="W140" s="180" t="s">
        <v>54</v>
      </c>
      <c r="X140" s="180" t="s">
        <v>55</v>
      </c>
      <c r="Y140" s="183">
        <v>0.74305555555555547</v>
      </c>
      <c r="Z140" s="180" t="s">
        <v>79</v>
      </c>
      <c r="AA140" s="180" t="s">
        <v>929</v>
      </c>
      <c r="AB140" s="182"/>
      <c r="AC140" s="212"/>
      <c r="AD140" s="180" t="s">
        <v>126</v>
      </c>
      <c r="AE140" s="180" t="s">
        <v>253</v>
      </c>
      <c r="AF140" s="180">
        <v>24</v>
      </c>
      <c r="AG140" s="180" t="s">
        <v>237</v>
      </c>
      <c r="AH140" s="180" t="s">
        <v>441</v>
      </c>
      <c r="AI140" s="180" t="s">
        <v>62</v>
      </c>
      <c r="AJ140" s="180" t="s">
        <v>85</v>
      </c>
      <c r="AK140" s="251" t="s">
        <v>933</v>
      </c>
      <c r="AL140" s="182" t="s">
        <v>87</v>
      </c>
      <c r="AM140" s="252" t="s">
        <v>66</v>
      </c>
      <c r="AN140" s="249" t="s">
        <v>66</v>
      </c>
      <c r="AO140" s="182" t="s">
        <v>844</v>
      </c>
      <c r="AP140" s="182" t="s">
        <v>717</v>
      </c>
    </row>
    <row r="141" spans="1:42" s="186" customFormat="1" hidden="1" x14ac:dyDescent="0.2">
      <c r="A141" s="180">
        <v>2022</v>
      </c>
      <c r="B141" s="180" t="s">
        <v>908</v>
      </c>
      <c r="C141" s="180" t="s">
        <v>44</v>
      </c>
      <c r="D141" s="241" t="s">
        <v>934</v>
      </c>
      <c r="E141" s="241" t="s">
        <v>217</v>
      </c>
      <c r="F141" s="180" t="s">
        <v>73</v>
      </c>
      <c r="G141" s="257" t="s">
        <v>935</v>
      </c>
      <c r="H141" s="284">
        <v>43668</v>
      </c>
      <c r="I141" s="180">
        <f t="shared" si="9"/>
        <v>39</v>
      </c>
      <c r="J141" s="181">
        <v>44872</v>
      </c>
      <c r="K141" s="180" t="str">
        <f t="shared" si="10"/>
        <v>ANTIGUO</v>
      </c>
      <c r="L141" s="181">
        <v>44872</v>
      </c>
      <c r="M141" s="180"/>
      <c r="N141" s="180"/>
      <c r="O141" s="180" t="s">
        <v>449</v>
      </c>
      <c r="P141" s="180" t="s">
        <v>49</v>
      </c>
      <c r="Q141" s="180"/>
      <c r="R141" s="182"/>
      <c r="S141" s="180" t="s">
        <v>50</v>
      </c>
      <c r="T141" s="180" t="s">
        <v>135</v>
      </c>
      <c r="U141" s="180" t="s">
        <v>52</v>
      </c>
      <c r="V141" s="180" t="s">
        <v>936</v>
      </c>
      <c r="W141" s="180" t="s">
        <v>54</v>
      </c>
      <c r="X141" s="180" t="s">
        <v>55</v>
      </c>
      <c r="Y141" s="183">
        <v>0.68958333333333333</v>
      </c>
      <c r="Z141" s="180" t="s">
        <v>79</v>
      </c>
      <c r="AA141" s="180" t="s">
        <v>929</v>
      </c>
      <c r="AB141" s="182"/>
      <c r="AC141" s="212"/>
      <c r="AD141" s="180" t="s">
        <v>58</v>
      </c>
      <c r="AE141" s="187" t="s">
        <v>522</v>
      </c>
      <c r="AF141" s="180">
        <v>50</v>
      </c>
      <c r="AG141" s="180" t="s">
        <v>319</v>
      </c>
      <c r="AH141" s="180" t="s">
        <v>129</v>
      </c>
      <c r="AI141" s="180" t="s">
        <v>100</v>
      </c>
      <c r="AJ141" s="180" t="s">
        <v>148</v>
      </c>
      <c r="AK141" s="251" t="s">
        <v>937</v>
      </c>
      <c r="AL141" s="273" t="s">
        <v>65</v>
      </c>
      <c r="AM141" s="252" t="s">
        <v>66</v>
      </c>
      <c r="AN141" s="249" t="s">
        <v>67</v>
      </c>
      <c r="AO141" s="182" t="s">
        <v>844</v>
      </c>
      <c r="AP141" s="182" t="s">
        <v>717</v>
      </c>
    </row>
    <row r="142" spans="1:42" s="185" customFormat="1" hidden="1" x14ac:dyDescent="0.2">
      <c r="A142" s="180">
        <v>2022</v>
      </c>
      <c r="B142" s="180" t="s">
        <v>908</v>
      </c>
      <c r="C142" s="180" t="s">
        <v>44</v>
      </c>
      <c r="D142" s="241" t="s">
        <v>476</v>
      </c>
      <c r="E142" s="241" t="s">
        <v>477</v>
      </c>
      <c r="F142" s="180" t="s">
        <v>73</v>
      </c>
      <c r="G142" s="180" t="s">
        <v>478</v>
      </c>
      <c r="H142" s="181">
        <v>44635</v>
      </c>
      <c r="I142" s="180">
        <f t="shared" si="9"/>
        <v>7</v>
      </c>
      <c r="J142" s="181">
        <v>44873</v>
      </c>
      <c r="K142" s="180" t="str">
        <f t="shared" si="10"/>
        <v>NUEVO</v>
      </c>
      <c r="L142" s="180"/>
      <c r="M142" s="180"/>
      <c r="N142" s="180"/>
      <c r="O142" s="180" t="s">
        <v>449</v>
      </c>
      <c r="P142" s="180" t="s">
        <v>49</v>
      </c>
      <c r="Q142" s="180"/>
      <c r="R142" s="182"/>
      <c r="S142" s="180" t="s">
        <v>219</v>
      </c>
      <c r="T142" s="180" t="s">
        <v>505</v>
      </c>
      <c r="U142" s="180" t="s">
        <v>52</v>
      </c>
      <c r="V142" s="180" t="s">
        <v>219</v>
      </c>
      <c r="W142" s="180" t="s">
        <v>54</v>
      </c>
      <c r="X142" s="180" t="s">
        <v>55</v>
      </c>
      <c r="Y142" s="183">
        <v>0.71180555555555547</v>
      </c>
      <c r="Z142" s="180" t="s">
        <v>96</v>
      </c>
      <c r="AA142" s="180" t="s">
        <v>929</v>
      </c>
      <c r="AB142" s="182"/>
      <c r="AC142" s="212"/>
      <c r="AD142" s="180" t="s">
        <v>221</v>
      </c>
      <c r="AE142" s="180" t="s">
        <v>222</v>
      </c>
      <c r="AF142" s="180">
        <v>19</v>
      </c>
      <c r="AG142" s="180" t="s">
        <v>147</v>
      </c>
      <c r="AH142" s="180" t="s">
        <v>61</v>
      </c>
      <c r="AI142" s="180" t="s">
        <v>237</v>
      </c>
      <c r="AJ142" s="180" t="s">
        <v>199</v>
      </c>
      <c r="AK142" s="251" t="s">
        <v>938</v>
      </c>
      <c r="AL142" s="182" t="s">
        <v>65</v>
      </c>
      <c r="AM142" s="252" t="s">
        <v>66</v>
      </c>
      <c r="AN142" s="249" t="s">
        <v>67</v>
      </c>
      <c r="AO142" s="182" t="s">
        <v>844</v>
      </c>
      <c r="AP142" s="182" t="s">
        <v>89</v>
      </c>
    </row>
    <row r="143" spans="1:42" s="185" customFormat="1" hidden="1" x14ac:dyDescent="0.2">
      <c r="A143" s="241">
        <v>2022</v>
      </c>
      <c r="B143" s="180" t="s">
        <v>908</v>
      </c>
      <c r="C143" s="180" t="s">
        <v>44</v>
      </c>
      <c r="D143" s="241" t="s">
        <v>939</v>
      </c>
      <c r="E143" s="241" t="s">
        <v>642</v>
      </c>
      <c r="F143" s="180" t="s">
        <v>47</v>
      </c>
      <c r="G143" s="180" t="s">
        <v>940</v>
      </c>
      <c r="H143" s="181">
        <v>41596</v>
      </c>
      <c r="I143" s="180">
        <f t="shared" si="9"/>
        <v>107</v>
      </c>
      <c r="J143" s="181">
        <v>44873</v>
      </c>
      <c r="K143" s="180" t="str">
        <f t="shared" si="10"/>
        <v>ANTIGUO</v>
      </c>
      <c r="L143" s="181">
        <v>44874</v>
      </c>
      <c r="M143" s="181">
        <v>44875</v>
      </c>
      <c r="N143" s="181">
        <v>44876</v>
      </c>
      <c r="O143" s="180">
        <v>9</v>
      </c>
      <c r="P143" s="180" t="s">
        <v>141</v>
      </c>
      <c r="Q143" s="180" t="s">
        <v>107</v>
      </c>
      <c r="R143" s="182" t="s">
        <v>810</v>
      </c>
      <c r="S143" s="180" t="s">
        <v>75</v>
      </c>
      <c r="T143" s="180" t="s">
        <v>75</v>
      </c>
      <c r="U143" s="180" t="s">
        <v>52</v>
      </c>
      <c r="V143" s="180" t="s">
        <v>542</v>
      </c>
      <c r="W143" s="180" t="s">
        <v>163</v>
      </c>
      <c r="X143" s="180" t="s">
        <v>55</v>
      </c>
      <c r="Y143" s="183">
        <v>0.70138888888888884</v>
      </c>
      <c r="Z143" s="180" t="s">
        <v>96</v>
      </c>
      <c r="AA143" s="180" t="s">
        <v>929</v>
      </c>
      <c r="AB143" s="182"/>
      <c r="AC143" s="214" t="s">
        <v>941</v>
      </c>
      <c r="AD143" s="180" t="s">
        <v>215</v>
      </c>
      <c r="AE143" s="180" t="s">
        <v>82</v>
      </c>
      <c r="AF143" s="180">
        <v>58</v>
      </c>
      <c r="AG143" s="180" t="s">
        <v>329</v>
      </c>
      <c r="AH143" s="180" t="s">
        <v>129</v>
      </c>
      <c r="AI143" s="187" t="s">
        <v>62</v>
      </c>
      <c r="AJ143" s="187" t="s">
        <v>148</v>
      </c>
      <c r="AK143" s="290" t="s">
        <v>942</v>
      </c>
      <c r="AL143" s="182" t="s">
        <v>65</v>
      </c>
      <c r="AM143" s="252" t="s">
        <v>66</v>
      </c>
      <c r="AN143" s="249" t="s">
        <v>66</v>
      </c>
      <c r="AO143" s="182" t="s">
        <v>844</v>
      </c>
      <c r="AP143" s="182" t="s">
        <v>89</v>
      </c>
    </row>
    <row r="144" spans="1:42" s="185" customFormat="1" hidden="1" x14ac:dyDescent="0.2">
      <c r="A144" s="241">
        <v>2022</v>
      </c>
      <c r="B144" s="180" t="s">
        <v>908</v>
      </c>
      <c r="C144" s="180" t="s">
        <v>44</v>
      </c>
      <c r="D144" s="241" t="s">
        <v>943</v>
      </c>
      <c r="E144" s="241" t="s">
        <v>944</v>
      </c>
      <c r="F144" s="180" t="s">
        <v>73</v>
      </c>
      <c r="G144" s="180" t="s">
        <v>945</v>
      </c>
      <c r="H144" s="181">
        <v>44607</v>
      </c>
      <c r="I144" s="180">
        <f t="shared" si="9"/>
        <v>8</v>
      </c>
      <c r="J144" s="181">
        <v>44873</v>
      </c>
      <c r="K144" s="180" t="str">
        <f t="shared" si="10"/>
        <v>NUEVO</v>
      </c>
      <c r="L144" s="181">
        <v>44874</v>
      </c>
      <c r="M144" s="180"/>
      <c r="N144" s="180"/>
      <c r="O144" s="180">
        <v>0</v>
      </c>
      <c r="P144" s="180" t="s">
        <v>49</v>
      </c>
      <c r="Q144" s="180"/>
      <c r="R144" s="182"/>
      <c r="S144" s="180" t="s">
        <v>50</v>
      </c>
      <c r="T144" s="180" t="s">
        <v>135</v>
      </c>
      <c r="U144" s="180" t="s">
        <v>52</v>
      </c>
      <c r="V144" s="180" t="s">
        <v>135</v>
      </c>
      <c r="W144" s="180" t="s">
        <v>54</v>
      </c>
      <c r="X144" s="180" t="s">
        <v>55</v>
      </c>
      <c r="Y144" s="183">
        <v>0.85416666666666663</v>
      </c>
      <c r="Z144" s="180" t="s">
        <v>96</v>
      </c>
      <c r="AA144" s="180" t="s">
        <v>929</v>
      </c>
      <c r="AB144" s="182"/>
      <c r="AC144" s="214" t="s">
        <v>946</v>
      </c>
      <c r="AD144" s="180" t="s">
        <v>58</v>
      </c>
      <c r="AE144" s="187" t="s">
        <v>522</v>
      </c>
      <c r="AF144" s="180">
        <v>24</v>
      </c>
      <c r="AG144" s="180" t="s">
        <v>319</v>
      </c>
      <c r="AH144" s="180" t="s">
        <v>129</v>
      </c>
      <c r="AI144" s="180" t="s">
        <v>100</v>
      </c>
      <c r="AJ144" s="180" t="s">
        <v>148</v>
      </c>
      <c r="AK144" s="184" t="s">
        <v>947</v>
      </c>
      <c r="AL144" s="182" t="s">
        <v>65</v>
      </c>
      <c r="AM144" s="182" t="s">
        <v>66</v>
      </c>
      <c r="AN144" s="249" t="s">
        <v>66</v>
      </c>
      <c r="AO144" s="182" t="s">
        <v>844</v>
      </c>
      <c r="AP144" s="182" t="s">
        <v>89</v>
      </c>
    </row>
    <row r="145" spans="1:42" s="185" customFormat="1" hidden="1" x14ac:dyDescent="0.2">
      <c r="A145" s="180">
        <v>2022</v>
      </c>
      <c r="B145" s="180" t="s">
        <v>908</v>
      </c>
      <c r="C145" s="180" t="s">
        <v>44</v>
      </c>
      <c r="D145" s="180" t="s">
        <v>45</v>
      </c>
      <c r="E145" s="180" t="s">
        <v>948</v>
      </c>
      <c r="F145" s="180" t="s">
        <v>47</v>
      </c>
      <c r="G145" s="180" t="s">
        <v>48</v>
      </c>
      <c r="H145" s="181">
        <v>44221</v>
      </c>
      <c r="I145" s="180">
        <f t="shared" si="9"/>
        <v>21</v>
      </c>
      <c r="J145" s="181">
        <v>44874</v>
      </c>
      <c r="K145" s="180" t="str">
        <f t="shared" si="10"/>
        <v>INTERMEDIO</v>
      </c>
      <c r="L145" s="180"/>
      <c r="M145" s="180"/>
      <c r="N145" s="180"/>
      <c r="O145" s="180" t="s">
        <v>449</v>
      </c>
      <c r="P145" s="180" t="s">
        <v>49</v>
      </c>
      <c r="Q145" s="180"/>
      <c r="R145" s="182"/>
      <c r="S145" s="180" t="s">
        <v>50</v>
      </c>
      <c r="T145" s="180" t="s">
        <v>51</v>
      </c>
      <c r="U145" s="180" t="s">
        <v>52</v>
      </c>
      <c r="V145" s="180" t="s">
        <v>730</v>
      </c>
      <c r="W145" s="180" t="s">
        <v>54</v>
      </c>
      <c r="X145" s="180" t="s">
        <v>55</v>
      </c>
      <c r="Y145" s="183">
        <v>0.875</v>
      </c>
      <c r="Z145" s="180" t="s">
        <v>164</v>
      </c>
      <c r="AA145" s="180" t="s">
        <v>929</v>
      </c>
      <c r="AB145" s="182"/>
      <c r="AC145" s="212"/>
      <c r="AD145" s="180" t="s">
        <v>58</v>
      </c>
      <c r="AE145" s="180" t="s">
        <v>59</v>
      </c>
      <c r="AF145" s="180">
        <v>37</v>
      </c>
      <c r="AG145" s="180" t="s">
        <v>237</v>
      </c>
      <c r="AH145" s="180" t="s">
        <v>441</v>
      </c>
      <c r="AI145" s="180" t="s">
        <v>62</v>
      </c>
      <c r="AJ145" s="180" t="s">
        <v>148</v>
      </c>
      <c r="AK145" s="184" t="s">
        <v>949</v>
      </c>
      <c r="AL145" s="182" t="s">
        <v>900</v>
      </c>
      <c r="AM145" s="182" t="s">
        <v>66</v>
      </c>
      <c r="AN145" s="249" t="s">
        <v>67</v>
      </c>
      <c r="AO145" s="182" t="s">
        <v>844</v>
      </c>
      <c r="AP145" s="182" t="s">
        <v>907</v>
      </c>
    </row>
    <row r="146" spans="1:42" s="185" customFormat="1" hidden="1" x14ac:dyDescent="0.2">
      <c r="A146" s="241">
        <v>2022</v>
      </c>
      <c r="B146" s="180" t="s">
        <v>908</v>
      </c>
      <c r="C146" s="180" t="s">
        <v>44</v>
      </c>
      <c r="D146" s="187" t="s">
        <v>950</v>
      </c>
      <c r="E146" s="187" t="s">
        <v>951</v>
      </c>
      <c r="F146" s="180" t="s">
        <v>73</v>
      </c>
      <c r="G146" s="180" t="s">
        <v>952</v>
      </c>
      <c r="H146" s="181">
        <v>43675</v>
      </c>
      <c r="I146" s="180">
        <f t="shared" si="9"/>
        <v>39</v>
      </c>
      <c r="J146" s="181">
        <v>44874</v>
      </c>
      <c r="K146" s="180" t="str">
        <f t="shared" si="10"/>
        <v>ANTIGUO</v>
      </c>
      <c r="L146" s="181">
        <v>44874</v>
      </c>
      <c r="M146" s="180"/>
      <c r="N146" s="180"/>
      <c r="O146" s="180">
        <v>0</v>
      </c>
      <c r="P146" s="180" t="s">
        <v>49</v>
      </c>
      <c r="Q146" s="180"/>
      <c r="R146" s="182"/>
      <c r="S146" s="180" t="s">
        <v>219</v>
      </c>
      <c r="T146" s="180" t="s">
        <v>505</v>
      </c>
      <c r="U146" s="180" t="s">
        <v>52</v>
      </c>
      <c r="V146" s="180" t="s">
        <v>953</v>
      </c>
      <c r="W146" s="180" t="s">
        <v>54</v>
      </c>
      <c r="X146" s="180" t="s">
        <v>78</v>
      </c>
      <c r="Y146" s="183">
        <v>0.51388888888888895</v>
      </c>
      <c r="Z146" s="180" t="s">
        <v>56</v>
      </c>
      <c r="AA146" s="180" t="s">
        <v>929</v>
      </c>
      <c r="AB146" s="182"/>
      <c r="AC146" s="214" t="s">
        <v>954</v>
      </c>
      <c r="AD146" s="180" t="s">
        <v>955</v>
      </c>
      <c r="AE146" s="180" t="s">
        <v>956</v>
      </c>
      <c r="AF146" s="180">
        <v>32</v>
      </c>
      <c r="AG146" s="180" t="s">
        <v>237</v>
      </c>
      <c r="AH146" s="180" t="s">
        <v>61</v>
      </c>
      <c r="AI146" s="187" t="s">
        <v>62</v>
      </c>
      <c r="AJ146" s="187" t="s">
        <v>148</v>
      </c>
      <c r="AK146" s="189" t="s">
        <v>957</v>
      </c>
      <c r="AL146" s="182" t="s">
        <v>65</v>
      </c>
      <c r="AM146" s="182" t="s">
        <v>66</v>
      </c>
      <c r="AN146" s="182" t="s">
        <v>66</v>
      </c>
      <c r="AO146" s="182" t="s">
        <v>844</v>
      </c>
      <c r="AP146" s="182" t="s">
        <v>907</v>
      </c>
    </row>
    <row r="147" spans="1:42" s="185" customFormat="1" hidden="1" x14ac:dyDescent="0.2">
      <c r="A147" s="180">
        <v>2022</v>
      </c>
      <c r="B147" s="180" t="s">
        <v>908</v>
      </c>
      <c r="C147" s="180" t="s">
        <v>44</v>
      </c>
      <c r="D147" s="241" t="s">
        <v>958</v>
      </c>
      <c r="E147" s="241" t="s">
        <v>959</v>
      </c>
      <c r="F147" s="180" t="s">
        <v>47</v>
      </c>
      <c r="G147" s="180" t="s">
        <v>960</v>
      </c>
      <c r="H147" s="181">
        <v>42720</v>
      </c>
      <c r="I147" s="180">
        <f t="shared" si="9"/>
        <v>70</v>
      </c>
      <c r="J147" s="181">
        <v>44874</v>
      </c>
      <c r="K147" s="180" t="str">
        <f t="shared" si="10"/>
        <v>ANTIGUO</v>
      </c>
      <c r="L147" s="181"/>
      <c r="M147" s="180"/>
      <c r="N147" s="180"/>
      <c r="O147" s="180"/>
      <c r="P147" s="180" t="s">
        <v>49</v>
      </c>
      <c r="Q147" s="180"/>
      <c r="R147" s="182"/>
      <c r="S147" s="180" t="s">
        <v>271</v>
      </c>
      <c r="T147" s="180" t="s">
        <v>271</v>
      </c>
      <c r="U147" s="180" t="s">
        <v>52</v>
      </c>
      <c r="V147" s="180" t="s">
        <v>272</v>
      </c>
      <c r="W147" s="180" t="s">
        <v>54</v>
      </c>
      <c r="X147" s="180" t="s">
        <v>78</v>
      </c>
      <c r="Y147" s="183">
        <v>0.30208333333333331</v>
      </c>
      <c r="Z147" s="180" t="s">
        <v>164</v>
      </c>
      <c r="AA147" s="180" t="s">
        <v>929</v>
      </c>
      <c r="AB147" s="182"/>
      <c r="AC147" s="212"/>
      <c r="AD147" s="180" t="s">
        <v>275</v>
      </c>
      <c r="AE147" s="180" t="s">
        <v>349</v>
      </c>
      <c r="AF147" s="180">
        <v>47</v>
      </c>
      <c r="AG147" s="180" t="s">
        <v>237</v>
      </c>
      <c r="AH147" s="180" t="s">
        <v>129</v>
      </c>
      <c r="AI147" s="187" t="s">
        <v>62</v>
      </c>
      <c r="AJ147" s="187" t="s">
        <v>148</v>
      </c>
      <c r="AK147" s="189" t="s">
        <v>961</v>
      </c>
      <c r="AL147" s="182" t="s">
        <v>87</v>
      </c>
      <c r="AM147" s="182" t="s">
        <v>66</v>
      </c>
      <c r="AN147" s="182" t="s">
        <v>67</v>
      </c>
      <c r="AO147" s="182" t="s">
        <v>844</v>
      </c>
      <c r="AP147" s="182" t="s">
        <v>907</v>
      </c>
    </row>
    <row r="148" spans="1:42" s="185" customFormat="1" hidden="1" x14ac:dyDescent="0.2">
      <c r="A148" s="180">
        <v>2022</v>
      </c>
      <c r="B148" s="180" t="s">
        <v>908</v>
      </c>
      <c r="C148" s="180" t="s">
        <v>44</v>
      </c>
      <c r="D148" s="180" t="s">
        <v>962</v>
      </c>
      <c r="E148" s="180" t="s">
        <v>963</v>
      </c>
      <c r="F148" s="180" t="s">
        <v>73</v>
      </c>
      <c r="G148" s="180" t="s">
        <v>964</v>
      </c>
      <c r="H148" s="181">
        <v>43332</v>
      </c>
      <c r="I148" s="180">
        <f t="shared" si="9"/>
        <v>50</v>
      </c>
      <c r="J148" s="181">
        <v>44874</v>
      </c>
      <c r="K148" s="180" t="str">
        <f t="shared" si="10"/>
        <v>ANTIGUO</v>
      </c>
      <c r="L148" s="180"/>
      <c r="M148" s="180"/>
      <c r="N148" s="180"/>
      <c r="O148" s="180" t="s">
        <v>449</v>
      </c>
      <c r="P148" s="180" t="s">
        <v>49</v>
      </c>
      <c r="Q148" s="180"/>
      <c r="R148" s="182"/>
      <c r="S148" s="180" t="s">
        <v>50</v>
      </c>
      <c r="T148" s="180" t="s">
        <v>51</v>
      </c>
      <c r="U148" s="180" t="s">
        <v>52</v>
      </c>
      <c r="V148" s="180" t="s">
        <v>730</v>
      </c>
      <c r="W148" s="180" t="s">
        <v>54</v>
      </c>
      <c r="X148" s="180" t="s">
        <v>55</v>
      </c>
      <c r="Y148" s="183">
        <v>0.94444444444444453</v>
      </c>
      <c r="Z148" s="180" t="s">
        <v>56</v>
      </c>
      <c r="AA148" s="180" t="s">
        <v>929</v>
      </c>
      <c r="AB148" s="182"/>
      <c r="AC148" s="212"/>
      <c r="AD148" s="180" t="s">
        <v>58</v>
      </c>
      <c r="AE148" s="180" t="s">
        <v>59</v>
      </c>
      <c r="AF148" s="180">
        <v>33</v>
      </c>
      <c r="AG148" s="180" t="s">
        <v>83</v>
      </c>
      <c r="AH148" s="180" t="s">
        <v>338</v>
      </c>
      <c r="AI148" s="180" t="s">
        <v>62</v>
      </c>
      <c r="AJ148" s="180" t="s">
        <v>85</v>
      </c>
      <c r="AK148" s="184" t="s">
        <v>965</v>
      </c>
      <c r="AL148" s="182" t="s">
        <v>87</v>
      </c>
      <c r="AM148" s="182" t="s">
        <v>66</v>
      </c>
      <c r="AN148" s="182" t="s">
        <v>67</v>
      </c>
      <c r="AO148" s="182" t="s">
        <v>844</v>
      </c>
      <c r="AP148" s="182" t="s">
        <v>907</v>
      </c>
    </row>
    <row r="149" spans="1:42" s="185" customFormat="1" hidden="1" x14ac:dyDescent="0.2">
      <c r="A149" s="187">
        <v>2022</v>
      </c>
      <c r="B149" s="187" t="s">
        <v>908</v>
      </c>
      <c r="C149" s="187" t="s">
        <v>44</v>
      </c>
      <c r="D149" s="187" t="s">
        <v>966</v>
      </c>
      <c r="E149" s="187" t="s">
        <v>967</v>
      </c>
      <c r="F149" s="180" t="s">
        <v>73</v>
      </c>
      <c r="G149" s="180" t="s">
        <v>968</v>
      </c>
      <c r="H149" s="181">
        <v>44872</v>
      </c>
      <c r="I149" s="180">
        <f t="shared" si="9"/>
        <v>0</v>
      </c>
      <c r="J149" s="181">
        <v>44874</v>
      </c>
      <c r="K149" s="180" t="str">
        <f t="shared" si="10"/>
        <v>NUEVO</v>
      </c>
      <c r="L149" s="180" t="s">
        <v>969</v>
      </c>
      <c r="M149" s="180"/>
      <c r="N149" s="180"/>
      <c r="O149" s="180" t="s">
        <v>449</v>
      </c>
      <c r="P149" s="180" t="s">
        <v>49</v>
      </c>
      <c r="Q149" s="180"/>
      <c r="R149" s="182"/>
      <c r="S149" s="180" t="s">
        <v>50</v>
      </c>
      <c r="T149" s="180" t="s">
        <v>135</v>
      </c>
      <c r="U149" s="180" t="s">
        <v>52</v>
      </c>
      <c r="V149" s="180" t="s">
        <v>135</v>
      </c>
      <c r="W149" s="180" t="s">
        <v>54</v>
      </c>
      <c r="X149" s="180" t="s">
        <v>970</v>
      </c>
      <c r="Y149" s="183">
        <v>0.55208333333333337</v>
      </c>
      <c r="Z149" s="180" t="s">
        <v>56</v>
      </c>
      <c r="AA149" s="180" t="s">
        <v>929</v>
      </c>
      <c r="AB149" s="182"/>
      <c r="AC149" s="212"/>
      <c r="AD149" s="180" t="s">
        <v>971</v>
      </c>
      <c r="AE149" s="180" t="s">
        <v>212</v>
      </c>
      <c r="AF149" s="180">
        <v>20</v>
      </c>
      <c r="AG149" s="180" t="s">
        <v>147</v>
      </c>
      <c r="AH149" s="180" t="s">
        <v>61</v>
      </c>
      <c r="AI149" s="180" t="s">
        <v>237</v>
      </c>
      <c r="AJ149" s="180" t="s">
        <v>130</v>
      </c>
      <c r="AK149" s="184" t="s">
        <v>972</v>
      </c>
      <c r="AL149" s="182" t="s">
        <v>65</v>
      </c>
      <c r="AM149" s="182" t="s">
        <v>66</v>
      </c>
      <c r="AN149" s="182" t="s">
        <v>67</v>
      </c>
      <c r="AO149" s="182" t="s">
        <v>844</v>
      </c>
      <c r="AP149" s="182" t="s">
        <v>907</v>
      </c>
    </row>
    <row r="150" spans="1:42" s="185" customFormat="1" hidden="1" x14ac:dyDescent="0.2">
      <c r="A150" s="241">
        <v>2022</v>
      </c>
      <c r="B150" s="187" t="s">
        <v>908</v>
      </c>
      <c r="C150" s="187" t="s">
        <v>44</v>
      </c>
      <c r="D150" s="187" t="s">
        <v>973</v>
      </c>
      <c r="E150" s="187" t="s">
        <v>974</v>
      </c>
      <c r="F150" s="180" t="s">
        <v>73</v>
      </c>
      <c r="G150" s="180" t="s">
        <v>975</v>
      </c>
      <c r="H150" s="181">
        <v>44767</v>
      </c>
      <c r="I150" s="180">
        <f t="shared" si="9"/>
        <v>3</v>
      </c>
      <c r="J150" s="181">
        <v>44875</v>
      </c>
      <c r="K150" s="180" t="str">
        <f t="shared" si="10"/>
        <v>NUEVO</v>
      </c>
      <c r="L150" s="181">
        <v>44875</v>
      </c>
      <c r="M150" s="180"/>
      <c r="N150" s="180"/>
      <c r="O150" s="180">
        <v>8</v>
      </c>
      <c r="P150" s="180" t="s">
        <v>141</v>
      </c>
      <c r="Q150" s="180"/>
      <c r="R150" s="182"/>
      <c r="S150" s="180" t="s">
        <v>271</v>
      </c>
      <c r="T150" s="180" t="s">
        <v>273</v>
      </c>
      <c r="U150" s="180" t="s">
        <v>52</v>
      </c>
      <c r="V150" s="180" t="s">
        <v>273</v>
      </c>
      <c r="W150" s="180" t="s">
        <v>54</v>
      </c>
      <c r="X150" s="180" t="s">
        <v>78</v>
      </c>
      <c r="Y150" s="183">
        <v>0.28472222222222221</v>
      </c>
      <c r="Z150" s="180" t="s">
        <v>164</v>
      </c>
      <c r="AA150" s="180" t="s">
        <v>929</v>
      </c>
      <c r="AB150" s="182"/>
      <c r="AC150" s="214" t="s">
        <v>976</v>
      </c>
      <c r="AD150" s="180" t="s">
        <v>275</v>
      </c>
      <c r="AE150" s="180" t="s">
        <v>923</v>
      </c>
      <c r="AF150" s="180">
        <v>40</v>
      </c>
      <c r="AG150" s="180" t="s">
        <v>83</v>
      </c>
      <c r="AH150" s="180" t="s">
        <v>61</v>
      </c>
      <c r="AI150" s="180" t="s">
        <v>62</v>
      </c>
      <c r="AJ150" s="180" t="s">
        <v>85</v>
      </c>
      <c r="AK150" s="184" t="s">
        <v>977</v>
      </c>
      <c r="AL150" s="182" t="s">
        <v>87</v>
      </c>
      <c r="AM150" s="182" t="s">
        <v>66</v>
      </c>
      <c r="AN150" s="182" t="s">
        <v>66</v>
      </c>
      <c r="AO150" s="182" t="s">
        <v>865</v>
      </c>
      <c r="AP150" s="182" t="s">
        <v>351</v>
      </c>
    </row>
    <row r="151" spans="1:42" s="185" customFormat="1" hidden="1" x14ac:dyDescent="0.2">
      <c r="A151" s="180">
        <v>2022</v>
      </c>
      <c r="B151" s="180" t="s">
        <v>70</v>
      </c>
      <c r="C151" s="180" t="s">
        <v>44</v>
      </c>
      <c r="D151" s="180" t="s">
        <v>978</v>
      </c>
      <c r="E151" s="180" t="s">
        <v>979</v>
      </c>
      <c r="F151" s="180" t="s">
        <v>73</v>
      </c>
      <c r="G151" s="180" t="s">
        <v>980</v>
      </c>
      <c r="H151" s="181">
        <v>29814</v>
      </c>
      <c r="I151" s="180">
        <f t="shared" si="9"/>
        <v>494</v>
      </c>
      <c r="J151" s="181">
        <v>44875</v>
      </c>
      <c r="K151" s="180" t="str">
        <f t="shared" si="10"/>
        <v>ANTIGUO</v>
      </c>
      <c r="L151" s="180"/>
      <c r="M151" s="180"/>
      <c r="N151" s="180"/>
      <c r="O151" s="180">
        <v>0</v>
      </c>
      <c r="P151" s="180" t="s">
        <v>49</v>
      </c>
      <c r="Q151" s="180"/>
      <c r="R151" s="182"/>
      <c r="S151" s="180" t="s">
        <v>50</v>
      </c>
      <c r="T151" s="180" t="s">
        <v>135</v>
      </c>
      <c r="U151" s="180" t="s">
        <v>31</v>
      </c>
      <c r="V151" s="180" t="s">
        <v>123</v>
      </c>
      <c r="W151" s="180" t="s">
        <v>54</v>
      </c>
      <c r="X151" s="180" t="s">
        <v>55</v>
      </c>
      <c r="Y151" s="183">
        <v>0.8125</v>
      </c>
      <c r="Z151" s="180" t="s">
        <v>79</v>
      </c>
      <c r="AA151" s="180" t="s">
        <v>165</v>
      </c>
      <c r="AB151" s="182"/>
      <c r="AC151" s="212"/>
      <c r="AD151" s="180" t="s">
        <v>58</v>
      </c>
      <c r="AE151" s="180" t="s">
        <v>136</v>
      </c>
      <c r="AF151" s="180">
        <v>40</v>
      </c>
      <c r="AG151" s="180" t="s">
        <v>254</v>
      </c>
      <c r="AH151" s="180" t="s">
        <v>207</v>
      </c>
      <c r="AI151" s="180" t="s">
        <v>62</v>
      </c>
      <c r="AJ151" s="180" t="s">
        <v>85</v>
      </c>
      <c r="AK151" s="184" t="s">
        <v>981</v>
      </c>
      <c r="AL151" s="182" t="s">
        <v>87</v>
      </c>
      <c r="AM151" s="182" t="s">
        <v>67</v>
      </c>
      <c r="AN151" s="182" t="s">
        <v>67</v>
      </c>
      <c r="AO151" s="182" t="s">
        <v>88</v>
      </c>
      <c r="AP151" s="182" t="s">
        <v>69</v>
      </c>
    </row>
    <row r="152" spans="1:42" s="185" customFormat="1" hidden="1" x14ac:dyDescent="0.2">
      <c r="A152" s="180">
        <v>2022</v>
      </c>
      <c r="B152" s="180" t="s">
        <v>908</v>
      </c>
      <c r="C152" s="180" t="s">
        <v>44</v>
      </c>
      <c r="D152" s="180" t="s">
        <v>982</v>
      </c>
      <c r="E152" s="180" t="s">
        <v>390</v>
      </c>
      <c r="F152" s="180" t="s">
        <v>73</v>
      </c>
      <c r="G152" s="180" t="s">
        <v>983</v>
      </c>
      <c r="H152" s="181">
        <v>39849</v>
      </c>
      <c r="I152" s="180">
        <f t="shared" si="9"/>
        <v>165</v>
      </c>
      <c r="J152" s="181">
        <v>44875</v>
      </c>
      <c r="K152" s="180" t="str">
        <f t="shared" si="10"/>
        <v>ANTIGUO</v>
      </c>
      <c r="L152" s="180"/>
      <c r="M152" s="180"/>
      <c r="N152" s="180"/>
      <c r="O152" s="180" t="s">
        <v>449</v>
      </c>
      <c r="P152" s="180" t="s">
        <v>49</v>
      </c>
      <c r="Q152" s="180"/>
      <c r="R152" s="182"/>
      <c r="S152" s="180" t="s">
        <v>75</v>
      </c>
      <c r="T152" s="180" t="s">
        <v>51</v>
      </c>
      <c r="U152" s="180" t="s">
        <v>52</v>
      </c>
      <c r="V152" s="180" t="s">
        <v>730</v>
      </c>
      <c r="W152" s="180" t="s">
        <v>54</v>
      </c>
      <c r="X152" s="180" t="s">
        <v>55</v>
      </c>
      <c r="Y152" s="183">
        <v>0.98958333333333337</v>
      </c>
      <c r="Z152" s="180" t="s">
        <v>164</v>
      </c>
      <c r="AA152" s="180" t="s">
        <v>929</v>
      </c>
      <c r="AB152" s="182"/>
      <c r="AC152" s="212"/>
      <c r="AD152" s="180" t="s">
        <v>215</v>
      </c>
      <c r="AE152" s="180" t="s">
        <v>337</v>
      </c>
      <c r="AF152" s="180">
        <v>65</v>
      </c>
      <c r="AG152" s="180" t="s">
        <v>83</v>
      </c>
      <c r="AH152" s="180" t="s">
        <v>186</v>
      </c>
      <c r="AI152" s="180" t="s">
        <v>62</v>
      </c>
      <c r="AJ152" s="180" t="s">
        <v>156</v>
      </c>
      <c r="AK152" s="184" t="s">
        <v>984</v>
      </c>
      <c r="AL152" s="182" t="s">
        <v>87</v>
      </c>
      <c r="AM152" s="182" t="s">
        <v>66</v>
      </c>
      <c r="AN152" s="182" t="s">
        <v>67</v>
      </c>
      <c r="AO152" s="182" t="s">
        <v>844</v>
      </c>
      <c r="AP152" s="182" t="s">
        <v>351</v>
      </c>
    </row>
    <row r="153" spans="1:42" s="185" customFormat="1" hidden="1" x14ac:dyDescent="0.2">
      <c r="A153" s="180">
        <v>2022</v>
      </c>
      <c r="B153" s="180" t="s">
        <v>908</v>
      </c>
      <c r="C153" s="180" t="s">
        <v>44</v>
      </c>
      <c r="D153" s="180" t="s">
        <v>985</v>
      </c>
      <c r="E153" s="180" t="s">
        <v>986</v>
      </c>
      <c r="F153" s="180" t="s">
        <v>73</v>
      </c>
      <c r="G153" s="180" t="s">
        <v>987</v>
      </c>
      <c r="H153" s="181">
        <v>36258</v>
      </c>
      <c r="I153" s="180">
        <f t="shared" si="9"/>
        <v>283</v>
      </c>
      <c r="J153" s="181">
        <v>44877</v>
      </c>
      <c r="K153" s="180" t="str">
        <f t="shared" si="10"/>
        <v>ANTIGUO</v>
      </c>
      <c r="L153" s="180"/>
      <c r="M153" s="180"/>
      <c r="N153" s="180"/>
      <c r="O153" s="180"/>
      <c r="P153" s="180" t="s">
        <v>49</v>
      </c>
      <c r="Q153" s="180" t="s">
        <v>107</v>
      </c>
      <c r="R153" s="182" t="s">
        <v>243</v>
      </c>
      <c r="S153" s="180" t="s">
        <v>121</v>
      </c>
      <c r="T153" s="180" t="s">
        <v>988</v>
      </c>
      <c r="U153" s="180" t="s">
        <v>52</v>
      </c>
      <c r="V153" s="180" t="s">
        <v>988</v>
      </c>
      <c r="W153" s="180" t="s">
        <v>989</v>
      </c>
      <c r="X153" s="180" t="s">
        <v>78</v>
      </c>
      <c r="Y153" s="183">
        <v>0.22916666666666666</v>
      </c>
      <c r="Z153" s="180" t="s">
        <v>154</v>
      </c>
      <c r="AA153" s="180" t="s">
        <v>929</v>
      </c>
      <c r="AB153" s="182"/>
      <c r="AC153" s="212"/>
      <c r="AD153" s="180" t="s">
        <v>126</v>
      </c>
      <c r="AE153" s="180" t="s">
        <v>990</v>
      </c>
      <c r="AF153" s="180">
        <v>23</v>
      </c>
      <c r="AG153" s="180" t="s">
        <v>237</v>
      </c>
      <c r="AH153" s="180" t="s">
        <v>338</v>
      </c>
      <c r="AI153" s="180" t="s">
        <v>114</v>
      </c>
      <c r="AJ153" s="180" t="s">
        <v>247</v>
      </c>
      <c r="AK153" s="184" t="s">
        <v>991</v>
      </c>
      <c r="AL153" s="182" t="s">
        <v>65</v>
      </c>
      <c r="AM153" s="182" t="s">
        <v>66</v>
      </c>
      <c r="AN153" s="182" t="s">
        <v>67</v>
      </c>
      <c r="AO153" s="182" t="s">
        <v>844</v>
      </c>
      <c r="AP153" s="182" t="s">
        <v>89</v>
      </c>
    </row>
    <row r="154" spans="1:42" s="185" customFormat="1" hidden="1" x14ac:dyDescent="0.2">
      <c r="A154" s="216">
        <v>2022</v>
      </c>
      <c r="B154" s="216" t="s">
        <v>992</v>
      </c>
      <c r="C154" s="216" t="s">
        <v>993</v>
      </c>
      <c r="D154" s="216" t="s">
        <v>994</v>
      </c>
      <c r="E154" s="216" t="s">
        <v>995</v>
      </c>
      <c r="F154" s="216" t="s">
        <v>73</v>
      </c>
      <c r="G154" s="216" t="s">
        <v>996</v>
      </c>
      <c r="H154" s="264"/>
      <c r="I154" s="216"/>
      <c r="J154" s="264">
        <v>44880</v>
      </c>
      <c r="K154" s="216"/>
      <c r="L154" s="216"/>
      <c r="M154" s="216"/>
      <c r="N154" s="216"/>
      <c r="O154" s="216"/>
      <c r="P154" s="216"/>
      <c r="Q154" s="216"/>
      <c r="R154" s="260"/>
      <c r="S154" s="216"/>
      <c r="T154" s="216"/>
      <c r="U154" s="216"/>
      <c r="V154" s="216"/>
      <c r="W154" s="216"/>
      <c r="X154" s="216"/>
      <c r="Y154" s="265"/>
      <c r="Z154" s="216"/>
      <c r="AA154" s="216"/>
      <c r="AB154" s="260"/>
      <c r="AC154" s="214"/>
      <c r="AD154" s="216"/>
      <c r="AE154" s="216"/>
      <c r="AF154" s="216"/>
      <c r="AG154" s="216"/>
      <c r="AH154" s="216"/>
      <c r="AI154" s="216"/>
      <c r="AJ154" s="216"/>
      <c r="AK154" s="266" t="s">
        <v>997</v>
      </c>
      <c r="AL154" s="260"/>
      <c r="AM154" s="260"/>
      <c r="AN154" s="260"/>
      <c r="AO154" s="260"/>
      <c r="AP154" s="260"/>
    </row>
    <row r="155" spans="1:42" s="185" customFormat="1" hidden="1" x14ac:dyDescent="0.2">
      <c r="A155" s="180">
        <v>2022</v>
      </c>
      <c r="B155" s="180" t="s">
        <v>908</v>
      </c>
      <c r="C155" s="180" t="s">
        <v>44</v>
      </c>
      <c r="D155" s="180" t="s">
        <v>998</v>
      </c>
      <c r="E155" s="180" t="s">
        <v>999</v>
      </c>
      <c r="F155" s="180" t="s">
        <v>47</v>
      </c>
      <c r="G155" s="180" t="s">
        <v>1000</v>
      </c>
      <c r="H155" s="181">
        <v>42819</v>
      </c>
      <c r="I155" s="180">
        <f t="shared" ref="I155:I186" si="11">DATEDIF(H155,J155,"m")</f>
        <v>67</v>
      </c>
      <c r="J155" s="181">
        <v>44881</v>
      </c>
      <c r="K155" s="180" t="str">
        <f t="shared" ref="K155:K186" si="12">IF(I155&lt;=18,"NUEVO",IF(I155&lt;=36,"INTERMEDIO","ANTIGUO"))</f>
        <v>ANTIGUO</v>
      </c>
      <c r="L155" s="180"/>
      <c r="M155" s="180"/>
      <c r="N155" s="180"/>
      <c r="O155" s="180" t="s">
        <v>449</v>
      </c>
      <c r="P155" s="180" t="s">
        <v>49</v>
      </c>
      <c r="Q155" s="216"/>
      <c r="R155" s="260"/>
      <c r="S155" s="180" t="s">
        <v>50</v>
      </c>
      <c r="T155" s="180" t="s">
        <v>51</v>
      </c>
      <c r="U155" s="180" t="s">
        <v>52</v>
      </c>
      <c r="V155" s="180" t="s">
        <v>135</v>
      </c>
      <c r="W155" s="180" t="s">
        <v>1001</v>
      </c>
      <c r="X155" s="180" t="s">
        <v>55</v>
      </c>
      <c r="Y155" s="183">
        <v>0.65277777777777779</v>
      </c>
      <c r="Z155" s="180" t="s">
        <v>56</v>
      </c>
      <c r="AA155" s="180" t="s">
        <v>1002</v>
      </c>
      <c r="AB155" s="182"/>
      <c r="AC155" s="212"/>
      <c r="AD155" s="180" t="s">
        <v>58</v>
      </c>
      <c r="AE155" s="187" t="s">
        <v>522</v>
      </c>
      <c r="AF155" s="180">
        <v>44</v>
      </c>
      <c r="AG155" s="180" t="s">
        <v>329</v>
      </c>
      <c r="AH155" s="180" t="s">
        <v>186</v>
      </c>
      <c r="AI155" s="180" t="s">
        <v>62</v>
      </c>
      <c r="AJ155" s="180" t="s">
        <v>148</v>
      </c>
      <c r="AK155" s="184" t="s">
        <v>1003</v>
      </c>
      <c r="AL155" s="182" t="s">
        <v>87</v>
      </c>
      <c r="AM155" s="182" t="s">
        <v>66</v>
      </c>
      <c r="AN155" s="182" t="s">
        <v>67</v>
      </c>
      <c r="AO155" s="182" t="s">
        <v>844</v>
      </c>
      <c r="AP155" s="182" t="s">
        <v>89</v>
      </c>
    </row>
    <row r="156" spans="1:42" s="185" customFormat="1" ht="25.5" hidden="1" x14ac:dyDescent="0.2">
      <c r="A156" s="182">
        <v>2022</v>
      </c>
      <c r="B156" s="182" t="s">
        <v>908</v>
      </c>
      <c r="C156" s="182" t="s">
        <v>44</v>
      </c>
      <c r="D156" s="182" t="s">
        <v>1004</v>
      </c>
      <c r="E156" s="182" t="s">
        <v>1005</v>
      </c>
      <c r="F156" s="182" t="s">
        <v>73</v>
      </c>
      <c r="G156" s="182" t="s">
        <v>1006</v>
      </c>
      <c r="H156" s="254">
        <v>44754</v>
      </c>
      <c r="I156" s="182">
        <f t="shared" si="11"/>
        <v>4</v>
      </c>
      <c r="J156" s="254">
        <v>44882</v>
      </c>
      <c r="K156" s="182" t="str">
        <f t="shared" si="12"/>
        <v>NUEVO</v>
      </c>
      <c r="L156" s="182"/>
      <c r="M156" s="182"/>
      <c r="N156" s="182"/>
      <c r="O156" s="182" t="s">
        <v>449</v>
      </c>
      <c r="P156" s="182" t="s">
        <v>49</v>
      </c>
      <c r="Q156" s="182" t="s">
        <v>107</v>
      </c>
      <c r="R156" s="182" t="s">
        <v>410</v>
      </c>
      <c r="S156" s="182" t="s">
        <v>50</v>
      </c>
      <c r="T156" s="182" t="s">
        <v>51</v>
      </c>
      <c r="U156" s="182" t="s">
        <v>52</v>
      </c>
      <c r="V156" s="182" t="s">
        <v>1007</v>
      </c>
      <c r="W156" s="182" t="s">
        <v>163</v>
      </c>
      <c r="X156" s="182" t="s">
        <v>55</v>
      </c>
      <c r="Y156" s="261">
        <v>0.94444444444444453</v>
      </c>
      <c r="Z156" s="182" t="s">
        <v>164</v>
      </c>
      <c r="AA156" s="182" t="s">
        <v>1002</v>
      </c>
      <c r="AB156" s="182"/>
      <c r="AC156" s="212"/>
      <c r="AD156" s="182" t="s">
        <v>58</v>
      </c>
      <c r="AE156" s="182" t="s">
        <v>212</v>
      </c>
      <c r="AF156" s="182">
        <v>40</v>
      </c>
      <c r="AG156" s="182" t="s">
        <v>329</v>
      </c>
      <c r="AH156" s="182" t="s">
        <v>84</v>
      </c>
      <c r="AI156" s="182" t="s">
        <v>62</v>
      </c>
      <c r="AJ156" s="182" t="s">
        <v>63</v>
      </c>
      <c r="AK156" s="262" t="s">
        <v>1008</v>
      </c>
      <c r="AL156" s="182" t="s">
        <v>65</v>
      </c>
      <c r="AM156" s="182" t="s">
        <v>66</v>
      </c>
      <c r="AN156" s="182" t="s">
        <v>67</v>
      </c>
      <c r="AO156" s="182" t="s">
        <v>844</v>
      </c>
      <c r="AP156" s="182" t="s">
        <v>907</v>
      </c>
    </row>
    <row r="157" spans="1:42" s="185" customFormat="1" hidden="1" x14ac:dyDescent="0.2">
      <c r="A157" s="180">
        <v>2022</v>
      </c>
      <c r="B157" s="180" t="s">
        <v>908</v>
      </c>
      <c r="C157" s="180" t="s">
        <v>44</v>
      </c>
      <c r="D157" s="187" t="s">
        <v>1009</v>
      </c>
      <c r="E157" s="187" t="s">
        <v>1010</v>
      </c>
      <c r="F157" s="180" t="s">
        <v>73</v>
      </c>
      <c r="G157" s="180" t="s">
        <v>1011</v>
      </c>
      <c r="H157" s="181">
        <v>37490</v>
      </c>
      <c r="I157" s="180">
        <f t="shared" si="11"/>
        <v>242</v>
      </c>
      <c r="J157" s="181">
        <v>44883</v>
      </c>
      <c r="K157" s="180" t="str">
        <f t="shared" si="12"/>
        <v>ANTIGUO</v>
      </c>
      <c r="L157" s="181">
        <v>44884</v>
      </c>
      <c r="M157" s="180"/>
      <c r="N157" s="180"/>
      <c r="O157" s="180" t="s">
        <v>449</v>
      </c>
      <c r="P157" s="180" t="s">
        <v>49</v>
      </c>
      <c r="Q157" s="180"/>
      <c r="R157" s="182"/>
      <c r="S157" s="180" t="s">
        <v>50</v>
      </c>
      <c r="T157" s="180" t="s">
        <v>51</v>
      </c>
      <c r="U157" s="180" t="s">
        <v>52</v>
      </c>
      <c r="V157" s="180" t="s">
        <v>135</v>
      </c>
      <c r="W157" s="180" t="s">
        <v>54</v>
      </c>
      <c r="X157" s="180" t="s">
        <v>55</v>
      </c>
      <c r="Y157" s="183">
        <v>0.96875</v>
      </c>
      <c r="Z157" s="180" t="s">
        <v>183</v>
      </c>
      <c r="AA157" s="180" t="s">
        <v>1002</v>
      </c>
      <c r="AB157" s="182"/>
      <c r="AC157" s="212"/>
      <c r="AD157" s="180" t="s">
        <v>58</v>
      </c>
      <c r="AE157" s="180" t="s">
        <v>212</v>
      </c>
      <c r="AF157" s="180">
        <v>41</v>
      </c>
      <c r="AG157" s="180" t="s">
        <v>237</v>
      </c>
      <c r="AH157" s="180" t="s">
        <v>61</v>
      </c>
      <c r="AI157" s="180" t="s">
        <v>237</v>
      </c>
      <c r="AJ157" s="180" t="s">
        <v>237</v>
      </c>
      <c r="AK157" s="184" t="s">
        <v>1012</v>
      </c>
      <c r="AL157" s="182" t="s">
        <v>65</v>
      </c>
      <c r="AM157" s="182" t="s">
        <v>66</v>
      </c>
      <c r="AN157" s="182" t="s">
        <v>67</v>
      </c>
      <c r="AO157" s="182" t="s">
        <v>844</v>
      </c>
      <c r="AP157" s="182" t="s">
        <v>907</v>
      </c>
    </row>
    <row r="158" spans="1:42" s="185" customFormat="1" hidden="1" x14ac:dyDescent="0.2">
      <c r="A158" s="182">
        <v>2022</v>
      </c>
      <c r="B158" s="182" t="s">
        <v>908</v>
      </c>
      <c r="C158" s="182" t="s">
        <v>44</v>
      </c>
      <c r="D158" s="180" t="s">
        <v>1013</v>
      </c>
      <c r="E158" s="180" t="s">
        <v>986</v>
      </c>
      <c r="F158" s="180" t="s">
        <v>73</v>
      </c>
      <c r="G158" s="180" t="s">
        <v>1014</v>
      </c>
      <c r="H158" s="181">
        <v>44882</v>
      </c>
      <c r="I158" s="180">
        <f t="shared" si="11"/>
        <v>0</v>
      </c>
      <c r="J158" s="181">
        <v>44886</v>
      </c>
      <c r="K158" s="180" t="str">
        <f t="shared" si="12"/>
        <v>NUEVO</v>
      </c>
      <c r="L158" s="180"/>
      <c r="M158" s="180"/>
      <c r="N158" s="180"/>
      <c r="O158" s="180" t="s">
        <v>449</v>
      </c>
      <c r="P158" s="180" t="s">
        <v>49</v>
      </c>
      <c r="Q158" s="180"/>
      <c r="R158" s="182"/>
      <c r="S158" s="180" t="s">
        <v>50</v>
      </c>
      <c r="T158" s="180" t="s">
        <v>51</v>
      </c>
      <c r="U158" s="180" t="s">
        <v>52</v>
      </c>
      <c r="V158" s="180" t="s">
        <v>730</v>
      </c>
      <c r="W158" s="180" t="s">
        <v>54</v>
      </c>
      <c r="X158" s="180" t="s">
        <v>78</v>
      </c>
      <c r="Y158" s="183">
        <v>0.55208333333333337</v>
      </c>
      <c r="Z158" s="180" t="s">
        <v>79</v>
      </c>
      <c r="AA158" s="180" t="s">
        <v>1015</v>
      </c>
      <c r="AB158" s="182"/>
      <c r="AC158" s="212"/>
      <c r="AD158" s="180" t="s">
        <v>58</v>
      </c>
      <c r="AE158" s="180" t="s">
        <v>228</v>
      </c>
      <c r="AF158" s="180" t="s">
        <v>449</v>
      </c>
      <c r="AG158" s="180" t="s">
        <v>147</v>
      </c>
      <c r="AH158" s="180" t="s">
        <v>61</v>
      </c>
      <c r="AI158" s="180" t="s">
        <v>408</v>
      </c>
      <c r="AJ158" s="180" t="s">
        <v>199</v>
      </c>
      <c r="AK158" s="184" t="s">
        <v>1016</v>
      </c>
      <c r="AL158" s="182" t="s">
        <v>65</v>
      </c>
      <c r="AM158" s="182" t="s">
        <v>66</v>
      </c>
      <c r="AN158" s="182" t="s">
        <v>67</v>
      </c>
      <c r="AO158" s="182" t="s">
        <v>844</v>
      </c>
      <c r="AP158" s="182" t="s">
        <v>907</v>
      </c>
    </row>
    <row r="159" spans="1:42" s="185" customFormat="1" hidden="1" x14ac:dyDescent="0.2">
      <c r="A159" s="241">
        <v>2022</v>
      </c>
      <c r="B159" s="180" t="s">
        <v>908</v>
      </c>
      <c r="C159" s="180" t="s">
        <v>44</v>
      </c>
      <c r="D159" s="241" t="s">
        <v>1017</v>
      </c>
      <c r="E159" s="241" t="s">
        <v>1018</v>
      </c>
      <c r="F159" s="180" t="s">
        <v>47</v>
      </c>
      <c r="G159" s="180" t="s">
        <v>1019</v>
      </c>
      <c r="H159" s="181">
        <v>41918</v>
      </c>
      <c r="I159" s="180">
        <f t="shared" si="11"/>
        <v>97</v>
      </c>
      <c r="J159" s="181">
        <v>44886</v>
      </c>
      <c r="K159" s="180" t="str">
        <f t="shared" si="12"/>
        <v>ANTIGUO</v>
      </c>
      <c r="L159" s="181">
        <v>44887</v>
      </c>
      <c r="M159" s="180"/>
      <c r="N159" s="180"/>
      <c r="O159" s="180">
        <v>0</v>
      </c>
      <c r="P159" s="180" t="s">
        <v>49</v>
      </c>
      <c r="Q159" s="180"/>
      <c r="R159" s="182"/>
      <c r="S159" s="180" t="s">
        <v>75</v>
      </c>
      <c r="T159" s="180" t="s">
        <v>75</v>
      </c>
      <c r="U159" s="180" t="s">
        <v>52</v>
      </c>
      <c r="V159" s="180" t="s">
        <v>1020</v>
      </c>
      <c r="W159" s="180" t="s">
        <v>54</v>
      </c>
      <c r="X159" s="180" t="s">
        <v>55</v>
      </c>
      <c r="Y159" s="183">
        <v>0.20833333333333334</v>
      </c>
      <c r="Z159" s="180" t="s">
        <v>79</v>
      </c>
      <c r="AA159" s="180" t="s">
        <v>1015</v>
      </c>
      <c r="AB159" s="182"/>
      <c r="AC159" s="214" t="s">
        <v>1021</v>
      </c>
      <c r="AD159" s="180" t="s">
        <v>215</v>
      </c>
      <c r="AE159" s="180" t="s">
        <v>1022</v>
      </c>
      <c r="AF159" s="180">
        <v>35</v>
      </c>
      <c r="AG159" s="180" t="s">
        <v>112</v>
      </c>
      <c r="AH159" s="180" t="s">
        <v>113</v>
      </c>
      <c r="AI159" s="180" t="s">
        <v>237</v>
      </c>
      <c r="AJ159" s="180" t="s">
        <v>1023</v>
      </c>
      <c r="AK159" s="184" t="s">
        <v>1024</v>
      </c>
      <c r="AL159" s="182" t="s">
        <v>65</v>
      </c>
      <c r="AM159" s="182" t="s">
        <v>66</v>
      </c>
      <c r="AN159" s="182" t="s">
        <v>66</v>
      </c>
      <c r="AO159" s="182" t="s">
        <v>844</v>
      </c>
      <c r="AP159" s="182" t="s">
        <v>907</v>
      </c>
    </row>
    <row r="160" spans="1:42" s="185" customFormat="1" hidden="1" x14ac:dyDescent="0.2">
      <c r="A160" s="182">
        <v>2022</v>
      </c>
      <c r="B160" s="182" t="s">
        <v>908</v>
      </c>
      <c r="C160" s="182" t="s">
        <v>44</v>
      </c>
      <c r="D160" s="180" t="s">
        <v>1025</v>
      </c>
      <c r="E160" s="180" t="s">
        <v>1026</v>
      </c>
      <c r="F160" s="180" t="s">
        <v>73</v>
      </c>
      <c r="G160" s="180" t="s">
        <v>1027</v>
      </c>
      <c r="H160" s="181">
        <v>44872</v>
      </c>
      <c r="I160" s="180">
        <f t="shared" si="11"/>
        <v>0</v>
      </c>
      <c r="J160" s="181">
        <v>44887</v>
      </c>
      <c r="K160" s="180" t="str">
        <f t="shared" si="12"/>
        <v>NUEVO</v>
      </c>
      <c r="L160" s="180"/>
      <c r="M160" s="180"/>
      <c r="N160" s="180"/>
      <c r="O160" s="180" t="s">
        <v>449</v>
      </c>
      <c r="P160" s="180" t="s">
        <v>49</v>
      </c>
      <c r="Q160" s="180"/>
      <c r="R160" s="182"/>
      <c r="S160" s="180" t="s">
        <v>50</v>
      </c>
      <c r="T160" s="180" t="s">
        <v>51</v>
      </c>
      <c r="U160" s="180" t="s">
        <v>52</v>
      </c>
      <c r="V160" s="180" t="s">
        <v>730</v>
      </c>
      <c r="W160" s="180" t="s">
        <v>54</v>
      </c>
      <c r="X160" s="180" t="s">
        <v>55</v>
      </c>
      <c r="Y160" s="183">
        <v>0.55902777777777779</v>
      </c>
      <c r="Z160" s="180" t="s">
        <v>96</v>
      </c>
      <c r="AA160" s="180" t="s">
        <v>1015</v>
      </c>
      <c r="AB160" s="182"/>
      <c r="AC160" s="212"/>
      <c r="AD160" s="180" t="s">
        <v>58</v>
      </c>
      <c r="AE160" s="180" t="s">
        <v>228</v>
      </c>
      <c r="AF160" s="180">
        <v>23</v>
      </c>
      <c r="AG160" s="180" t="s">
        <v>237</v>
      </c>
      <c r="AH160" s="180" t="s">
        <v>338</v>
      </c>
      <c r="AI160" s="180" t="s">
        <v>62</v>
      </c>
      <c r="AJ160" s="180" t="s">
        <v>63</v>
      </c>
      <c r="AK160" s="184" t="s">
        <v>1028</v>
      </c>
      <c r="AL160" s="182" t="s">
        <v>65</v>
      </c>
      <c r="AM160" s="182" t="s">
        <v>66</v>
      </c>
      <c r="AN160" s="182" t="s">
        <v>67</v>
      </c>
      <c r="AO160" s="182" t="s">
        <v>865</v>
      </c>
      <c r="AP160" s="182" t="s">
        <v>89</v>
      </c>
    </row>
    <row r="161" spans="1:42" s="185" customFormat="1" hidden="1" x14ac:dyDescent="0.2">
      <c r="A161" s="180">
        <v>2022</v>
      </c>
      <c r="B161" s="180" t="s">
        <v>908</v>
      </c>
      <c r="C161" s="180" t="s">
        <v>44</v>
      </c>
      <c r="D161" s="180" t="s">
        <v>1029</v>
      </c>
      <c r="E161" s="180" t="s">
        <v>1030</v>
      </c>
      <c r="F161" s="180" t="s">
        <v>73</v>
      </c>
      <c r="G161" s="180" t="s">
        <v>1031</v>
      </c>
      <c r="H161" s="181">
        <v>34103</v>
      </c>
      <c r="I161" s="180">
        <f t="shared" si="11"/>
        <v>354</v>
      </c>
      <c r="J161" s="181">
        <v>44888</v>
      </c>
      <c r="K161" s="180" t="str">
        <f t="shared" si="12"/>
        <v>ANTIGUO</v>
      </c>
      <c r="L161" s="180"/>
      <c r="M161" s="180"/>
      <c r="N161" s="180"/>
      <c r="O161" s="180" t="s">
        <v>449</v>
      </c>
      <c r="P161" s="180" t="s">
        <v>49</v>
      </c>
      <c r="Q161" s="180"/>
      <c r="R161" s="182"/>
      <c r="S161" s="180" t="s">
        <v>182</v>
      </c>
      <c r="T161" s="180" t="s">
        <v>182</v>
      </c>
      <c r="U161" s="180" t="s">
        <v>52</v>
      </c>
      <c r="V161" s="180" t="s">
        <v>1032</v>
      </c>
      <c r="W161" s="180" t="s">
        <v>54</v>
      </c>
      <c r="X161" s="180" t="s">
        <v>55</v>
      </c>
      <c r="Y161" s="183">
        <v>0.9375</v>
      </c>
      <c r="Z161" s="180" t="s">
        <v>56</v>
      </c>
      <c r="AA161" s="180" t="s">
        <v>1015</v>
      </c>
      <c r="AB161" s="182"/>
      <c r="AC161" s="212"/>
      <c r="AD161" s="180" t="s">
        <v>184</v>
      </c>
      <c r="AE161" s="180" t="s">
        <v>1033</v>
      </c>
      <c r="AF161" s="180">
        <v>29</v>
      </c>
      <c r="AG161" s="180" t="s">
        <v>112</v>
      </c>
      <c r="AH161" s="180" t="s">
        <v>414</v>
      </c>
      <c r="AI161" s="180" t="s">
        <v>114</v>
      </c>
      <c r="AJ161" s="180" t="s">
        <v>1023</v>
      </c>
      <c r="AK161" s="184" t="s">
        <v>1034</v>
      </c>
      <c r="AL161" s="182" t="s">
        <v>87</v>
      </c>
      <c r="AM161" s="182" t="s">
        <v>66</v>
      </c>
      <c r="AN161" s="182" t="s">
        <v>67</v>
      </c>
      <c r="AO161" s="182" t="s">
        <v>844</v>
      </c>
      <c r="AP161" s="182" t="s">
        <v>717</v>
      </c>
    </row>
    <row r="162" spans="1:42" s="267" customFormat="1" hidden="1" x14ac:dyDescent="0.2">
      <c r="A162" s="182">
        <v>2022</v>
      </c>
      <c r="B162" s="182" t="s">
        <v>908</v>
      </c>
      <c r="C162" s="182" t="s">
        <v>44</v>
      </c>
      <c r="D162" s="180" t="s">
        <v>1035</v>
      </c>
      <c r="E162" s="180" t="s">
        <v>1036</v>
      </c>
      <c r="F162" s="180" t="s">
        <v>73</v>
      </c>
      <c r="G162" s="180" t="s">
        <v>1037</v>
      </c>
      <c r="H162" s="181">
        <v>44871</v>
      </c>
      <c r="I162" s="180">
        <f t="shared" si="11"/>
        <v>0</v>
      </c>
      <c r="J162" s="181">
        <v>44891</v>
      </c>
      <c r="K162" s="180" t="str">
        <f t="shared" si="12"/>
        <v>NUEVO</v>
      </c>
      <c r="L162" s="180"/>
      <c r="M162" s="180"/>
      <c r="N162" s="180"/>
      <c r="O162" s="180" t="s">
        <v>449</v>
      </c>
      <c r="P162" s="180" t="s">
        <v>449</v>
      </c>
      <c r="Q162" s="180"/>
      <c r="R162" s="182"/>
      <c r="S162" s="180" t="s">
        <v>50</v>
      </c>
      <c r="T162" s="180" t="s">
        <v>135</v>
      </c>
      <c r="U162" s="180" t="s">
        <v>52</v>
      </c>
      <c r="V162" s="180" t="s">
        <v>135</v>
      </c>
      <c r="W162" s="180" t="s">
        <v>54</v>
      </c>
      <c r="X162" s="180" t="s">
        <v>78</v>
      </c>
      <c r="Y162" s="183">
        <v>0.20833333333333334</v>
      </c>
      <c r="Z162" s="180" t="s">
        <v>154</v>
      </c>
      <c r="AA162" s="180" t="s">
        <v>1015</v>
      </c>
      <c r="AB162" s="182"/>
      <c r="AC162" s="212"/>
      <c r="AD162" s="180" t="s">
        <v>58</v>
      </c>
      <c r="AE162" s="180" t="s">
        <v>212</v>
      </c>
      <c r="AF162" s="180" t="s">
        <v>449</v>
      </c>
      <c r="AG162" s="180" t="s">
        <v>147</v>
      </c>
      <c r="AH162" s="180" t="s">
        <v>61</v>
      </c>
      <c r="AI162" s="180" t="s">
        <v>237</v>
      </c>
      <c r="AJ162" s="180" t="s">
        <v>199</v>
      </c>
      <c r="AK162" s="184" t="s">
        <v>1038</v>
      </c>
      <c r="AL162" s="182" t="s">
        <v>65</v>
      </c>
      <c r="AM162" s="182" t="s">
        <v>66</v>
      </c>
      <c r="AN162" s="182" t="s">
        <v>67</v>
      </c>
      <c r="AO162" s="182" t="s">
        <v>844</v>
      </c>
      <c r="AP162" s="182" t="s">
        <v>89</v>
      </c>
    </row>
    <row r="163" spans="1:42" s="185" customFormat="1" hidden="1" x14ac:dyDescent="0.2">
      <c r="A163" s="182">
        <v>2022</v>
      </c>
      <c r="B163" s="182" t="s">
        <v>908</v>
      </c>
      <c r="C163" s="182" t="s">
        <v>44</v>
      </c>
      <c r="D163" s="180" t="s">
        <v>1039</v>
      </c>
      <c r="E163" s="180" t="s">
        <v>1040</v>
      </c>
      <c r="F163" s="180" t="s">
        <v>47</v>
      </c>
      <c r="G163" s="180" t="s">
        <v>1041</v>
      </c>
      <c r="H163" s="181">
        <v>42702</v>
      </c>
      <c r="I163" s="180">
        <f t="shared" si="11"/>
        <v>72</v>
      </c>
      <c r="J163" s="181">
        <v>44895</v>
      </c>
      <c r="K163" s="180" t="str">
        <f t="shared" si="12"/>
        <v>ANTIGUO</v>
      </c>
      <c r="L163" s="180"/>
      <c r="M163" s="180"/>
      <c r="N163" s="180"/>
      <c r="O163" s="180" t="s">
        <v>449</v>
      </c>
      <c r="P163" s="180" t="s">
        <v>449</v>
      </c>
      <c r="Q163" s="180" t="s">
        <v>107</v>
      </c>
      <c r="R163" s="182" t="s">
        <v>410</v>
      </c>
      <c r="S163" s="180" t="s">
        <v>50</v>
      </c>
      <c r="T163" s="180" t="s">
        <v>135</v>
      </c>
      <c r="U163" s="180" t="s">
        <v>52</v>
      </c>
      <c r="V163" s="180" t="s">
        <v>135</v>
      </c>
      <c r="W163" s="180" t="s">
        <v>163</v>
      </c>
      <c r="X163" s="180" t="s">
        <v>55</v>
      </c>
      <c r="Y163" s="183">
        <v>0.68055555555555547</v>
      </c>
      <c r="Z163" s="180" t="s">
        <v>56</v>
      </c>
      <c r="AA163" s="180" t="s">
        <v>1042</v>
      </c>
      <c r="AB163" s="182"/>
      <c r="AC163" s="212"/>
      <c r="AD163" s="180" t="s">
        <v>58</v>
      </c>
      <c r="AE163" s="180" t="s">
        <v>212</v>
      </c>
      <c r="AF163" s="180">
        <v>40</v>
      </c>
      <c r="AG163" s="180" t="s">
        <v>329</v>
      </c>
      <c r="AH163" s="180" t="s">
        <v>84</v>
      </c>
      <c r="AI163" s="180" t="s">
        <v>62</v>
      </c>
      <c r="AJ163" s="180" t="s">
        <v>148</v>
      </c>
      <c r="AK163" s="184" t="s">
        <v>1043</v>
      </c>
      <c r="AL163" s="182" t="s">
        <v>900</v>
      </c>
      <c r="AM163" s="182" t="s">
        <v>66</v>
      </c>
      <c r="AN163" s="182" t="s">
        <v>67</v>
      </c>
      <c r="AO163" s="182" t="s">
        <v>865</v>
      </c>
      <c r="AP163" s="182" t="s">
        <v>351</v>
      </c>
    </row>
    <row r="164" spans="1:42" s="263" customFormat="1" ht="25.5" hidden="1" x14ac:dyDescent="0.2">
      <c r="A164" s="270">
        <v>2022</v>
      </c>
      <c r="B164" s="182" t="s">
        <v>908</v>
      </c>
      <c r="C164" s="182" t="s">
        <v>44</v>
      </c>
      <c r="D164" s="188" t="s">
        <v>1044</v>
      </c>
      <c r="E164" s="188" t="s">
        <v>1045</v>
      </c>
      <c r="F164" s="182" t="s">
        <v>73</v>
      </c>
      <c r="G164" s="182" t="s">
        <v>1046</v>
      </c>
      <c r="H164" s="254">
        <v>39024</v>
      </c>
      <c r="I164" s="182">
        <f t="shared" si="11"/>
        <v>192</v>
      </c>
      <c r="J164" s="254">
        <v>44895</v>
      </c>
      <c r="K164" s="182" t="str">
        <f t="shared" si="12"/>
        <v>ANTIGUO</v>
      </c>
      <c r="L164" s="181">
        <v>44896</v>
      </c>
      <c r="M164" s="182"/>
      <c r="N164" s="182"/>
      <c r="O164" s="182">
        <v>0</v>
      </c>
      <c r="P164" s="182" t="s">
        <v>49</v>
      </c>
      <c r="Q164" s="182" t="s">
        <v>107</v>
      </c>
      <c r="R164" s="182" t="s">
        <v>410</v>
      </c>
      <c r="S164" s="182" t="s">
        <v>142</v>
      </c>
      <c r="T164" s="182" t="s">
        <v>559</v>
      </c>
      <c r="U164" s="182" t="s">
        <v>52</v>
      </c>
      <c r="V164" s="182" t="s">
        <v>1047</v>
      </c>
      <c r="W164" s="182" t="s">
        <v>163</v>
      </c>
      <c r="X164" s="182" t="s">
        <v>55</v>
      </c>
      <c r="Y164" s="261">
        <v>0.81944444444444453</v>
      </c>
      <c r="Z164" s="182" t="s">
        <v>1048</v>
      </c>
      <c r="AA164" s="182" t="s">
        <v>1042</v>
      </c>
      <c r="AB164" s="182"/>
      <c r="AC164" s="212" t="s">
        <v>1049</v>
      </c>
      <c r="AD164" s="182" t="s">
        <v>126</v>
      </c>
      <c r="AE164" s="182" t="s">
        <v>146</v>
      </c>
      <c r="AF164" s="182">
        <v>58</v>
      </c>
      <c r="AG164" s="182" t="s">
        <v>329</v>
      </c>
      <c r="AH164" s="182" t="s">
        <v>186</v>
      </c>
      <c r="AI164" s="182" t="s">
        <v>62</v>
      </c>
      <c r="AJ164" s="182" t="s">
        <v>148</v>
      </c>
      <c r="AK164" s="262" t="s">
        <v>1050</v>
      </c>
      <c r="AL164" s="182" t="s">
        <v>65</v>
      </c>
      <c r="AM164" s="182" t="s">
        <v>66</v>
      </c>
      <c r="AN164" s="182" t="s">
        <v>66</v>
      </c>
      <c r="AO164" s="182" t="s">
        <v>865</v>
      </c>
      <c r="AP164" s="182" t="s">
        <v>351</v>
      </c>
    </row>
    <row r="165" spans="1:42" s="278" customFormat="1" ht="25.5" hidden="1" x14ac:dyDescent="0.2">
      <c r="A165" s="241">
        <v>2022</v>
      </c>
      <c r="B165" s="180" t="s">
        <v>908</v>
      </c>
      <c r="C165" s="180" t="s">
        <v>44</v>
      </c>
      <c r="D165" s="241" t="s">
        <v>1051</v>
      </c>
      <c r="E165" s="241" t="s">
        <v>1052</v>
      </c>
      <c r="F165" s="180" t="s">
        <v>73</v>
      </c>
      <c r="G165" s="180" t="s">
        <v>1053</v>
      </c>
      <c r="H165" s="181">
        <v>44791</v>
      </c>
      <c r="I165" s="180">
        <f t="shared" si="11"/>
        <v>3</v>
      </c>
      <c r="J165" s="181">
        <v>44895</v>
      </c>
      <c r="K165" s="180" t="str">
        <f t="shared" si="12"/>
        <v>NUEVO</v>
      </c>
      <c r="L165" s="181">
        <v>44896</v>
      </c>
      <c r="M165" s="180"/>
      <c r="N165" s="180"/>
      <c r="O165" s="180">
        <v>10</v>
      </c>
      <c r="P165" s="180" t="s">
        <v>141</v>
      </c>
      <c r="Q165" s="180"/>
      <c r="R165" s="182"/>
      <c r="S165" s="180" t="s">
        <v>50</v>
      </c>
      <c r="T165" s="180" t="s">
        <v>135</v>
      </c>
      <c r="U165" s="180" t="s">
        <v>52</v>
      </c>
      <c r="V165" s="180" t="s">
        <v>884</v>
      </c>
      <c r="W165" s="180" t="s">
        <v>163</v>
      </c>
      <c r="X165" s="180" t="s">
        <v>55</v>
      </c>
      <c r="Y165" s="183">
        <v>0.64583333333333337</v>
      </c>
      <c r="Z165" s="180" t="s">
        <v>56</v>
      </c>
      <c r="AA165" s="180" t="s">
        <v>1042</v>
      </c>
      <c r="AB165" s="182"/>
      <c r="AC165" s="214" t="s">
        <v>1054</v>
      </c>
      <c r="AD165" s="180" t="s">
        <v>58</v>
      </c>
      <c r="AE165" s="180" t="s">
        <v>212</v>
      </c>
      <c r="AF165" s="180">
        <v>18</v>
      </c>
      <c r="AG165" s="180" t="s">
        <v>329</v>
      </c>
      <c r="AH165" s="180" t="s">
        <v>338</v>
      </c>
      <c r="AI165" s="180" t="s">
        <v>237</v>
      </c>
      <c r="AJ165" s="180" t="s">
        <v>199</v>
      </c>
      <c r="AK165" s="184" t="s">
        <v>1055</v>
      </c>
      <c r="AL165" s="182" t="s">
        <v>65</v>
      </c>
      <c r="AM165" s="182" t="s">
        <v>66</v>
      </c>
      <c r="AN165" s="182" t="s">
        <v>66</v>
      </c>
      <c r="AO165" s="182" t="s">
        <v>865</v>
      </c>
      <c r="AP165" s="182" t="s">
        <v>351</v>
      </c>
    </row>
    <row r="166" spans="1:42" s="185" customFormat="1" ht="26.25" hidden="1" x14ac:dyDescent="0.25">
      <c r="A166" s="180">
        <v>2022</v>
      </c>
      <c r="B166" s="180" t="s">
        <v>1056</v>
      </c>
      <c r="C166" s="180" t="s">
        <v>44</v>
      </c>
      <c r="D166" s="180" t="s">
        <v>1057</v>
      </c>
      <c r="E166" s="180" t="s">
        <v>1058</v>
      </c>
      <c r="F166" s="180" t="s">
        <v>73</v>
      </c>
      <c r="G166" s="268" t="s">
        <v>1059</v>
      </c>
      <c r="H166" s="10">
        <v>44627</v>
      </c>
      <c r="I166" s="180">
        <f t="shared" si="11"/>
        <v>8</v>
      </c>
      <c r="J166" s="181">
        <v>44897</v>
      </c>
      <c r="K166" s="180" t="str">
        <f t="shared" si="12"/>
        <v>NUEVO</v>
      </c>
      <c r="L166" s="180"/>
      <c r="M166" s="180"/>
      <c r="N166" s="180"/>
      <c r="O166" s="180" t="s">
        <v>449</v>
      </c>
      <c r="P166" s="180" t="s">
        <v>49</v>
      </c>
      <c r="Q166" s="180"/>
      <c r="R166" s="182"/>
      <c r="S166" s="180" t="s">
        <v>50</v>
      </c>
      <c r="T166" s="180" t="s">
        <v>135</v>
      </c>
      <c r="U166" s="180" t="s">
        <v>52</v>
      </c>
      <c r="V166" s="180" t="s">
        <v>135</v>
      </c>
      <c r="W166" s="180" t="s">
        <v>54</v>
      </c>
      <c r="X166" s="180" t="s">
        <v>55</v>
      </c>
      <c r="Y166" s="183">
        <v>0.70138888888888884</v>
      </c>
      <c r="Z166" s="180" t="s">
        <v>183</v>
      </c>
      <c r="AA166" s="182" t="s">
        <v>1042</v>
      </c>
      <c r="AB166" s="182"/>
      <c r="AC166" s="212"/>
      <c r="AD166" s="180" t="s">
        <v>58</v>
      </c>
      <c r="AE166" s="180" t="s">
        <v>212</v>
      </c>
      <c r="AF166" s="180">
        <v>29</v>
      </c>
      <c r="AG166" s="180" t="s">
        <v>289</v>
      </c>
      <c r="AH166" s="180" t="s">
        <v>338</v>
      </c>
      <c r="AI166" s="180" t="s">
        <v>237</v>
      </c>
      <c r="AJ166" s="180" t="s">
        <v>199</v>
      </c>
      <c r="AK166" s="184" t="s">
        <v>1060</v>
      </c>
      <c r="AL166" s="182" t="s">
        <v>65</v>
      </c>
      <c r="AM166" s="182" t="s">
        <v>66</v>
      </c>
      <c r="AN166" s="182" t="s">
        <v>67</v>
      </c>
      <c r="AO166" s="182" t="s">
        <v>865</v>
      </c>
      <c r="AP166" s="182" t="s">
        <v>89</v>
      </c>
    </row>
    <row r="167" spans="1:42" s="185" customFormat="1" ht="15" hidden="1" x14ac:dyDescent="0.25">
      <c r="A167" s="180">
        <v>2022</v>
      </c>
      <c r="B167" s="180" t="s">
        <v>1056</v>
      </c>
      <c r="C167" s="180" t="s">
        <v>44</v>
      </c>
      <c r="D167" s="180" t="s">
        <v>1061</v>
      </c>
      <c r="E167" s="180" t="s">
        <v>1062</v>
      </c>
      <c r="F167" s="180" t="s">
        <v>47</v>
      </c>
      <c r="G167" s="268" t="s">
        <v>1063</v>
      </c>
      <c r="H167" s="10">
        <v>40665</v>
      </c>
      <c r="I167" s="180">
        <f t="shared" si="11"/>
        <v>139</v>
      </c>
      <c r="J167" s="181">
        <v>44897</v>
      </c>
      <c r="K167" s="180" t="str">
        <f t="shared" si="12"/>
        <v>ANTIGUO</v>
      </c>
      <c r="L167" s="180"/>
      <c r="M167" s="180"/>
      <c r="N167" s="180"/>
      <c r="O167" s="180" t="s">
        <v>449</v>
      </c>
      <c r="P167" s="180" t="s">
        <v>49</v>
      </c>
      <c r="Q167" s="180"/>
      <c r="R167" s="182"/>
      <c r="S167" s="180" t="s">
        <v>93</v>
      </c>
      <c r="T167" s="180" t="s">
        <v>1064</v>
      </c>
      <c r="U167" s="180" t="s">
        <v>52</v>
      </c>
      <c r="V167" s="180" t="s">
        <v>1064</v>
      </c>
      <c r="W167" s="180" t="s">
        <v>1065</v>
      </c>
      <c r="X167" s="180" t="s">
        <v>55</v>
      </c>
      <c r="Y167" s="183">
        <v>0.80902777777777779</v>
      </c>
      <c r="Z167" s="180" t="s">
        <v>183</v>
      </c>
      <c r="AA167" s="182" t="s">
        <v>1042</v>
      </c>
      <c r="AB167" s="182"/>
      <c r="AC167" s="212"/>
      <c r="AD167" s="180" t="s">
        <v>97</v>
      </c>
      <c r="AE167" s="216" t="s">
        <v>449</v>
      </c>
      <c r="AF167" s="180">
        <v>42</v>
      </c>
      <c r="AG167" s="180" t="s">
        <v>175</v>
      </c>
      <c r="AH167" s="180" t="s">
        <v>61</v>
      </c>
      <c r="AI167" s="180" t="s">
        <v>100</v>
      </c>
      <c r="AJ167" s="180" t="s">
        <v>130</v>
      </c>
      <c r="AK167" s="184" t="s">
        <v>1066</v>
      </c>
      <c r="AL167" s="182" t="s">
        <v>87</v>
      </c>
      <c r="AM167" s="182" t="s">
        <v>66</v>
      </c>
      <c r="AN167" s="182" t="s">
        <v>67</v>
      </c>
      <c r="AO167" s="182" t="s">
        <v>865</v>
      </c>
      <c r="AP167" s="182" t="s">
        <v>89</v>
      </c>
    </row>
    <row r="168" spans="1:42" s="185" customFormat="1" ht="15" hidden="1" x14ac:dyDescent="0.25">
      <c r="A168" s="180">
        <v>2022</v>
      </c>
      <c r="B168" s="180" t="s">
        <v>1056</v>
      </c>
      <c r="C168" s="180" t="s">
        <v>44</v>
      </c>
      <c r="D168" s="187" t="s">
        <v>1067</v>
      </c>
      <c r="E168" s="187" t="s">
        <v>696</v>
      </c>
      <c r="F168" s="180" t="s">
        <v>73</v>
      </c>
      <c r="G168" s="268" t="s">
        <v>1068</v>
      </c>
      <c r="H168" s="10">
        <v>43467</v>
      </c>
      <c r="I168" s="180">
        <f t="shared" si="11"/>
        <v>47</v>
      </c>
      <c r="J168" s="181">
        <v>44898</v>
      </c>
      <c r="K168" s="180" t="str">
        <f t="shared" si="12"/>
        <v>ANTIGUO</v>
      </c>
      <c r="L168" s="181">
        <v>44900</v>
      </c>
      <c r="M168" s="181">
        <v>44900</v>
      </c>
      <c r="N168" s="180"/>
      <c r="O168" s="180">
        <v>0</v>
      </c>
      <c r="P168" s="180" t="s">
        <v>49</v>
      </c>
      <c r="Q168" s="180"/>
      <c r="R168" s="182"/>
      <c r="S168" s="180" t="s">
        <v>50</v>
      </c>
      <c r="T168" s="180" t="s">
        <v>135</v>
      </c>
      <c r="U168" s="180" t="s">
        <v>52</v>
      </c>
      <c r="V168" s="180" t="s">
        <v>1069</v>
      </c>
      <c r="W168" s="180" t="s">
        <v>54</v>
      </c>
      <c r="X168" s="180" t="s">
        <v>78</v>
      </c>
      <c r="Y168" s="183">
        <v>0.5</v>
      </c>
      <c r="Z168" s="180" t="s">
        <v>154</v>
      </c>
      <c r="AA168" s="182" t="s">
        <v>1042</v>
      </c>
      <c r="AB168" s="182"/>
      <c r="AC168" s="212"/>
      <c r="AD168" s="180" t="s">
        <v>58</v>
      </c>
      <c r="AE168" s="187" t="s">
        <v>522</v>
      </c>
      <c r="AF168" s="180">
        <v>26</v>
      </c>
      <c r="AG168" s="180" t="s">
        <v>237</v>
      </c>
      <c r="AH168" s="180" t="s">
        <v>113</v>
      </c>
      <c r="AI168" s="180" t="s">
        <v>266</v>
      </c>
      <c r="AJ168" s="180" t="s">
        <v>115</v>
      </c>
      <c r="AK168" s="184" t="s">
        <v>1070</v>
      </c>
      <c r="AL168" s="182" t="s">
        <v>87</v>
      </c>
      <c r="AM168" s="182" t="s">
        <v>67</v>
      </c>
      <c r="AN168" s="182" t="s">
        <v>67</v>
      </c>
      <c r="AO168" s="182" t="s">
        <v>844</v>
      </c>
      <c r="AP168" s="182" t="s">
        <v>907</v>
      </c>
    </row>
    <row r="169" spans="1:42" s="185" customFormat="1" ht="15" hidden="1" x14ac:dyDescent="0.25">
      <c r="A169" s="180">
        <v>2022</v>
      </c>
      <c r="B169" s="180" t="s">
        <v>1056</v>
      </c>
      <c r="C169" s="180" t="s">
        <v>44</v>
      </c>
      <c r="D169" s="180" t="s">
        <v>1071</v>
      </c>
      <c r="E169" s="180" t="s">
        <v>1072</v>
      </c>
      <c r="F169" s="180" t="s">
        <v>47</v>
      </c>
      <c r="G169" s="268" t="s">
        <v>1073</v>
      </c>
      <c r="H169" s="10">
        <v>42963</v>
      </c>
      <c r="I169" s="180">
        <f t="shared" si="11"/>
        <v>63</v>
      </c>
      <c r="J169" s="181">
        <v>44899</v>
      </c>
      <c r="K169" s="180" t="str">
        <f t="shared" si="12"/>
        <v>ANTIGUO</v>
      </c>
      <c r="L169" s="180"/>
      <c r="M169" s="180"/>
      <c r="N169" s="180"/>
      <c r="O169" s="180"/>
      <c r="P169" s="180" t="s">
        <v>49</v>
      </c>
      <c r="Q169" s="180"/>
      <c r="R169" s="182"/>
      <c r="S169" s="180" t="s">
        <v>75</v>
      </c>
      <c r="T169" s="180" t="s">
        <v>1074</v>
      </c>
      <c r="U169" s="180" t="s">
        <v>52</v>
      </c>
      <c r="V169" s="180" t="s">
        <v>1075</v>
      </c>
      <c r="W169" s="180" t="s">
        <v>54</v>
      </c>
      <c r="X169" s="180" t="s">
        <v>110</v>
      </c>
      <c r="Y169" s="183">
        <v>0.95833333333333337</v>
      </c>
      <c r="Z169" s="180" t="s">
        <v>367</v>
      </c>
      <c r="AA169" s="182" t="s">
        <v>1042</v>
      </c>
      <c r="AB169" s="182"/>
      <c r="AC169" s="212"/>
      <c r="AD169" s="180" t="s">
        <v>215</v>
      </c>
      <c r="AE169" s="216" t="s">
        <v>337</v>
      </c>
      <c r="AF169" s="180">
        <v>49</v>
      </c>
      <c r="AG169" s="180" t="s">
        <v>237</v>
      </c>
      <c r="AH169" s="180" t="s">
        <v>338</v>
      </c>
      <c r="AI169" s="180" t="s">
        <v>62</v>
      </c>
      <c r="AJ169" s="180" t="s">
        <v>85</v>
      </c>
      <c r="AK169" s="184" t="s">
        <v>1076</v>
      </c>
      <c r="AL169" s="182" t="s">
        <v>87</v>
      </c>
      <c r="AM169" s="182" t="s">
        <v>66</v>
      </c>
      <c r="AN169" s="182" t="s">
        <v>67</v>
      </c>
      <c r="AO169" s="182" t="s">
        <v>865</v>
      </c>
      <c r="AP169" s="182" t="s">
        <v>351</v>
      </c>
    </row>
    <row r="170" spans="1:42" s="185" customFormat="1" ht="15" hidden="1" x14ac:dyDescent="0.25">
      <c r="A170" s="180">
        <v>2022</v>
      </c>
      <c r="B170" s="180" t="s">
        <v>1056</v>
      </c>
      <c r="C170" s="180" t="s">
        <v>44</v>
      </c>
      <c r="D170" s="180" t="s">
        <v>1077</v>
      </c>
      <c r="E170" s="180" t="s">
        <v>1078</v>
      </c>
      <c r="F170" s="180" t="s">
        <v>47</v>
      </c>
      <c r="G170" s="1" t="s">
        <v>1079</v>
      </c>
      <c r="H170" s="10">
        <v>44880</v>
      </c>
      <c r="I170" s="180">
        <f t="shared" si="11"/>
        <v>0</v>
      </c>
      <c r="J170" s="181">
        <v>44900</v>
      </c>
      <c r="K170" s="180" t="str">
        <f t="shared" si="12"/>
        <v>NUEVO</v>
      </c>
      <c r="L170" s="180"/>
      <c r="M170" s="180"/>
      <c r="N170" s="180"/>
      <c r="O170" s="180">
        <v>0</v>
      </c>
      <c r="P170" s="180" t="s">
        <v>49</v>
      </c>
      <c r="Q170" s="180"/>
      <c r="R170" s="182"/>
      <c r="S170" s="180" t="s">
        <v>142</v>
      </c>
      <c r="T170" s="180" t="s">
        <v>559</v>
      </c>
      <c r="U170" s="180" t="s">
        <v>52</v>
      </c>
      <c r="V170" s="180" t="s">
        <v>1080</v>
      </c>
      <c r="W170" s="180" t="s">
        <v>54</v>
      </c>
      <c r="X170" s="180" t="s">
        <v>78</v>
      </c>
      <c r="Y170" s="183">
        <v>0.36458333333333331</v>
      </c>
      <c r="Z170" s="180" t="s">
        <v>79</v>
      </c>
      <c r="AA170" s="182" t="s">
        <v>1081</v>
      </c>
      <c r="AB170" s="182"/>
      <c r="AC170" s="212"/>
      <c r="AD170" s="180" t="s">
        <v>126</v>
      </c>
      <c r="AE170" s="216" t="s">
        <v>174</v>
      </c>
      <c r="AF170" s="180">
        <v>50</v>
      </c>
      <c r="AG170" s="180" t="s">
        <v>237</v>
      </c>
      <c r="AH170" s="180" t="s">
        <v>129</v>
      </c>
      <c r="AI170" s="180" t="s">
        <v>237</v>
      </c>
      <c r="AJ170" s="180" t="s">
        <v>237</v>
      </c>
      <c r="AK170" s="184" t="s">
        <v>1082</v>
      </c>
      <c r="AL170" s="182" t="s">
        <v>87</v>
      </c>
      <c r="AM170" s="182" t="s">
        <v>67</v>
      </c>
      <c r="AN170" s="182" t="s">
        <v>67</v>
      </c>
      <c r="AO170" s="182" t="s">
        <v>865</v>
      </c>
      <c r="AP170" s="182" t="s">
        <v>717</v>
      </c>
    </row>
    <row r="171" spans="1:42" s="186" customFormat="1" ht="15" hidden="1" x14ac:dyDescent="0.25">
      <c r="A171" s="180">
        <v>2022</v>
      </c>
      <c r="B171" s="180" t="s">
        <v>1056</v>
      </c>
      <c r="C171" s="180" t="s">
        <v>44</v>
      </c>
      <c r="D171" s="180" t="s">
        <v>1083</v>
      </c>
      <c r="E171" s="180" t="s">
        <v>1084</v>
      </c>
      <c r="F171" s="180" t="s">
        <v>73</v>
      </c>
      <c r="G171" s="1" t="s">
        <v>1085</v>
      </c>
      <c r="H171" s="10">
        <v>36756</v>
      </c>
      <c r="I171" s="180">
        <f t="shared" si="11"/>
        <v>267</v>
      </c>
      <c r="J171" s="181">
        <v>44904</v>
      </c>
      <c r="K171" s="180" t="str">
        <f t="shared" si="12"/>
        <v>ANTIGUO</v>
      </c>
      <c r="L171" s="180"/>
      <c r="M171" s="180"/>
      <c r="N171" s="180"/>
      <c r="O171" s="180"/>
      <c r="P171" s="180" t="s">
        <v>49</v>
      </c>
      <c r="Q171" s="180"/>
      <c r="R171" s="182"/>
      <c r="S171" s="180" t="s">
        <v>93</v>
      </c>
      <c r="T171" s="180" t="s">
        <v>1086</v>
      </c>
      <c r="U171" s="180" t="s">
        <v>52</v>
      </c>
      <c r="V171" s="180" t="s">
        <v>1086</v>
      </c>
      <c r="W171" s="180" t="s">
        <v>54</v>
      </c>
      <c r="X171" s="180" t="s">
        <v>78</v>
      </c>
      <c r="Y171" s="183">
        <v>0.23611111111111113</v>
      </c>
      <c r="Z171" s="180" t="s">
        <v>183</v>
      </c>
      <c r="AA171" s="182" t="s">
        <v>1081</v>
      </c>
      <c r="AB171" s="182"/>
      <c r="AC171" s="212"/>
      <c r="AD171" s="180" t="s">
        <v>97</v>
      </c>
      <c r="AE171" s="216" t="s">
        <v>265</v>
      </c>
      <c r="AF171" s="180">
        <v>42</v>
      </c>
      <c r="AG171" s="180" t="s">
        <v>128</v>
      </c>
      <c r="AH171" s="180" t="s">
        <v>61</v>
      </c>
      <c r="AI171" s="180" t="s">
        <v>62</v>
      </c>
      <c r="AJ171" s="180" t="s">
        <v>148</v>
      </c>
      <c r="AK171" s="184" t="s">
        <v>1087</v>
      </c>
      <c r="AL171" s="182" t="s">
        <v>65</v>
      </c>
      <c r="AM171" s="182" t="s">
        <v>66</v>
      </c>
      <c r="AN171" s="182" t="s">
        <v>67</v>
      </c>
      <c r="AO171" s="182" t="s">
        <v>865</v>
      </c>
      <c r="AP171" s="182" t="s">
        <v>351</v>
      </c>
    </row>
    <row r="172" spans="1:42" s="185" customFormat="1" ht="15" hidden="1" x14ac:dyDescent="0.25">
      <c r="A172" s="180">
        <v>2022</v>
      </c>
      <c r="B172" s="180" t="s">
        <v>1056</v>
      </c>
      <c r="C172" s="180" t="s">
        <v>44</v>
      </c>
      <c r="D172" s="180" t="s">
        <v>1088</v>
      </c>
      <c r="E172" s="180" t="s">
        <v>1089</v>
      </c>
      <c r="F172" s="180" t="s">
        <v>73</v>
      </c>
      <c r="G172" s="269" t="s">
        <v>1090</v>
      </c>
      <c r="H172" s="181">
        <v>43607</v>
      </c>
      <c r="I172" s="180">
        <f t="shared" si="11"/>
        <v>42</v>
      </c>
      <c r="J172" s="181">
        <v>44905</v>
      </c>
      <c r="K172" s="180" t="str">
        <f t="shared" si="12"/>
        <v>ANTIGUO</v>
      </c>
      <c r="L172" s="180"/>
      <c r="M172" s="180"/>
      <c r="N172" s="180"/>
      <c r="O172" s="180" t="s">
        <v>449</v>
      </c>
      <c r="P172" s="180" t="s">
        <v>49</v>
      </c>
      <c r="Q172" s="180"/>
      <c r="R172" s="182"/>
      <c r="S172" s="180" t="s">
        <v>271</v>
      </c>
      <c r="T172" s="180" t="s">
        <v>273</v>
      </c>
      <c r="U172" s="180" t="s">
        <v>52</v>
      </c>
      <c r="V172" s="180" t="s">
        <v>1091</v>
      </c>
      <c r="W172" s="180" t="s">
        <v>54</v>
      </c>
      <c r="X172" s="180" t="s">
        <v>78</v>
      </c>
      <c r="Y172" s="183">
        <v>0.60416666666666663</v>
      </c>
      <c r="Z172" s="180" t="s">
        <v>154</v>
      </c>
      <c r="AA172" s="180" t="s">
        <v>1081</v>
      </c>
      <c r="AB172" s="182"/>
      <c r="AC172" s="212"/>
      <c r="AD172" s="180" t="s">
        <v>275</v>
      </c>
      <c r="AE172" s="180" t="s">
        <v>923</v>
      </c>
      <c r="AF172" s="180">
        <v>29</v>
      </c>
      <c r="AG172" s="180" t="s">
        <v>254</v>
      </c>
      <c r="AH172" s="180" t="s">
        <v>61</v>
      </c>
      <c r="AI172" s="180" t="s">
        <v>62</v>
      </c>
      <c r="AJ172" s="180" t="s">
        <v>148</v>
      </c>
      <c r="AK172" s="184" t="s">
        <v>1092</v>
      </c>
      <c r="AL172" s="182" t="s">
        <v>65</v>
      </c>
      <c r="AM172" s="182" t="s">
        <v>66</v>
      </c>
      <c r="AN172" s="182" t="s">
        <v>67</v>
      </c>
      <c r="AO172" s="182" t="s">
        <v>865</v>
      </c>
      <c r="AP172" s="182" t="s">
        <v>89</v>
      </c>
    </row>
    <row r="173" spans="1:42" s="263" customFormat="1" ht="15" hidden="1" x14ac:dyDescent="0.25">
      <c r="A173" s="180">
        <v>2022</v>
      </c>
      <c r="B173" s="180" t="s">
        <v>1056</v>
      </c>
      <c r="C173" s="180" t="s">
        <v>44</v>
      </c>
      <c r="D173" s="180" t="s">
        <v>1093</v>
      </c>
      <c r="E173" s="180" t="s">
        <v>1094</v>
      </c>
      <c r="F173" s="180" t="s">
        <v>73</v>
      </c>
      <c r="G173" s="1" t="s">
        <v>1095</v>
      </c>
      <c r="H173" s="10">
        <v>44333</v>
      </c>
      <c r="I173" s="180">
        <f t="shared" si="11"/>
        <v>18</v>
      </c>
      <c r="J173" s="181">
        <v>44907</v>
      </c>
      <c r="K173" s="180" t="str">
        <f t="shared" si="12"/>
        <v>NUEVO</v>
      </c>
      <c r="L173" s="180"/>
      <c r="M173" s="180"/>
      <c r="N173" s="180"/>
      <c r="O173" s="180"/>
      <c r="P173" s="180" t="s">
        <v>49</v>
      </c>
      <c r="Q173" s="180"/>
      <c r="R173" s="182"/>
      <c r="S173" s="180" t="s">
        <v>50</v>
      </c>
      <c r="T173" s="180" t="s">
        <v>51</v>
      </c>
      <c r="U173" s="180" t="s">
        <v>52</v>
      </c>
      <c r="V173" s="180" t="s">
        <v>730</v>
      </c>
      <c r="W173" s="180" t="s">
        <v>54</v>
      </c>
      <c r="X173" s="180" t="s">
        <v>78</v>
      </c>
      <c r="Y173" s="183">
        <v>0.44444444444444442</v>
      </c>
      <c r="Z173" s="180" t="s">
        <v>79</v>
      </c>
      <c r="AA173" s="182" t="s">
        <v>1096</v>
      </c>
      <c r="AB173" s="182"/>
      <c r="AC173" s="212"/>
      <c r="AD173" s="180" t="s">
        <v>58</v>
      </c>
      <c r="AE173" s="187" t="s">
        <v>522</v>
      </c>
      <c r="AF173" s="180">
        <v>20</v>
      </c>
      <c r="AG173" s="180" t="s">
        <v>237</v>
      </c>
      <c r="AH173" s="180" t="s">
        <v>61</v>
      </c>
      <c r="AI173" s="180" t="s">
        <v>62</v>
      </c>
      <c r="AJ173" s="180" t="s">
        <v>85</v>
      </c>
      <c r="AK173" s="184" t="s">
        <v>1097</v>
      </c>
      <c r="AL173" s="182" t="s">
        <v>65</v>
      </c>
      <c r="AM173" s="182" t="s">
        <v>67</v>
      </c>
      <c r="AN173" s="182" t="s">
        <v>67</v>
      </c>
      <c r="AO173" s="182" t="s">
        <v>865</v>
      </c>
      <c r="AP173" s="182" t="s">
        <v>351</v>
      </c>
    </row>
    <row r="174" spans="1:42" s="185" customFormat="1" ht="30" hidden="1" x14ac:dyDescent="0.25">
      <c r="A174" s="180">
        <v>2022</v>
      </c>
      <c r="B174" s="180" t="s">
        <v>1056</v>
      </c>
      <c r="C174" s="180" t="s">
        <v>44</v>
      </c>
      <c r="D174" s="180" t="s">
        <v>1098</v>
      </c>
      <c r="E174" s="180" t="s">
        <v>1099</v>
      </c>
      <c r="F174" s="180" t="s">
        <v>73</v>
      </c>
      <c r="G174" s="1" t="s">
        <v>1100</v>
      </c>
      <c r="H174" s="283">
        <v>44851</v>
      </c>
      <c r="I174" s="180">
        <f t="shared" si="11"/>
        <v>1</v>
      </c>
      <c r="J174" s="181">
        <v>44907</v>
      </c>
      <c r="K174" s="180" t="str">
        <f t="shared" si="12"/>
        <v>NUEVO</v>
      </c>
      <c r="L174" s="180"/>
      <c r="M174" s="180"/>
      <c r="N174" s="180"/>
      <c r="O174" s="180"/>
      <c r="P174" s="180" t="s">
        <v>49</v>
      </c>
      <c r="Q174" s="180" t="s">
        <v>107</v>
      </c>
      <c r="R174" s="182" t="s">
        <v>410</v>
      </c>
      <c r="S174" s="180" t="s">
        <v>219</v>
      </c>
      <c r="T174" s="180" t="s">
        <v>590</v>
      </c>
      <c r="U174" s="180" t="s">
        <v>52</v>
      </c>
      <c r="V174" s="180" t="s">
        <v>590</v>
      </c>
      <c r="W174" s="180" t="s">
        <v>163</v>
      </c>
      <c r="X174" s="180" t="s">
        <v>55</v>
      </c>
      <c r="Y174" s="183">
        <v>0.78125</v>
      </c>
      <c r="Z174" s="180" t="s">
        <v>79</v>
      </c>
      <c r="AA174" s="182" t="s">
        <v>1096</v>
      </c>
      <c r="AB174" s="182"/>
      <c r="AC174" s="212"/>
      <c r="AD174" s="180" t="s">
        <v>221</v>
      </c>
      <c r="AE174" s="216" t="s">
        <v>956</v>
      </c>
      <c r="AF174" s="180">
        <v>31</v>
      </c>
      <c r="AG174" s="180" t="s">
        <v>329</v>
      </c>
      <c r="AH174" s="180" t="s">
        <v>207</v>
      </c>
      <c r="AI174" s="180" t="s">
        <v>408</v>
      </c>
      <c r="AJ174" s="180" t="s">
        <v>148</v>
      </c>
      <c r="AK174" s="271" t="s">
        <v>1101</v>
      </c>
      <c r="AL174" s="182" t="s">
        <v>65</v>
      </c>
      <c r="AM174" s="182" t="s">
        <v>66</v>
      </c>
      <c r="AN174" s="182" t="s">
        <v>67</v>
      </c>
      <c r="AO174" s="182" t="s">
        <v>865</v>
      </c>
      <c r="AP174" s="182" t="s">
        <v>351</v>
      </c>
    </row>
    <row r="175" spans="1:42" s="185" customFormat="1" ht="26.25" hidden="1" x14ac:dyDescent="0.25">
      <c r="A175" s="180">
        <v>2022</v>
      </c>
      <c r="B175" s="180" t="s">
        <v>1056</v>
      </c>
      <c r="C175" s="180" t="s">
        <v>44</v>
      </c>
      <c r="D175" s="180" t="s">
        <v>1102</v>
      </c>
      <c r="E175" s="180" t="s">
        <v>434</v>
      </c>
      <c r="F175" s="180" t="s">
        <v>73</v>
      </c>
      <c r="G175" t="s">
        <v>1103</v>
      </c>
      <c r="H175" s="285">
        <v>38521</v>
      </c>
      <c r="I175" s="180">
        <f t="shared" si="11"/>
        <v>209</v>
      </c>
      <c r="J175" s="181">
        <v>44907</v>
      </c>
      <c r="K175" s="180" t="str">
        <f t="shared" si="12"/>
        <v>ANTIGUO</v>
      </c>
      <c r="L175" s="180"/>
      <c r="M175" s="180"/>
      <c r="N175" s="180"/>
      <c r="O175" s="180"/>
      <c r="P175" s="180" t="s">
        <v>49</v>
      </c>
      <c r="Q175" s="180"/>
      <c r="R175" s="182"/>
      <c r="S175" s="180" t="s">
        <v>50</v>
      </c>
      <c r="T175" s="180" t="s">
        <v>135</v>
      </c>
      <c r="U175" s="180" t="s">
        <v>31</v>
      </c>
      <c r="V175" s="180" t="s">
        <v>135</v>
      </c>
      <c r="W175" s="180" t="s">
        <v>1104</v>
      </c>
      <c r="X175" s="180" t="s">
        <v>55</v>
      </c>
      <c r="Y175" s="183">
        <v>0.89583333333333337</v>
      </c>
      <c r="Z175" s="180" t="s">
        <v>79</v>
      </c>
      <c r="AA175" s="182" t="s">
        <v>1096</v>
      </c>
      <c r="AB175" s="182"/>
      <c r="AC175" s="212"/>
      <c r="AD175" s="180" t="s">
        <v>58</v>
      </c>
      <c r="AE175" s="216" t="s">
        <v>212</v>
      </c>
      <c r="AF175" s="180">
        <v>40</v>
      </c>
      <c r="AG175" s="180" t="s">
        <v>99</v>
      </c>
      <c r="AH175" s="180" t="s">
        <v>61</v>
      </c>
      <c r="AI175" s="180" t="s">
        <v>100</v>
      </c>
      <c r="AJ175" s="180" t="s">
        <v>130</v>
      </c>
      <c r="AK175" s="184" t="s">
        <v>1105</v>
      </c>
      <c r="AL175" s="182" t="s">
        <v>65</v>
      </c>
      <c r="AM175" s="182" t="s">
        <v>66</v>
      </c>
      <c r="AN175" s="182" t="s">
        <v>67</v>
      </c>
      <c r="AO175" s="182" t="s">
        <v>865</v>
      </c>
      <c r="AP175" s="182" t="s">
        <v>351</v>
      </c>
    </row>
    <row r="176" spans="1:42" s="185" customFormat="1" ht="15" hidden="1" x14ac:dyDescent="0.25">
      <c r="A176" s="180">
        <v>2022</v>
      </c>
      <c r="B176" s="180" t="s">
        <v>1056</v>
      </c>
      <c r="C176" s="180" t="s">
        <v>44</v>
      </c>
      <c r="D176" s="180" t="s">
        <v>1106</v>
      </c>
      <c r="E176" s="180" t="s">
        <v>1107</v>
      </c>
      <c r="F176" s="180" t="s">
        <v>73</v>
      </c>
      <c r="G176" s="1" t="s">
        <v>1108</v>
      </c>
      <c r="H176" s="10">
        <v>44202</v>
      </c>
      <c r="I176" s="180">
        <f t="shared" si="11"/>
        <v>23</v>
      </c>
      <c r="J176" s="181">
        <v>44908</v>
      </c>
      <c r="K176" s="180" t="str">
        <f t="shared" si="12"/>
        <v>INTERMEDIO</v>
      </c>
      <c r="L176" s="180"/>
      <c r="M176" s="180"/>
      <c r="N176" s="180"/>
      <c r="O176" s="180"/>
      <c r="P176" s="180" t="s">
        <v>49</v>
      </c>
      <c r="Q176" s="180" t="s">
        <v>107</v>
      </c>
      <c r="R176" s="182" t="s">
        <v>1109</v>
      </c>
      <c r="S176" s="180" t="s">
        <v>93</v>
      </c>
      <c r="T176" s="180" t="s">
        <v>1064</v>
      </c>
      <c r="U176" s="180" t="s">
        <v>52</v>
      </c>
      <c r="V176" s="180" t="s">
        <v>1064</v>
      </c>
      <c r="W176" s="180" t="s">
        <v>1110</v>
      </c>
      <c r="X176" s="180" t="s">
        <v>78</v>
      </c>
      <c r="Y176" s="183">
        <v>0.5</v>
      </c>
      <c r="Z176" s="180" t="s">
        <v>96</v>
      </c>
      <c r="AA176" s="182" t="s">
        <v>1096</v>
      </c>
      <c r="AB176" s="182"/>
      <c r="AC176" s="212"/>
      <c r="AD176" s="180" t="s">
        <v>97</v>
      </c>
      <c r="AE176" s="216" t="s">
        <v>155</v>
      </c>
      <c r="AF176" s="180">
        <v>32</v>
      </c>
      <c r="AG176" s="180" t="s">
        <v>175</v>
      </c>
      <c r="AH176" s="180" t="s">
        <v>61</v>
      </c>
      <c r="AI176" s="180" t="s">
        <v>100</v>
      </c>
      <c r="AJ176" s="180" t="s">
        <v>177</v>
      </c>
      <c r="AK176" s="272" t="s">
        <v>1111</v>
      </c>
      <c r="AL176" s="182" t="s">
        <v>65</v>
      </c>
      <c r="AM176" s="182" t="s">
        <v>66</v>
      </c>
      <c r="AN176" s="182" t="s">
        <v>67</v>
      </c>
      <c r="AO176" s="182" t="s">
        <v>865</v>
      </c>
      <c r="AP176" s="182" t="s">
        <v>717</v>
      </c>
    </row>
    <row r="177" spans="1:42" s="185" customFormat="1" ht="15" hidden="1" x14ac:dyDescent="0.25">
      <c r="A177" s="180">
        <v>2022</v>
      </c>
      <c r="B177" s="180" t="s">
        <v>1056</v>
      </c>
      <c r="C177" s="180" t="s">
        <v>44</v>
      </c>
      <c r="D177" s="180" t="s">
        <v>1112</v>
      </c>
      <c r="E177" s="180" t="s">
        <v>1113</v>
      </c>
      <c r="F177" s="180" t="s">
        <v>73</v>
      </c>
      <c r="G177" s="1" t="s">
        <v>1114</v>
      </c>
      <c r="H177" s="10">
        <v>44174</v>
      </c>
      <c r="I177" s="180">
        <f t="shared" si="11"/>
        <v>24</v>
      </c>
      <c r="J177" s="181">
        <v>44908</v>
      </c>
      <c r="K177" s="180" t="str">
        <f t="shared" si="12"/>
        <v>INTERMEDIO</v>
      </c>
      <c r="L177" s="180"/>
      <c r="M177" s="180"/>
      <c r="N177" s="180"/>
      <c r="O177" s="180"/>
      <c r="P177" s="180" t="s">
        <v>49</v>
      </c>
      <c r="Q177" s="180"/>
      <c r="R177" s="182"/>
      <c r="S177" s="180" t="s">
        <v>93</v>
      </c>
      <c r="T177" s="180" t="s">
        <v>1064</v>
      </c>
      <c r="U177" s="180" t="s">
        <v>52</v>
      </c>
      <c r="V177" s="180" t="s">
        <v>1064</v>
      </c>
      <c r="W177" s="180" t="s">
        <v>54</v>
      </c>
      <c r="X177" s="180" t="s">
        <v>78</v>
      </c>
      <c r="Y177" s="183">
        <v>0.46527777777777773</v>
      </c>
      <c r="Z177" s="180" t="s">
        <v>96</v>
      </c>
      <c r="AA177" s="182" t="s">
        <v>1096</v>
      </c>
      <c r="AB177" s="182"/>
      <c r="AC177" s="212"/>
      <c r="AD177" s="180" t="s">
        <v>97</v>
      </c>
      <c r="AE177" s="216" t="s">
        <v>155</v>
      </c>
      <c r="AF177" s="180">
        <v>40</v>
      </c>
      <c r="AG177" s="180" t="s">
        <v>60</v>
      </c>
      <c r="AH177" s="180" t="s">
        <v>338</v>
      </c>
      <c r="AI177" s="180" t="s">
        <v>237</v>
      </c>
      <c r="AJ177" s="180" t="s">
        <v>199</v>
      </c>
      <c r="AK177" s="184" t="s">
        <v>1115</v>
      </c>
      <c r="AL177" s="182" t="s">
        <v>65</v>
      </c>
      <c r="AM177" s="182" t="s">
        <v>67</v>
      </c>
      <c r="AN177" s="182" t="s">
        <v>67</v>
      </c>
      <c r="AO177" s="182" t="s">
        <v>865</v>
      </c>
      <c r="AP177" s="182" t="s">
        <v>717</v>
      </c>
    </row>
    <row r="178" spans="1:42" s="185" customFormat="1" ht="15" hidden="1" x14ac:dyDescent="0.25">
      <c r="A178" s="180">
        <v>2022</v>
      </c>
      <c r="B178" s="180" t="s">
        <v>1056</v>
      </c>
      <c r="C178" s="180" t="s">
        <v>866</v>
      </c>
      <c r="D178" s="180" t="s">
        <v>1116</v>
      </c>
      <c r="E178" s="180" t="s">
        <v>1117</v>
      </c>
      <c r="F178" s="180" t="s">
        <v>73</v>
      </c>
      <c r="G178" s="1" t="s">
        <v>547</v>
      </c>
      <c r="H178" s="10">
        <v>43971</v>
      </c>
      <c r="I178" s="180">
        <f t="shared" si="11"/>
        <v>30</v>
      </c>
      <c r="J178" s="181">
        <v>44909</v>
      </c>
      <c r="K178" s="180" t="str">
        <f t="shared" si="12"/>
        <v>INTERMEDIO</v>
      </c>
      <c r="L178" s="180"/>
      <c r="M178" s="180"/>
      <c r="N178" s="180"/>
      <c r="O178" s="180" t="s">
        <v>449</v>
      </c>
      <c r="P178" s="180" t="s">
        <v>49</v>
      </c>
      <c r="Q178" s="180"/>
      <c r="R178" s="182"/>
      <c r="S178" s="180" t="s">
        <v>93</v>
      </c>
      <c r="T178" s="180" t="s">
        <v>1118</v>
      </c>
      <c r="U178" s="180" t="s">
        <v>52</v>
      </c>
      <c r="V178" s="180" t="s">
        <v>1032</v>
      </c>
      <c r="W178" s="180" t="s">
        <v>54</v>
      </c>
      <c r="X178" s="180" t="s">
        <v>55</v>
      </c>
      <c r="Y178" s="183">
        <v>0.83680555555555547</v>
      </c>
      <c r="Z178" s="180" t="s">
        <v>56</v>
      </c>
      <c r="AA178" s="180" t="s">
        <v>1096</v>
      </c>
      <c r="AB178" s="182"/>
      <c r="AC178" s="212"/>
      <c r="AD178" s="180" t="s">
        <v>97</v>
      </c>
      <c r="AE178" s="180" t="s">
        <v>155</v>
      </c>
      <c r="AF178" s="180">
        <v>39</v>
      </c>
      <c r="AG178" s="180" t="s">
        <v>1119</v>
      </c>
      <c r="AH178" s="180" t="s">
        <v>338</v>
      </c>
      <c r="AI178" s="180" t="s">
        <v>237</v>
      </c>
      <c r="AJ178" s="180" t="s">
        <v>1120</v>
      </c>
      <c r="AK178" s="1" t="s">
        <v>1121</v>
      </c>
      <c r="AL178" s="182" t="s">
        <v>87</v>
      </c>
      <c r="AM178" s="182" t="s">
        <v>66</v>
      </c>
      <c r="AN178" s="182" t="s">
        <v>67</v>
      </c>
      <c r="AO178" s="182" t="s">
        <v>865</v>
      </c>
      <c r="AP178" s="182" t="s">
        <v>89</v>
      </c>
    </row>
    <row r="179" spans="1:42" s="185" customFormat="1" ht="15" hidden="1" x14ac:dyDescent="0.25">
      <c r="A179" s="180">
        <v>2022</v>
      </c>
      <c r="B179" s="180" t="s">
        <v>1056</v>
      </c>
      <c r="C179" s="180" t="s">
        <v>44</v>
      </c>
      <c r="D179" s="180" t="s">
        <v>1122</v>
      </c>
      <c r="E179" s="180" t="s">
        <v>1123</v>
      </c>
      <c r="F179" s="180" t="s">
        <v>47</v>
      </c>
      <c r="G179" s="1" t="s">
        <v>1124</v>
      </c>
      <c r="H179" s="10">
        <v>43871</v>
      </c>
      <c r="I179" s="180">
        <f t="shared" si="11"/>
        <v>34</v>
      </c>
      <c r="J179" s="181">
        <v>44909</v>
      </c>
      <c r="K179" s="180" t="str">
        <f t="shared" si="12"/>
        <v>INTERMEDIO</v>
      </c>
      <c r="L179" s="180"/>
      <c r="M179" s="180"/>
      <c r="N179" s="180"/>
      <c r="O179" s="180" t="s">
        <v>449</v>
      </c>
      <c r="P179" s="180" t="s">
        <v>49</v>
      </c>
      <c r="Q179" s="180"/>
      <c r="R179" s="182"/>
      <c r="S179" s="180" t="s">
        <v>271</v>
      </c>
      <c r="T179" s="180" t="s">
        <v>271</v>
      </c>
      <c r="U179" s="180" t="s">
        <v>52</v>
      </c>
      <c r="V179" s="180" t="s">
        <v>272</v>
      </c>
      <c r="W179" s="180" t="s">
        <v>54</v>
      </c>
      <c r="X179" s="180" t="s">
        <v>78</v>
      </c>
      <c r="Y179" s="183">
        <v>0.58680555555555558</v>
      </c>
      <c r="Z179" s="180" t="s">
        <v>56</v>
      </c>
      <c r="AA179" s="182" t="s">
        <v>1096</v>
      </c>
      <c r="AB179" s="182"/>
      <c r="AC179" s="212"/>
      <c r="AD179" s="180" t="s">
        <v>275</v>
      </c>
      <c r="AE179" s="180" t="s">
        <v>632</v>
      </c>
      <c r="AF179" s="180">
        <v>46</v>
      </c>
      <c r="AG179" s="180" t="s">
        <v>128</v>
      </c>
      <c r="AH179" s="180" t="s">
        <v>61</v>
      </c>
      <c r="AI179" s="180" t="s">
        <v>62</v>
      </c>
      <c r="AJ179" s="180" t="s">
        <v>148</v>
      </c>
      <c r="AK179" s="184" t="s">
        <v>1125</v>
      </c>
      <c r="AL179" s="182" t="s">
        <v>65</v>
      </c>
      <c r="AM179" s="182" t="s">
        <v>66</v>
      </c>
      <c r="AN179" s="182" t="s">
        <v>67</v>
      </c>
      <c r="AO179" s="182" t="s">
        <v>865</v>
      </c>
      <c r="AP179" s="182" t="s">
        <v>89</v>
      </c>
    </row>
    <row r="180" spans="1:42" s="185" customFormat="1" ht="15" hidden="1" x14ac:dyDescent="0.25">
      <c r="A180" s="180">
        <v>2022</v>
      </c>
      <c r="B180" s="180" t="s">
        <v>1056</v>
      </c>
      <c r="C180" s="180" t="s">
        <v>44</v>
      </c>
      <c r="D180" s="180" t="s">
        <v>1126</v>
      </c>
      <c r="E180" s="180" t="s">
        <v>1127</v>
      </c>
      <c r="F180" s="180" t="s">
        <v>73</v>
      </c>
      <c r="G180" s="1" t="s">
        <v>1128</v>
      </c>
      <c r="H180" s="10">
        <v>44887</v>
      </c>
      <c r="I180" s="180">
        <f t="shared" si="11"/>
        <v>0</v>
      </c>
      <c r="J180" s="181">
        <v>44910</v>
      </c>
      <c r="K180" s="180" t="str">
        <f t="shared" si="12"/>
        <v>NUEVO</v>
      </c>
      <c r="L180" s="180"/>
      <c r="M180" s="180"/>
      <c r="N180" s="180"/>
      <c r="O180" s="180">
        <v>0</v>
      </c>
      <c r="P180" s="180" t="s">
        <v>49</v>
      </c>
      <c r="Q180" s="180"/>
      <c r="R180" s="182"/>
      <c r="S180" s="180" t="s">
        <v>142</v>
      </c>
      <c r="T180" s="180" t="s">
        <v>143</v>
      </c>
      <c r="U180" s="180" t="s">
        <v>52</v>
      </c>
      <c r="V180" s="180" t="s">
        <v>143</v>
      </c>
      <c r="W180" s="180" t="s">
        <v>54</v>
      </c>
      <c r="X180" s="180" t="s">
        <v>55</v>
      </c>
      <c r="Y180" s="183">
        <v>0.9375</v>
      </c>
      <c r="Z180" s="180" t="s">
        <v>164</v>
      </c>
      <c r="AA180" s="180" t="s">
        <v>1096</v>
      </c>
      <c r="AB180" s="182"/>
      <c r="AC180" s="212"/>
      <c r="AD180" s="180" t="s">
        <v>126</v>
      </c>
      <c r="AE180" s="180" t="s">
        <v>174</v>
      </c>
      <c r="AF180" s="180">
        <v>22</v>
      </c>
      <c r="AG180" s="180" t="s">
        <v>237</v>
      </c>
      <c r="AH180" s="180" t="s">
        <v>84</v>
      </c>
      <c r="AI180" s="180" t="s">
        <v>62</v>
      </c>
      <c r="AJ180" s="180" t="s">
        <v>85</v>
      </c>
      <c r="AK180" s="184" t="s">
        <v>1129</v>
      </c>
      <c r="AL180" s="182" t="s">
        <v>65</v>
      </c>
      <c r="AM180" s="182" t="s">
        <v>67</v>
      </c>
      <c r="AN180" s="182" t="s">
        <v>67</v>
      </c>
      <c r="AO180" s="182" t="s">
        <v>865</v>
      </c>
      <c r="AP180" s="182" t="s">
        <v>907</v>
      </c>
    </row>
    <row r="181" spans="1:42" s="185" customFormat="1" ht="15" hidden="1" x14ac:dyDescent="0.25">
      <c r="A181" s="180">
        <v>2022</v>
      </c>
      <c r="B181" s="180" t="s">
        <v>1056</v>
      </c>
      <c r="C181" s="180" t="s">
        <v>44</v>
      </c>
      <c r="D181" s="180" t="s">
        <v>1130</v>
      </c>
      <c r="E181" s="180" t="s">
        <v>1131</v>
      </c>
      <c r="F181" s="180" t="s">
        <v>47</v>
      </c>
      <c r="G181" s="1" t="s">
        <v>1132</v>
      </c>
      <c r="H181" s="10">
        <v>44236</v>
      </c>
      <c r="I181" s="180">
        <f t="shared" si="11"/>
        <v>22</v>
      </c>
      <c r="J181" s="181">
        <v>44911</v>
      </c>
      <c r="K181" s="180" t="str">
        <f t="shared" si="12"/>
        <v>INTERMEDIO</v>
      </c>
      <c r="L181" s="180"/>
      <c r="M181" s="180"/>
      <c r="N181" s="180"/>
      <c r="O181" s="180">
        <v>0</v>
      </c>
      <c r="P181" s="180" t="s">
        <v>49</v>
      </c>
      <c r="Q181" s="180"/>
      <c r="R181" s="182"/>
      <c r="S181" s="180" t="s">
        <v>142</v>
      </c>
      <c r="T181" s="180" t="s">
        <v>143</v>
      </c>
      <c r="U181" s="180" t="s">
        <v>52</v>
      </c>
      <c r="V181" s="180" t="s">
        <v>143</v>
      </c>
      <c r="W181" s="180" t="s">
        <v>54</v>
      </c>
      <c r="X181" s="180" t="s">
        <v>885</v>
      </c>
      <c r="Y181" s="183">
        <v>0.90972222222222221</v>
      </c>
      <c r="Z181" s="180" t="s">
        <v>183</v>
      </c>
      <c r="AA181" s="180" t="s">
        <v>1096</v>
      </c>
      <c r="AB181" s="182"/>
      <c r="AC181" s="212"/>
      <c r="AD181" s="180" t="s">
        <v>126</v>
      </c>
      <c r="AE181" s="180" t="s">
        <v>174</v>
      </c>
      <c r="AF181" s="180">
        <v>39</v>
      </c>
      <c r="AG181" s="180" t="s">
        <v>128</v>
      </c>
      <c r="AH181" s="180" t="s">
        <v>61</v>
      </c>
      <c r="AI181" s="180" t="s">
        <v>62</v>
      </c>
      <c r="AJ181" s="180" t="s">
        <v>148</v>
      </c>
      <c r="AK181" s="184" t="s">
        <v>1133</v>
      </c>
      <c r="AL181" s="182" t="s">
        <v>65</v>
      </c>
      <c r="AM181" s="182" t="s">
        <v>66</v>
      </c>
      <c r="AN181" s="182" t="s">
        <v>67</v>
      </c>
      <c r="AO181" s="182" t="s">
        <v>865</v>
      </c>
      <c r="AP181" s="182" t="s">
        <v>351</v>
      </c>
    </row>
    <row r="182" spans="1:42" s="185" customFormat="1" ht="15" hidden="1" x14ac:dyDescent="0.25">
      <c r="A182" s="180">
        <v>2022</v>
      </c>
      <c r="B182" s="180" t="s">
        <v>1056</v>
      </c>
      <c r="C182" s="180" t="s">
        <v>44</v>
      </c>
      <c r="D182" s="180" t="s">
        <v>1134</v>
      </c>
      <c r="E182" s="180" t="s">
        <v>1135</v>
      </c>
      <c r="F182" s="180" t="s">
        <v>73</v>
      </c>
      <c r="G182" s="1" t="s">
        <v>1136</v>
      </c>
      <c r="H182" s="10">
        <v>43514</v>
      </c>
      <c r="I182" s="180">
        <f t="shared" si="11"/>
        <v>46</v>
      </c>
      <c r="J182" s="181">
        <v>44914</v>
      </c>
      <c r="K182" s="180" t="str">
        <f t="shared" si="12"/>
        <v>ANTIGUO</v>
      </c>
      <c r="L182" s="180"/>
      <c r="M182" s="180"/>
      <c r="N182" s="180"/>
      <c r="O182" s="180" t="s">
        <v>449</v>
      </c>
      <c r="P182" s="180" t="s">
        <v>49</v>
      </c>
      <c r="Q182" s="180"/>
      <c r="R182" s="182"/>
      <c r="S182" s="180" t="s">
        <v>271</v>
      </c>
      <c r="T182" s="180" t="s">
        <v>1137</v>
      </c>
      <c r="U182" s="180" t="s">
        <v>52</v>
      </c>
      <c r="V182" s="180" t="s">
        <v>1137</v>
      </c>
      <c r="W182" s="180" t="s">
        <v>54</v>
      </c>
      <c r="X182" s="180" t="s">
        <v>78</v>
      </c>
      <c r="Y182" s="183">
        <v>0.30902777777777779</v>
      </c>
      <c r="Z182" s="180" t="s">
        <v>79</v>
      </c>
      <c r="AA182" s="180" t="s">
        <v>1138</v>
      </c>
      <c r="AB182" s="182"/>
      <c r="AC182" s="212"/>
      <c r="AD182" s="180" t="s">
        <v>275</v>
      </c>
      <c r="AE182" s="180" t="s">
        <v>314</v>
      </c>
      <c r="AF182" s="180">
        <v>38</v>
      </c>
      <c r="AG182" s="180" t="s">
        <v>128</v>
      </c>
      <c r="AH182" s="180" t="s">
        <v>441</v>
      </c>
      <c r="AI182" s="180" t="s">
        <v>62</v>
      </c>
      <c r="AJ182" s="180" t="s">
        <v>63</v>
      </c>
      <c r="AK182" s="286" t="s">
        <v>1139</v>
      </c>
      <c r="AL182" s="182" t="s">
        <v>65</v>
      </c>
      <c r="AM182" s="182" t="s">
        <v>66</v>
      </c>
      <c r="AN182" s="182" t="s">
        <v>67</v>
      </c>
      <c r="AO182" s="182" t="s">
        <v>844</v>
      </c>
      <c r="AP182" s="182" t="s">
        <v>717</v>
      </c>
    </row>
    <row r="183" spans="1:42" s="185" customFormat="1" ht="15" hidden="1" x14ac:dyDescent="0.25">
      <c r="A183" s="180">
        <v>2022</v>
      </c>
      <c r="B183" s="180" t="s">
        <v>1056</v>
      </c>
      <c r="C183" s="180" t="s">
        <v>44</v>
      </c>
      <c r="D183" s="180" t="s">
        <v>1140</v>
      </c>
      <c r="E183" s="180" t="s">
        <v>1141</v>
      </c>
      <c r="F183" s="180" t="s">
        <v>47</v>
      </c>
      <c r="G183" s="1" t="s">
        <v>1142</v>
      </c>
      <c r="H183" s="10">
        <v>44356</v>
      </c>
      <c r="I183" s="180">
        <f t="shared" si="11"/>
        <v>18</v>
      </c>
      <c r="J183" s="181">
        <v>44914</v>
      </c>
      <c r="K183" s="180" t="str">
        <f t="shared" si="12"/>
        <v>NUEVO</v>
      </c>
      <c r="L183" s="180"/>
      <c r="M183" s="180"/>
      <c r="N183" s="180"/>
      <c r="O183" s="180">
        <v>0</v>
      </c>
      <c r="P183" s="180" t="s">
        <v>49</v>
      </c>
      <c r="Q183" s="180"/>
      <c r="R183" s="182"/>
      <c r="S183" s="180" t="s">
        <v>142</v>
      </c>
      <c r="T183" s="180" t="s">
        <v>143</v>
      </c>
      <c r="U183" s="180" t="s">
        <v>52</v>
      </c>
      <c r="V183" s="180" t="s">
        <v>143</v>
      </c>
      <c r="W183" s="180" t="s">
        <v>1143</v>
      </c>
      <c r="X183" s="180" t="s">
        <v>78</v>
      </c>
      <c r="Y183" s="183">
        <v>0.30208333333333331</v>
      </c>
      <c r="Z183" s="180" t="s">
        <v>79</v>
      </c>
      <c r="AA183" s="180" t="s">
        <v>1138</v>
      </c>
      <c r="AB183" s="182"/>
      <c r="AC183" s="212"/>
      <c r="AD183" s="180" t="s">
        <v>126</v>
      </c>
      <c r="AE183" s="180" t="s">
        <v>174</v>
      </c>
      <c r="AF183" s="180">
        <v>35</v>
      </c>
      <c r="AG183" s="180" t="s">
        <v>175</v>
      </c>
      <c r="AH183" s="180" t="s">
        <v>61</v>
      </c>
      <c r="AI183" s="180" t="s">
        <v>527</v>
      </c>
      <c r="AJ183" s="180" t="s">
        <v>177</v>
      </c>
      <c r="AK183" s="184" t="s">
        <v>1144</v>
      </c>
      <c r="AL183" s="182" t="s">
        <v>87</v>
      </c>
      <c r="AM183" s="182" t="s">
        <v>66</v>
      </c>
      <c r="AN183" s="182" t="s">
        <v>67</v>
      </c>
      <c r="AO183" s="182" t="s">
        <v>865</v>
      </c>
      <c r="AP183" s="182" t="s">
        <v>907</v>
      </c>
    </row>
    <row r="184" spans="1:42" s="185" customFormat="1" ht="15" hidden="1" x14ac:dyDescent="0.25">
      <c r="A184" s="180">
        <v>2022</v>
      </c>
      <c r="B184" s="180" t="s">
        <v>1056</v>
      </c>
      <c r="C184" s="180" t="s">
        <v>44</v>
      </c>
      <c r="D184" s="180" t="s">
        <v>1145</v>
      </c>
      <c r="E184" s="180" t="s">
        <v>1146</v>
      </c>
      <c r="F184" s="180" t="s">
        <v>47</v>
      </c>
      <c r="G184" s="1" t="s">
        <v>1147</v>
      </c>
      <c r="H184" s="10">
        <v>43850</v>
      </c>
      <c r="I184" s="180">
        <f t="shared" si="11"/>
        <v>35</v>
      </c>
      <c r="J184" s="181">
        <v>44916</v>
      </c>
      <c r="K184" s="180" t="str">
        <f t="shared" si="12"/>
        <v>INTERMEDIO</v>
      </c>
      <c r="L184" s="180"/>
      <c r="M184" s="180"/>
      <c r="N184" s="180"/>
      <c r="O184" s="180" t="s">
        <v>449</v>
      </c>
      <c r="P184" s="180" t="s">
        <v>49</v>
      </c>
      <c r="Q184" s="180"/>
      <c r="R184" s="182"/>
      <c r="S184" s="180" t="s">
        <v>50</v>
      </c>
      <c r="T184" s="180" t="s">
        <v>135</v>
      </c>
      <c r="U184" s="180" t="s">
        <v>52</v>
      </c>
      <c r="V184" s="180" t="s">
        <v>1148</v>
      </c>
      <c r="W184" s="180" t="s">
        <v>54</v>
      </c>
      <c r="X184" s="180" t="s">
        <v>55</v>
      </c>
      <c r="Y184" s="183">
        <v>0.66666666666666663</v>
      </c>
      <c r="Z184" s="180" t="s">
        <v>56</v>
      </c>
      <c r="AA184" s="180" t="s">
        <v>1138</v>
      </c>
      <c r="AB184" s="182"/>
      <c r="AC184" s="212"/>
      <c r="AD184" s="180" t="s">
        <v>971</v>
      </c>
      <c r="AE184" s="187" t="s">
        <v>522</v>
      </c>
      <c r="AF184" s="180">
        <v>27</v>
      </c>
      <c r="AG184" s="180" t="s">
        <v>237</v>
      </c>
      <c r="AH184" s="180" t="s">
        <v>113</v>
      </c>
      <c r="AI184" s="180" t="s">
        <v>237</v>
      </c>
      <c r="AJ184" s="180" t="s">
        <v>237</v>
      </c>
      <c r="AK184" s="184" t="s">
        <v>1149</v>
      </c>
      <c r="AL184" s="182" t="s">
        <v>65</v>
      </c>
      <c r="AM184" s="182" t="s">
        <v>66</v>
      </c>
      <c r="AN184" s="182" t="s">
        <v>67</v>
      </c>
      <c r="AO184" s="182" t="s">
        <v>844</v>
      </c>
      <c r="AP184" s="182" t="s">
        <v>717</v>
      </c>
    </row>
    <row r="185" spans="1:42" s="185" customFormat="1" ht="15" hidden="1" x14ac:dyDescent="0.25">
      <c r="A185" s="180">
        <v>2022</v>
      </c>
      <c r="B185" s="180" t="s">
        <v>1056</v>
      </c>
      <c r="C185" s="180" t="s">
        <v>44</v>
      </c>
      <c r="D185" s="180" t="s">
        <v>1150</v>
      </c>
      <c r="E185" s="180" t="s">
        <v>1151</v>
      </c>
      <c r="F185" s="180" t="s">
        <v>73</v>
      </c>
      <c r="G185" s="1" t="s">
        <v>1152</v>
      </c>
      <c r="H185" s="10">
        <v>44816</v>
      </c>
      <c r="I185" s="180">
        <f t="shared" si="11"/>
        <v>3</v>
      </c>
      <c r="J185" s="181">
        <v>44917</v>
      </c>
      <c r="K185" s="180" t="str">
        <f t="shared" si="12"/>
        <v>NUEVO</v>
      </c>
      <c r="L185" s="180"/>
      <c r="M185" s="180"/>
      <c r="N185" s="180"/>
      <c r="O185" s="180" t="s">
        <v>449</v>
      </c>
      <c r="P185" s="180" t="s">
        <v>49</v>
      </c>
      <c r="Q185" s="180"/>
      <c r="R185" s="182"/>
      <c r="S185" s="180" t="s">
        <v>75</v>
      </c>
      <c r="T185" s="180" t="s">
        <v>135</v>
      </c>
      <c r="U185" s="180" t="s">
        <v>52</v>
      </c>
      <c r="V185" s="180" t="s">
        <v>135</v>
      </c>
      <c r="W185" s="180" t="s">
        <v>54</v>
      </c>
      <c r="X185" s="180" t="s">
        <v>970</v>
      </c>
      <c r="Y185" s="183">
        <v>0.21180555555555555</v>
      </c>
      <c r="Z185" s="180" t="s">
        <v>164</v>
      </c>
      <c r="AA185" s="180" t="s">
        <v>1138</v>
      </c>
      <c r="AB185" s="182"/>
      <c r="AC185" s="212"/>
      <c r="AD185" s="180" t="s">
        <v>215</v>
      </c>
      <c r="AE185" s="180" t="s">
        <v>82</v>
      </c>
      <c r="AF185" s="180">
        <v>30</v>
      </c>
      <c r="AG185" s="180" t="s">
        <v>237</v>
      </c>
      <c r="AH185" s="180" t="s">
        <v>113</v>
      </c>
      <c r="AI185" s="180" t="s">
        <v>237</v>
      </c>
      <c r="AJ185" s="180" t="s">
        <v>237</v>
      </c>
      <c r="AK185" s="286" t="s">
        <v>1153</v>
      </c>
      <c r="AL185" s="182" t="s">
        <v>65</v>
      </c>
      <c r="AM185" s="182" t="s">
        <v>66</v>
      </c>
      <c r="AN185" s="182" t="s">
        <v>67</v>
      </c>
      <c r="AO185" s="182" t="s">
        <v>844</v>
      </c>
      <c r="AP185" s="182" t="s">
        <v>717</v>
      </c>
    </row>
    <row r="186" spans="1:42" s="185" customFormat="1" ht="15" hidden="1" x14ac:dyDescent="0.25">
      <c r="A186" s="187">
        <v>2022</v>
      </c>
      <c r="B186" s="187" t="s">
        <v>1056</v>
      </c>
      <c r="C186" s="187" t="s">
        <v>44</v>
      </c>
      <c r="D186" s="187" t="s">
        <v>1154</v>
      </c>
      <c r="E186" s="187" t="s">
        <v>1155</v>
      </c>
      <c r="F186" s="187" t="s">
        <v>73</v>
      </c>
      <c r="G186" s="1" t="s">
        <v>1156</v>
      </c>
      <c r="H186" s="10">
        <v>44872</v>
      </c>
      <c r="I186" s="187">
        <f t="shared" si="11"/>
        <v>1</v>
      </c>
      <c r="J186" s="239">
        <v>44918</v>
      </c>
      <c r="K186" s="187" t="str">
        <f t="shared" si="12"/>
        <v>NUEVO</v>
      </c>
      <c r="L186" s="187"/>
      <c r="M186" s="187"/>
      <c r="N186" s="187"/>
      <c r="O186" s="187" t="s">
        <v>449</v>
      </c>
      <c r="P186" s="187" t="s">
        <v>49</v>
      </c>
      <c r="Q186" s="187"/>
      <c r="R186" s="188"/>
      <c r="S186" s="187" t="s">
        <v>75</v>
      </c>
      <c r="T186" s="187" t="s">
        <v>1074</v>
      </c>
      <c r="U186" s="187" t="s">
        <v>52</v>
      </c>
      <c r="V186" s="187" t="s">
        <v>1064</v>
      </c>
      <c r="W186" s="187" t="s">
        <v>54</v>
      </c>
      <c r="X186" s="187" t="s">
        <v>110</v>
      </c>
      <c r="Y186" s="240">
        <v>0.95138888888888884</v>
      </c>
      <c r="Z186" s="187" t="s">
        <v>183</v>
      </c>
      <c r="AA186" s="187" t="s">
        <v>1138</v>
      </c>
      <c r="AB186" s="188"/>
      <c r="AC186" s="215"/>
      <c r="AD186" s="187" t="s">
        <v>215</v>
      </c>
      <c r="AE186" s="187" t="s">
        <v>235</v>
      </c>
      <c r="AF186" s="187" t="s">
        <v>449</v>
      </c>
      <c r="AG186" s="187" t="s">
        <v>60</v>
      </c>
      <c r="AH186" s="187" t="s">
        <v>129</v>
      </c>
      <c r="AI186" s="187" t="s">
        <v>114</v>
      </c>
      <c r="AJ186" s="187" t="s">
        <v>247</v>
      </c>
      <c r="AK186" s="189" t="s">
        <v>1157</v>
      </c>
      <c r="AL186" s="188" t="s">
        <v>65</v>
      </c>
      <c r="AM186" s="188" t="s">
        <v>66</v>
      </c>
      <c r="AN186" s="188" t="s">
        <v>66</v>
      </c>
      <c r="AO186" s="188" t="s">
        <v>865</v>
      </c>
      <c r="AP186" s="188" t="s">
        <v>907</v>
      </c>
    </row>
    <row r="187" spans="1:42" s="185" customFormat="1" ht="15" hidden="1" x14ac:dyDescent="0.25">
      <c r="A187" s="180">
        <v>2022</v>
      </c>
      <c r="B187" s="180" t="s">
        <v>1056</v>
      </c>
      <c r="C187" s="180" t="s">
        <v>44</v>
      </c>
      <c r="D187" s="180" t="s">
        <v>1158</v>
      </c>
      <c r="E187" s="180" t="s">
        <v>1159</v>
      </c>
      <c r="F187" s="180" t="s">
        <v>73</v>
      </c>
      <c r="G187" s="1" t="s">
        <v>1160</v>
      </c>
      <c r="H187" s="10">
        <v>41761</v>
      </c>
      <c r="I187" s="180">
        <f t="shared" ref="I187:I218" si="13">DATEDIF(H187,J187,"m")</f>
        <v>103</v>
      </c>
      <c r="J187" s="181">
        <v>44918</v>
      </c>
      <c r="K187" s="180" t="str">
        <f t="shared" ref="K187:K218" si="14">IF(I187&lt;=18,"NUEVO",IF(I187&lt;=36,"INTERMEDIO","ANTIGUO"))</f>
        <v>ANTIGUO</v>
      </c>
      <c r="L187" s="180"/>
      <c r="M187" s="180"/>
      <c r="N187" s="180"/>
      <c r="O187" s="180" t="s">
        <v>449</v>
      </c>
      <c r="P187" s="180" t="s">
        <v>49</v>
      </c>
      <c r="Q187" s="180"/>
      <c r="R187" s="182"/>
      <c r="S187" s="180" t="s">
        <v>50</v>
      </c>
      <c r="T187" s="180" t="s">
        <v>51</v>
      </c>
      <c r="U187" s="190" t="s">
        <v>52</v>
      </c>
      <c r="V187" s="180" t="s">
        <v>730</v>
      </c>
      <c r="W187" s="180" t="s">
        <v>54</v>
      </c>
      <c r="X187" s="180" t="s">
        <v>78</v>
      </c>
      <c r="Y187" s="183">
        <v>0.3125</v>
      </c>
      <c r="Z187" s="180" t="s">
        <v>183</v>
      </c>
      <c r="AA187" s="180" t="s">
        <v>1138</v>
      </c>
      <c r="AB187" s="182"/>
      <c r="AC187" s="212"/>
      <c r="AD187" s="180" t="s">
        <v>58</v>
      </c>
      <c r="AE187" s="180" t="s">
        <v>228</v>
      </c>
      <c r="AF187" s="180" t="s">
        <v>449</v>
      </c>
      <c r="AG187" s="180" t="s">
        <v>237</v>
      </c>
      <c r="AH187" s="180" t="s">
        <v>338</v>
      </c>
      <c r="AI187" s="180" t="s">
        <v>237</v>
      </c>
      <c r="AJ187" s="180" t="s">
        <v>199</v>
      </c>
      <c r="AK187" s="286" t="s">
        <v>1161</v>
      </c>
      <c r="AL187" s="182" t="s">
        <v>65</v>
      </c>
      <c r="AM187" s="182" t="s">
        <v>66</v>
      </c>
      <c r="AN187" s="182" t="s">
        <v>67</v>
      </c>
      <c r="AO187" s="182" t="s">
        <v>865</v>
      </c>
      <c r="AP187" s="182" t="s">
        <v>907</v>
      </c>
    </row>
    <row r="188" spans="1:42" s="278" customFormat="1" ht="15" hidden="1" x14ac:dyDescent="0.25">
      <c r="A188" s="241">
        <v>2022</v>
      </c>
      <c r="B188" s="187" t="s">
        <v>1056</v>
      </c>
      <c r="C188" s="187" t="s">
        <v>44</v>
      </c>
      <c r="D188" s="187" t="s">
        <v>1162</v>
      </c>
      <c r="E188" s="187" t="s">
        <v>1163</v>
      </c>
      <c r="F188" s="187" t="s">
        <v>73</v>
      </c>
      <c r="G188" s="1" t="s">
        <v>1164</v>
      </c>
      <c r="H188" s="10">
        <v>40707</v>
      </c>
      <c r="I188" s="187">
        <f t="shared" si="13"/>
        <v>138</v>
      </c>
      <c r="J188" s="239">
        <v>44919</v>
      </c>
      <c r="K188" s="187" t="str">
        <f t="shared" si="14"/>
        <v>ANTIGUO</v>
      </c>
      <c r="L188" s="187"/>
      <c r="M188" s="187"/>
      <c r="N188" s="187"/>
      <c r="O188" s="187">
        <v>2</v>
      </c>
      <c r="P188" s="187" t="s">
        <v>141</v>
      </c>
      <c r="Q188" s="187"/>
      <c r="R188" s="188"/>
      <c r="S188" s="187" t="s">
        <v>271</v>
      </c>
      <c r="T188" s="187" t="s">
        <v>1165</v>
      </c>
      <c r="U188" s="187" t="s">
        <v>52</v>
      </c>
      <c r="V188" s="187" t="s">
        <v>1166</v>
      </c>
      <c r="W188" s="187" t="s">
        <v>54</v>
      </c>
      <c r="X188" s="187" t="s">
        <v>110</v>
      </c>
      <c r="Y188" s="240">
        <v>4.1666666666666664E-2</v>
      </c>
      <c r="Z188" s="187" t="s">
        <v>154</v>
      </c>
      <c r="AA188" s="187" t="s">
        <v>1138</v>
      </c>
      <c r="AB188" s="188"/>
      <c r="AC188" s="214" t="s">
        <v>1167</v>
      </c>
      <c r="AD188" s="187" t="s">
        <v>275</v>
      </c>
      <c r="AE188" s="187" t="s">
        <v>314</v>
      </c>
      <c r="AF188" s="187" t="s">
        <v>449</v>
      </c>
      <c r="AG188" s="187" t="s">
        <v>112</v>
      </c>
      <c r="AH188" s="187" t="s">
        <v>113</v>
      </c>
      <c r="AI188" s="187" t="s">
        <v>266</v>
      </c>
      <c r="AJ188" s="187" t="s">
        <v>1023</v>
      </c>
      <c r="AK188" t="s">
        <v>1168</v>
      </c>
      <c r="AL188" s="188" t="s">
        <v>65</v>
      </c>
      <c r="AM188" s="188" t="s">
        <v>66</v>
      </c>
      <c r="AN188" s="188" t="s">
        <v>66</v>
      </c>
      <c r="AO188" s="188" t="s">
        <v>865</v>
      </c>
      <c r="AP188" s="188" t="s">
        <v>907</v>
      </c>
    </row>
    <row r="189" spans="1:42" s="185" customFormat="1" ht="15" hidden="1" x14ac:dyDescent="0.25">
      <c r="A189" s="187">
        <v>2022</v>
      </c>
      <c r="B189" s="187" t="s">
        <v>1056</v>
      </c>
      <c r="C189" s="180" t="s">
        <v>44</v>
      </c>
      <c r="D189" s="180" t="s">
        <v>686</v>
      </c>
      <c r="E189" s="180" t="s">
        <v>687</v>
      </c>
      <c r="F189" s="180" t="s">
        <v>47</v>
      </c>
      <c r="G189" s="42" t="s">
        <v>1169</v>
      </c>
      <c r="H189" s="10">
        <v>44364</v>
      </c>
      <c r="I189" s="180">
        <f t="shared" si="13"/>
        <v>18</v>
      </c>
      <c r="J189" s="181">
        <v>44923</v>
      </c>
      <c r="K189" s="180" t="str">
        <f t="shared" si="14"/>
        <v>NUEVO</v>
      </c>
      <c r="L189" s="180"/>
      <c r="M189" s="180"/>
      <c r="N189" s="180"/>
      <c r="O189" s="180" t="s">
        <v>449</v>
      </c>
      <c r="P189" s="180" t="s">
        <v>49</v>
      </c>
      <c r="Q189" s="180"/>
      <c r="R189" s="182"/>
      <c r="S189" s="180"/>
      <c r="T189" s="180" t="s">
        <v>324</v>
      </c>
      <c r="U189" s="180" t="s">
        <v>52</v>
      </c>
      <c r="V189" s="180" t="s">
        <v>324</v>
      </c>
      <c r="W189" s="180" t="s">
        <v>54</v>
      </c>
      <c r="X189" s="180" t="s">
        <v>55</v>
      </c>
      <c r="Y189" s="183">
        <v>0.91666666666666663</v>
      </c>
      <c r="Z189" s="180" t="s">
        <v>56</v>
      </c>
      <c r="AA189" s="180" t="s">
        <v>1170</v>
      </c>
      <c r="AB189" s="182"/>
      <c r="AC189" s="212"/>
      <c r="AD189" s="180" t="s">
        <v>1171</v>
      </c>
      <c r="AE189" s="180" t="s">
        <v>449</v>
      </c>
      <c r="AF189" s="180" t="s">
        <v>449</v>
      </c>
      <c r="AG189" s="180" t="s">
        <v>237</v>
      </c>
      <c r="AH189" s="180" t="s">
        <v>338</v>
      </c>
      <c r="AI189" s="180" t="s">
        <v>237</v>
      </c>
      <c r="AJ189" s="180" t="s">
        <v>199</v>
      </c>
      <c r="AK189" s="286" t="s">
        <v>1172</v>
      </c>
      <c r="AL189" s="182" t="s">
        <v>65</v>
      </c>
      <c r="AM189" s="182" t="s">
        <v>66</v>
      </c>
      <c r="AN189" s="182" t="s">
        <v>67</v>
      </c>
      <c r="AO189" s="182" t="s">
        <v>865</v>
      </c>
      <c r="AP189" s="182" t="s">
        <v>351</v>
      </c>
    </row>
    <row r="190" spans="1:42" s="185" customFormat="1" ht="15" hidden="1" x14ac:dyDescent="0.25">
      <c r="A190" s="180">
        <v>2022</v>
      </c>
      <c r="B190" s="187" t="s">
        <v>1056</v>
      </c>
      <c r="C190" s="180" t="s">
        <v>44</v>
      </c>
      <c r="D190" s="180" t="s">
        <v>1173</v>
      </c>
      <c r="E190" s="180" t="s">
        <v>1174</v>
      </c>
      <c r="F190" s="180" t="s">
        <v>73</v>
      </c>
      <c r="G190" s="42" t="s">
        <v>1175</v>
      </c>
      <c r="H190" s="181">
        <v>44734</v>
      </c>
      <c r="I190" s="180">
        <f t="shared" si="13"/>
        <v>6</v>
      </c>
      <c r="J190" s="181">
        <v>44923</v>
      </c>
      <c r="K190" s="180" t="str">
        <f t="shared" si="14"/>
        <v>NUEVO</v>
      </c>
      <c r="L190" s="180"/>
      <c r="M190" s="180"/>
      <c r="N190" s="180"/>
      <c r="O190" s="180" t="s">
        <v>449</v>
      </c>
      <c r="P190" s="180" t="s">
        <v>49</v>
      </c>
      <c r="Q190" s="180"/>
      <c r="R190" s="182"/>
      <c r="S190" s="180" t="s">
        <v>1176</v>
      </c>
      <c r="T190" s="180" t="s">
        <v>447</v>
      </c>
      <c r="U190" s="180" t="s">
        <v>1177</v>
      </c>
      <c r="V190" s="180" t="s">
        <v>406</v>
      </c>
      <c r="W190" s="180" t="s">
        <v>54</v>
      </c>
      <c r="X190" s="180" t="s">
        <v>970</v>
      </c>
      <c r="Y190" s="183">
        <v>0.28125</v>
      </c>
      <c r="Z190" s="180" t="s">
        <v>1178</v>
      </c>
      <c r="AA190" s="180" t="s">
        <v>1170</v>
      </c>
      <c r="AB190" s="182"/>
      <c r="AC190" s="212"/>
      <c r="AD190" s="180" t="s">
        <v>184</v>
      </c>
      <c r="AE190" s="180" t="s">
        <v>1179</v>
      </c>
      <c r="AF190" s="180">
        <v>27</v>
      </c>
      <c r="AG190" s="180" t="s">
        <v>237</v>
      </c>
      <c r="AH190" s="180" t="s">
        <v>84</v>
      </c>
      <c r="AI190" s="180" t="s">
        <v>408</v>
      </c>
      <c r="AJ190" s="180" t="s">
        <v>237</v>
      </c>
      <c r="AK190" s="184" t="s">
        <v>1180</v>
      </c>
      <c r="AL190" s="182" t="s">
        <v>65</v>
      </c>
      <c r="AM190" s="182" t="s">
        <v>66</v>
      </c>
      <c r="AN190" s="182" t="s">
        <v>67</v>
      </c>
      <c r="AO190" s="182" t="s">
        <v>844</v>
      </c>
      <c r="AP190" s="182" t="s">
        <v>351</v>
      </c>
    </row>
    <row r="191" spans="1:42" s="185" customFormat="1" ht="15" hidden="1" x14ac:dyDescent="0.25">
      <c r="A191" s="187">
        <v>2022</v>
      </c>
      <c r="B191" s="187" t="s">
        <v>1056</v>
      </c>
      <c r="C191" s="180" t="s">
        <v>44</v>
      </c>
      <c r="D191" s="180" t="s">
        <v>1181</v>
      </c>
      <c r="E191" s="180" t="s">
        <v>1182</v>
      </c>
      <c r="F191" s="180" t="s">
        <v>73</v>
      </c>
      <c r="G191" s="42" t="s">
        <v>1183</v>
      </c>
      <c r="H191" s="10">
        <v>44894</v>
      </c>
      <c r="I191" s="180">
        <f t="shared" si="13"/>
        <v>0</v>
      </c>
      <c r="J191" s="181">
        <v>44923</v>
      </c>
      <c r="K191" s="180" t="str">
        <f t="shared" si="14"/>
        <v>NUEVO</v>
      </c>
      <c r="L191" s="180"/>
      <c r="M191" s="180"/>
      <c r="N191" s="180"/>
      <c r="O191" s="180" t="s">
        <v>449</v>
      </c>
      <c r="P191" s="180" t="s">
        <v>49</v>
      </c>
      <c r="Q191" s="180"/>
      <c r="R191" s="182"/>
      <c r="S191" s="180" t="s">
        <v>50</v>
      </c>
      <c r="T191" s="180" t="s">
        <v>730</v>
      </c>
      <c r="U191" s="180" t="s">
        <v>52</v>
      </c>
      <c r="V191" s="180" t="s">
        <v>730</v>
      </c>
      <c r="W191" s="180" t="s">
        <v>1104</v>
      </c>
      <c r="X191" s="180" t="s">
        <v>55</v>
      </c>
      <c r="Y191" s="183">
        <v>3.472222222222222E-3</v>
      </c>
      <c r="Z191" s="180" t="s">
        <v>164</v>
      </c>
      <c r="AA191" s="180" t="s">
        <v>1170</v>
      </c>
      <c r="AB191" s="182"/>
      <c r="AC191" s="212"/>
      <c r="AD191" s="180" t="s">
        <v>58</v>
      </c>
      <c r="AE191" s="180" t="s">
        <v>228</v>
      </c>
      <c r="AF191" s="180" t="s">
        <v>449</v>
      </c>
      <c r="AG191" s="180" t="s">
        <v>99</v>
      </c>
      <c r="AH191" s="180" t="s">
        <v>61</v>
      </c>
      <c r="AI191" s="180" t="s">
        <v>100</v>
      </c>
      <c r="AJ191" s="180" t="s">
        <v>130</v>
      </c>
      <c r="AK191" s="1" t="s">
        <v>1184</v>
      </c>
      <c r="AL191" s="182" t="s">
        <v>65</v>
      </c>
      <c r="AM191" s="182" t="s">
        <v>66</v>
      </c>
      <c r="AN191" s="182" t="s">
        <v>67</v>
      </c>
      <c r="AO191" s="182" t="s">
        <v>865</v>
      </c>
      <c r="AP191" s="182" t="s">
        <v>351</v>
      </c>
    </row>
    <row r="192" spans="1:42" s="185" customFormat="1" ht="15" hidden="1" x14ac:dyDescent="0.25">
      <c r="A192" s="180">
        <v>2022</v>
      </c>
      <c r="B192" s="187" t="s">
        <v>1056</v>
      </c>
      <c r="C192" s="180" t="s">
        <v>44</v>
      </c>
      <c r="D192" s="180" t="s">
        <v>1185</v>
      </c>
      <c r="E192" s="180" t="s">
        <v>1186</v>
      </c>
      <c r="F192" s="180" t="s">
        <v>73</v>
      </c>
      <c r="G192" s="180" t="s">
        <v>1187</v>
      </c>
      <c r="H192" s="181">
        <v>44869</v>
      </c>
      <c r="I192" s="180">
        <f t="shared" si="13"/>
        <v>1</v>
      </c>
      <c r="J192" s="181">
        <v>44924</v>
      </c>
      <c r="K192" s="180" t="str">
        <f t="shared" si="14"/>
        <v>NUEVO</v>
      </c>
      <c r="L192" s="181"/>
      <c r="M192" s="180"/>
      <c r="N192" s="180"/>
      <c r="O192" s="180" t="s">
        <v>449</v>
      </c>
      <c r="P192" s="180" t="s">
        <v>49</v>
      </c>
      <c r="Q192" s="180">
        <v>0</v>
      </c>
      <c r="R192" s="182"/>
      <c r="S192" s="180" t="s">
        <v>182</v>
      </c>
      <c r="T192" s="180" t="s">
        <v>928</v>
      </c>
      <c r="U192" s="180" t="s">
        <v>1188</v>
      </c>
      <c r="V192" s="180" t="s">
        <v>928</v>
      </c>
      <c r="W192" s="180" t="s">
        <v>928</v>
      </c>
      <c r="X192" s="180" t="s">
        <v>110</v>
      </c>
      <c r="Y192" s="183">
        <v>4.1666666666666664E-2</v>
      </c>
      <c r="Z192" s="180" t="s">
        <v>183</v>
      </c>
      <c r="AA192" s="180" t="s">
        <v>1170</v>
      </c>
      <c r="AB192" s="182"/>
      <c r="AC192" s="212"/>
      <c r="AD192" s="180" t="s">
        <v>184</v>
      </c>
      <c r="AE192" s="180" t="s">
        <v>184</v>
      </c>
      <c r="AF192" s="180">
        <v>29</v>
      </c>
      <c r="AG192" s="180" t="s">
        <v>237</v>
      </c>
      <c r="AH192" s="180" t="s">
        <v>454</v>
      </c>
      <c r="AI192" s="180" t="s">
        <v>62</v>
      </c>
      <c r="AJ192" s="180" t="s">
        <v>237</v>
      </c>
      <c r="AK192" s="1" t="s">
        <v>1189</v>
      </c>
      <c r="AL192" s="182" t="s">
        <v>65</v>
      </c>
      <c r="AM192" s="182" t="s">
        <v>67</v>
      </c>
      <c r="AN192" s="182" t="s">
        <v>67</v>
      </c>
      <c r="AO192" s="182" t="s">
        <v>844</v>
      </c>
      <c r="AP192" s="182" t="s">
        <v>89</v>
      </c>
    </row>
    <row r="193" spans="1:42" s="278" customFormat="1" hidden="1" x14ac:dyDescent="0.2">
      <c r="A193" s="241">
        <v>2022</v>
      </c>
      <c r="B193" s="187" t="s">
        <v>1056</v>
      </c>
      <c r="C193" s="180" t="s">
        <v>44</v>
      </c>
      <c r="D193" s="180" t="s">
        <v>1190</v>
      </c>
      <c r="E193" s="180" t="s">
        <v>1191</v>
      </c>
      <c r="F193" s="180" t="s">
        <v>73</v>
      </c>
      <c r="G193" s="180" t="s">
        <v>1192</v>
      </c>
      <c r="H193" s="181">
        <v>43298</v>
      </c>
      <c r="I193" s="180">
        <f t="shared" si="13"/>
        <v>53</v>
      </c>
      <c r="J193" s="181">
        <v>44925</v>
      </c>
      <c r="K193" s="180" t="str">
        <f t="shared" si="14"/>
        <v>ANTIGUO</v>
      </c>
      <c r="L193" s="181">
        <v>44925</v>
      </c>
      <c r="M193" s="180"/>
      <c r="N193" s="181">
        <v>44951</v>
      </c>
      <c r="O193" s="180">
        <v>46</v>
      </c>
      <c r="P193" s="180" t="s">
        <v>141</v>
      </c>
      <c r="Q193" s="180" t="s">
        <v>107</v>
      </c>
      <c r="R193" s="182" t="s">
        <v>548</v>
      </c>
      <c r="S193" s="180" t="s">
        <v>93</v>
      </c>
      <c r="T193" s="180" t="s">
        <v>1193</v>
      </c>
      <c r="U193" s="180" t="s">
        <v>1188</v>
      </c>
      <c r="V193" s="180" t="s">
        <v>192</v>
      </c>
      <c r="W193" s="180" t="s">
        <v>1194</v>
      </c>
      <c r="X193" s="180" t="s">
        <v>78</v>
      </c>
      <c r="Y193" s="183">
        <v>0.39583333333333331</v>
      </c>
      <c r="Z193" s="180" t="s">
        <v>183</v>
      </c>
      <c r="AA193" s="180" t="s">
        <v>1170</v>
      </c>
      <c r="AB193" s="182"/>
      <c r="AC193" s="214" t="s">
        <v>1195</v>
      </c>
      <c r="AD193" s="180" t="s">
        <v>97</v>
      </c>
      <c r="AE193" s="180" t="s">
        <v>265</v>
      </c>
      <c r="AF193" s="180">
        <v>25</v>
      </c>
      <c r="AG193" s="180" t="s">
        <v>1119</v>
      </c>
      <c r="AH193" s="180" t="s">
        <v>61</v>
      </c>
      <c r="AI193" s="180" t="s">
        <v>100</v>
      </c>
      <c r="AJ193" s="180" t="s">
        <v>130</v>
      </c>
      <c r="AK193" s="184" t="s">
        <v>1196</v>
      </c>
      <c r="AL193" s="182" t="s">
        <v>65</v>
      </c>
      <c r="AM193" s="182" t="s">
        <v>66</v>
      </c>
      <c r="AN193" s="182" t="s">
        <v>66</v>
      </c>
      <c r="AO193" s="182" t="s">
        <v>844</v>
      </c>
      <c r="AP193" s="182" t="s">
        <v>89</v>
      </c>
    </row>
    <row r="194" spans="1:42" s="185" customFormat="1" hidden="1" x14ac:dyDescent="0.2">
      <c r="A194" s="180"/>
      <c r="B194" s="187"/>
      <c r="C194" s="180"/>
      <c r="D194" s="180" t="s">
        <v>449</v>
      </c>
      <c r="E194" s="180" t="s">
        <v>449</v>
      </c>
      <c r="F194" s="180" t="s">
        <v>449</v>
      </c>
      <c r="G194" s="180" t="s">
        <v>449</v>
      </c>
      <c r="H194" s="181" t="s">
        <v>449</v>
      </c>
      <c r="I194" s="180" t="e">
        <f t="shared" si="13"/>
        <v>#VALUE!</v>
      </c>
      <c r="J194" s="181" t="s">
        <v>449</v>
      </c>
      <c r="K194" s="180" t="e">
        <f t="shared" si="14"/>
        <v>#VALUE!</v>
      </c>
      <c r="L194" s="180"/>
      <c r="M194" s="180"/>
      <c r="N194" s="180"/>
      <c r="O194" s="180" t="s">
        <v>449</v>
      </c>
      <c r="P194" s="180" t="s">
        <v>449</v>
      </c>
      <c r="Q194" s="180"/>
      <c r="R194" s="182"/>
      <c r="S194" s="180"/>
      <c r="T194" s="180"/>
      <c r="U194" s="180"/>
      <c r="V194" s="180"/>
      <c r="W194" s="180"/>
      <c r="X194" s="180"/>
      <c r="Y194" s="183"/>
      <c r="Z194" s="180"/>
      <c r="AA194" s="180"/>
      <c r="AB194" s="182"/>
      <c r="AC194" s="212"/>
      <c r="AD194" s="180" t="s">
        <v>449</v>
      </c>
      <c r="AE194" s="180" t="s">
        <v>449</v>
      </c>
      <c r="AF194" s="180" t="s">
        <v>449</v>
      </c>
      <c r="AG194" s="180"/>
      <c r="AH194" s="180" t="s">
        <v>449</v>
      </c>
      <c r="AI194" s="180" t="s">
        <v>449</v>
      </c>
      <c r="AJ194" s="180" t="s">
        <v>449</v>
      </c>
      <c r="AK194" s="184" t="s">
        <v>449</v>
      </c>
      <c r="AL194" s="182" t="s">
        <v>449</v>
      </c>
      <c r="AM194" s="182" t="s">
        <v>449</v>
      </c>
      <c r="AN194" s="182" t="s">
        <v>449</v>
      </c>
      <c r="AO194" s="182"/>
      <c r="AP194" s="182"/>
    </row>
    <row r="195" spans="1:42" s="278" customFormat="1" hidden="1" x14ac:dyDescent="0.2">
      <c r="A195" s="180" t="s">
        <v>449</v>
      </c>
      <c r="B195" s="180" t="s">
        <v>449</v>
      </c>
      <c r="C195" s="180" t="s">
        <v>449</v>
      </c>
      <c r="D195" s="180" t="s">
        <v>449</v>
      </c>
      <c r="E195" s="180" t="s">
        <v>449</v>
      </c>
      <c r="F195" s="180" t="s">
        <v>449</v>
      </c>
      <c r="G195" s="180" t="s">
        <v>449</v>
      </c>
      <c r="H195" s="181" t="s">
        <v>449</v>
      </c>
      <c r="I195" s="180" t="e">
        <f t="shared" si="13"/>
        <v>#VALUE!</v>
      </c>
      <c r="J195" s="181" t="s">
        <v>449</v>
      </c>
      <c r="K195" s="180" t="e">
        <f t="shared" si="14"/>
        <v>#VALUE!</v>
      </c>
      <c r="L195" s="180"/>
      <c r="M195" s="180"/>
      <c r="N195" s="180"/>
      <c r="O195" s="180" t="s">
        <v>449</v>
      </c>
      <c r="P195" s="180" t="s">
        <v>449</v>
      </c>
      <c r="Q195" s="180"/>
      <c r="R195" s="182"/>
      <c r="S195" s="180"/>
      <c r="T195" s="180"/>
      <c r="U195" s="180"/>
      <c r="V195" s="180"/>
      <c r="W195" s="180"/>
      <c r="X195" s="180"/>
      <c r="Y195" s="183"/>
      <c r="Z195" s="180"/>
      <c r="AA195" s="180"/>
      <c r="AB195" s="182"/>
      <c r="AC195" s="212"/>
      <c r="AD195" s="180" t="s">
        <v>449</v>
      </c>
      <c r="AE195" s="180" t="s">
        <v>449</v>
      </c>
      <c r="AF195" s="180" t="s">
        <v>449</v>
      </c>
      <c r="AG195" s="180"/>
      <c r="AH195" s="180" t="s">
        <v>449</v>
      </c>
      <c r="AI195" s="180" t="s">
        <v>449</v>
      </c>
      <c r="AJ195" s="180" t="s">
        <v>449</v>
      </c>
      <c r="AK195" s="184" t="s">
        <v>449</v>
      </c>
      <c r="AL195" s="182" t="s">
        <v>449</v>
      </c>
      <c r="AM195" s="182" t="s">
        <v>449</v>
      </c>
      <c r="AN195" s="182" t="s">
        <v>449</v>
      </c>
      <c r="AO195" s="182"/>
      <c r="AP195" s="182"/>
    </row>
    <row r="196" spans="1:42" s="267" customFormat="1" hidden="1" x14ac:dyDescent="0.2">
      <c r="A196" s="180" t="s">
        <v>449</v>
      </c>
      <c r="B196" s="180" t="s">
        <v>449</v>
      </c>
      <c r="C196" s="180" t="s">
        <v>449</v>
      </c>
      <c r="D196" s="180" t="s">
        <v>449</v>
      </c>
      <c r="E196" s="180" t="s">
        <v>449</v>
      </c>
      <c r="F196" s="180" t="s">
        <v>449</v>
      </c>
      <c r="G196" s="180" t="s">
        <v>449</v>
      </c>
      <c r="H196" s="181" t="s">
        <v>449</v>
      </c>
      <c r="I196" s="180" t="e">
        <f t="shared" si="13"/>
        <v>#VALUE!</v>
      </c>
      <c r="J196" s="181" t="s">
        <v>449</v>
      </c>
      <c r="K196" s="180" t="e">
        <f t="shared" si="14"/>
        <v>#VALUE!</v>
      </c>
      <c r="L196" s="180"/>
      <c r="M196" s="180"/>
      <c r="N196" s="180"/>
      <c r="O196" s="180" t="s">
        <v>449</v>
      </c>
      <c r="P196" s="180" t="s">
        <v>449</v>
      </c>
      <c r="Q196" s="180"/>
      <c r="R196" s="182"/>
      <c r="S196" s="180"/>
      <c r="T196" s="180"/>
      <c r="U196" s="180"/>
      <c r="V196" s="180"/>
      <c r="W196" s="180"/>
      <c r="X196" s="180"/>
      <c r="Y196" s="183"/>
      <c r="Z196" s="180"/>
      <c r="AA196" s="180"/>
      <c r="AB196" s="182"/>
      <c r="AC196" s="212"/>
      <c r="AD196" s="180" t="s">
        <v>449</v>
      </c>
      <c r="AE196" s="180" t="s">
        <v>449</v>
      </c>
      <c r="AF196" s="180" t="s">
        <v>449</v>
      </c>
      <c r="AG196" s="180"/>
      <c r="AH196" s="180" t="s">
        <v>449</v>
      </c>
      <c r="AI196" s="180" t="s">
        <v>449</v>
      </c>
      <c r="AJ196" s="180" t="s">
        <v>449</v>
      </c>
      <c r="AK196" s="184" t="s">
        <v>449</v>
      </c>
      <c r="AL196" s="182" t="s">
        <v>449</v>
      </c>
      <c r="AM196" s="182" t="s">
        <v>449</v>
      </c>
      <c r="AN196" s="182" t="s">
        <v>449</v>
      </c>
      <c r="AO196" s="182"/>
      <c r="AP196" s="182"/>
    </row>
    <row r="197" spans="1:42" s="185" customFormat="1" hidden="1" x14ac:dyDescent="0.2">
      <c r="A197" s="180" t="s">
        <v>449</v>
      </c>
      <c r="B197" s="180" t="s">
        <v>449</v>
      </c>
      <c r="C197" s="180" t="s">
        <v>449</v>
      </c>
      <c r="D197" s="180" t="s">
        <v>449</v>
      </c>
      <c r="E197" s="180" t="s">
        <v>449</v>
      </c>
      <c r="F197" s="180" t="s">
        <v>449</v>
      </c>
      <c r="G197" s="180" t="s">
        <v>449</v>
      </c>
      <c r="H197" s="181" t="s">
        <v>449</v>
      </c>
      <c r="I197" s="180" t="e">
        <f t="shared" si="13"/>
        <v>#VALUE!</v>
      </c>
      <c r="J197" s="181" t="s">
        <v>449</v>
      </c>
      <c r="K197" s="180" t="e">
        <f t="shared" si="14"/>
        <v>#VALUE!</v>
      </c>
      <c r="L197" s="180"/>
      <c r="M197" s="180"/>
      <c r="N197" s="180"/>
      <c r="O197" s="180" t="s">
        <v>449</v>
      </c>
      <c r="P197" s="180" t="s">
        <v>449</v>
      </c>
      <c r="Q197" s="180"/>
      <c r="R197" s="182"/>
      <c r="S197" s="180"/>
      <c r="T197" s="180"/>
      <c r="U197" s="180"/>
      <c r="V197" s="180"/>
      <c r="W197" s="180"/>
      <c r="X197" s="180"/>
      <c r="Y197" s="183"/>
      <c r="Z197" s="180"/>
      <c r="AA197" s="180"/>
      <c r="AB197" s="182"/>
      <c r="AC197" s="212"/>
      <c r="AD197" s="180" t="s">
        <v>449</v>
      </c>
      <c r="AE197" s="180" t="s">
        <v>449</v>
      </c>
      <c r="AF197" s="180" t="s">
        <v>449</v>
      </c>
      <c r="AG197" s="180"/>
      <c r="AH197" s="180" t="s">
        <v>449</v>
      </c>
      <c r="AI197" s="180" t="s">
        <v>449</v>
      </c>
      <c r="AJ197" s="180" t="s">
        <v>449</v>
      </c>
      <c r="AK197" s="184" t="s">
        <v>449</v>
      </c>
      <c r="AL197" s="182" t="s">
        <v>449</v>
      </c>
      <c r="AM197" s="182" t="s">
        <v>449</v>
      </c>
      <c r="AN197" s="182" t="s">
        <v>449</v>
      </c>
      <c r="AO197" s="182"/>
      <c r="AP197" s="182"/>
    </row>
    <row r="198" spans="1:42" s="185" customFormat="1" hidden="1" x14ac:dyDescent="0.2">
      <c r="A198" s="180" t="s">
        <v>449</v>
      </c>
      <c r="B198" s="180" t="s">
        <v>449</v>
      </c>
      <c r="C198" s="180" t="s">
        <v>449</v>
      </c>
      <c r="D198" s="180" t="s">
        <v>449</v>
      </c>
      <c r="E198" s="180" t="s">
        <v>449</v>
      </c>
      <c r="F198" s="180" t="s">
        <v>449</v>
      </c>
      <c r="G198" s="180" t="s">
        <v>449</v>
      </c>
      <c r="H198" s="181" t="s">
        <v>449</v>
      </c>
      <c r="I198" s="180" t="e">
        <f t="shared" si="13"/>
        <v>#VALUE!</v>
      </c>
      <c r="J198" s="181" t="s">
        <v>449</v>
      </c>
      <c r="K198" s="180" t="e">
        <f t="shared" si="14"/>
        <v>#VALUE!</v>
      </c>
      <c r="L198" s="180"/>
      <c r="M198" s="180"/>
      <c r="N198" s="180"/>
      <c r="O198" s="180" t="s">
        <v>449</v>
      </c>
      <c r="P198" s="180" t="s">
        <v>449</v>
      </c>
      <c r="Q198" s="180"/>
      <c r="R198" s="182"/>
      <c r="S198" s="180"/>
      <c r="T198" s="180"/>
      <c r="U198" s="180"/>
      <c r="V198" s="180"/>
      <c r="W198" s="180"/>
      <c r="X198" s="180"/>
      <c r="Y198" s="183"/>
      <c r="Z198" s="180"/>
      <c r="AA198" s="180"/>
      <c r="AB198" s="182"/>
      <c r="AC198" s="212"/>
      <c r="AD198" s="180" t="s">
        <v>449</v>
      </c>
      <c r="AE198" s="180" t="s">
        <v>449</v>
      </c>
      <c r="AF198" s="180" t="s">
        <v>449</v>
      </c>
      <c r="AG198" s="180"/>
      <c r="AH198" s="180" t="s">
        <v>449</v>
      </c>
      <c r="AI198" s="180" t="s">
        <v>449</v>
      </c>
      <c r="AJ198" s="180" t="s">
        <v>449</v>
      </c>
      <c r="AK198" s="184" t="s">
        <v>449</v>
      </c>
      <c r="AL198" s="182" t="s">
        <v>449</v>
      </c>
      <c r="AM198" s="182" t="s">
        <v>449</v>
      </c>
      <c r="AN198" s="182" t="s">
        <v>449</v>
      </c>
      <c r="AO198" s="182"/>
      <c r="AP198" s="182"/>
    </row>
    <row r="199" spans="1:42" s="185" customFormat="1" hidden="1" x14ac:dyDescent="0.2">
      <c r="A199" s="180" t="s">
        <v>449</v>
      </c>
      <c r="B199" s="180" t="s">
        <v>449</v>
      </c>
      <c r="C199" s="180" t="s">
        <v>449</v>
      </c>
      <c r="D199" s="180" t="s">
        <v>449</v>
      </c>
      <c r="E199" s="180" t="s">
        <v>449</v>
      </c>
      <c r="F199" s="180" t="s">
        <v>449</v>
      </c>
      <c r="G199" s="180" t="s">
        <v>449</v>
      </c>
      <c r="H199" s="284" t="s">
        <v>449</v>
      </c>
      <c r="I199" s="180" t="e">
        <f t="shared" si="13"/>
        <v>#VALUE!</v>
      </c>
      <c r="J199" s="181" t="s">
        <v>449</v>
      </c>
      <c r="K199" s="180" t="e">
        <f t="shared" si="14"/>
        <v>#VALUE!</v>
      </c>
      <c r="L199" s="180"/>
      <c r="M199" s="180"/>
      <c r="N199" s="180"/>
      <c r="O199" s="180" t="s">
        <v>449</v>
      </c>
      <c r="P199" s="180" t="s">
        <v>449</v>
      </c>
      <c r="Q199" s="180"/>
      <c r="R199" s="182"/>
      <c r="S199" s="180"/>
      <c r="T199" s="180"/>
      <c r="U199" s="180"/>
      <c r="V199" s="180"/>
      <c r="W199" s="180"/>
      <c r="X199" s="180"/>
      <c r="Y199" s="183"/>
      <c r="Z199" s="180"/>
      <c r="AA199" s="180"/>
      <c r="AB199" s="182"/>
      <c r="AC199" s="212"/>
      <c r="AD199" s="180" t="s">
        <v>449</v>
      </c>
      <c r="AE199" s="180" t="s">
        <v>449</v>
      </c>
      <c r="AF199" s="180" t="s">
        <v>449</v>
      </c>
      <c r="AG199" s="180"/>
      <c r="AH199" s="180" t="s">
        <v>449</v>
      </c>
      <c r="AI199" s="180" t="s">
        <v>449</v>
      </c>
      <c r="AJ199" s="180" t="s">
        <v>449</v>
      </c>
      <c r="AK199" s="184" t="s">
        <v>449</v>
      </c>
      <c r="AL199" s="182" t="s">
        <v>449</v>
      </c>
      <c r="AM199" s="182" t="s">
        <v>449</v>
      </c>
      <c r="AN199" s="182" t="s">
        <v>449</v>
      </c>
      <c r="AO199" s="182"/>
      <c r="AP199" s="182"/>
    </row>
    <row r="200" spans="1:42" s="185" customFormat="1" hidden="1" x14ac:dyDescent="0.2">
      <c r="A200" s="180" t="s">
        <v>449</v>
      </c>
      <c r="B200" s="180" t="s">
        <v>449</v>
      </c>
      <c r="C200" s="180" t="s">
        <v>449</v>
      </c>
      <c r="D200" s="180" t="s">
        <v>449</v>
      </c>
      <c r="E200" s="180" t="s">
        <v>449</v>
      </c>
      <c r="F200" s="180" t="s">
        <v>449</v>
      </c>
      <c r="G200" s="180" t="s">
        <v>449</v>
      </c>
      <c r="H200" s="181" t="s">
        <v>449</v>
      </c>
      <c r="I200" s="180" t="e">
        <f t="shared" si="13"/>
        <v>#VALUE!</v>
      </c>
      <c r="J200" s="181" t="s">
        <v>449</v>
      </c>
      <c r="K200" s="180" t="e">
        <f t="shared" si="14"/>
        <v>#VALUE!</v>
      </c>
      <c r="L200" s="180"/>
      <c r="M200" s="180"/>
      <c r="N200" s="180"/>
      <c r="O200" s="180" t="s">
        <v>449</v>
      </c>
      <c r="P200" s="180" t="s">
        <v>449</v>
      </c>
      <c r="Q200" s="180"/>
      <c r="R200" s="182"/>
      <c r="S200" s="180"/>
      <c r="T200" s="180"/>
      <c r="U200" s="180"/>
      <c r="V200" s="180"/>
      <c r="W200" s="180"/>
      <c r="X200" s="180"/>
      <c r="Y200" s="183"/>
      <c r="Z200" s="180"/>
      <c r="AA200" s="180"/>
      <c r="AB200" s="182"/>
      <c r="AC200" s="212"/>
      <c r="AD200" s="180" t="s">
        <v>449</v>
      </c>
      <c r="AE200" s="180" t="s">
        <v>449</v>
      </c>
      <c r="AF200" s="180" t="s">
        <v>449</v>
      </c>
      <c r="AG200" s="180"/>
      <c r="AH200" s="180" t="s">
        <v>449</v>
      </c>
      <c r="AI200" s="180" t="s">
        <v>449</v>
      </c>
      <c r="AJ200" s="180" t="s">
        <v>449</v>
      </c>
      <c r="AK200" s="286" t="s">
        <v>449</v>
      </c>
      <c r="AL200" s="182" t="s">
        <v>449</v>
      </c>
      <c r="AM200" s="182" t="s">
        <v>449</v>
      </c>
      <c r="AN200" s="182" t="s">
        <v>449</v>
      </c>
      <c r="AO200" s="182"/>
      <c r="AP200" s="182"/>
    </row>
    <row r="201" spans="1:42" s="185" customFormat="1" hidden="1" x14ac:dyDescent="0.2">
      <c r="A201" s="180" t="s">
        <v>449</v>
      </c>
      <c r="B201" s="180" t="s">
        <v>449</v>
      </c>
      <c r="C201" s="180" t="s">
        <v>449</v>
      </c>
      <c r="D201" s="180" t="s">
        <v>449</v>
      </c>
      <c r="E201" s="180" t="s">
        <v>449</v>
      </c>
      <c r="F201" s="180" t="s">
        <v>449</v>
      </c>
      <c r="G201" s="180" t="s">
        <v>449</v>
      </c>
      <c r="H201" s="181" t="s">
        <v>449</v>
      </c>
      <c r="I201" s="180" t="e">
        <f t="shared" si="13"/>
        <v>#VALUE!</v>
      </c>
      <c r="J201" s="181" t="s">
        <v>449</v>
      </c>
      <c r="K201" s="180" t="e">
        <f t="shared" si="14"/>
        <v>#VALUE!</v>
      </c>
      <c r="L201" s="180"/>
      <c r="M201" s="180"/>
      <c r="N201" s="180"/>
      <c r="O201" s="180" t="s">
        <v>449</v>
      </c>
      <c r="P201" s="180" t="s">
        <v>449</v>
      </c>
      <c r="Q201" s="180"/>
      <c r="R201" s="182"/>
      <c r="S201" s="180"/>
      <c r="T201" s="180"/>
      <c r="U201" s="180"/>
      <c r="V201" s="180"/>
      <c r="W201" s="180"/>
      <c r="X201" s="180"/>
      <c r="Y201" s="183"/>
      <c r="Z201" s="180"/>
      <c r="AA201" s="180"/>
      <c r="AB201" s="182"/>
      <c r="AC201" s="212"/>
      <c r="AD201" s="180" t="s">
        <v>449</v>
      </c>
      <c r="AE201" s="180" t="s">
        <v>449</v>
      </c>
      <c r="AF201" s="180" t="s">
        <v>449</v>
      </c>
      <c r="AG201" s="180"/>
      <c r="AH201" s="180" t="s">
        <v>449</v>
      </c>
      <c r="AI201" s="180" t="s">
        <v>449</v>
      </c>
      <c r="AJ201" s="180" t="s">
        <v>449</v>
      </c>
      <c r="AK201" s="184" t="s">
        <v>449</v>
      </c>
      <c r="AL201" s="182" t="s">
        <v>449</v>
      </c>
      <c r="AM201" s="182" t="s">
        <v>449</v>
      </c>
      <c r="AN201" s="182" t="s">
        <v>449</v>
      </c>
      <c r="AO201" s="182"/>
      <c r="AP201" s="182"/>
    </row>
    <row r="202" spans="1:42" s="185" customFormat="1" hidden="1" x14ac:dyDescent="0.2">
      <c r="A202" s="180" t="s">
        <v>449</v>
      </c>
      <c r="B202" s="180" t="s">
        <v>449</v>
      </c>
      <c r="C202" s="180" t="s">
        <v>449</v>
      </c>
      <c r="D202" s="180" t="s">
        <v>449</v>
      </c>
      <c r="E202" s="180" t="s">
        <v>449</v>
      </c>
      <c r="F202" s="180" t="s">
        <v>449</v>
      </c>
      <c r="G202" s="180" t="s">
        <v>449</v>
      </c>
      <c r="H202" s="181" t="s">
        <v>449</v>
      </c>
      <c r="I202" s="180" t="e">
        <f t="shared" si="13"/>
        <v>#VALUE!</v>
      </c>
      <c r="J202" s="181" t="s">
        <v>449</v>
      </c>
      <c r="K202" s="180" t="e">
        <f t="shared" si="14"/>
        <v>#VALUE!</v>
      </c>
      <c r="L202" s="180"/>
      <c r="M202" s="180"/>
      <c r="N202" s="180"/>
      <c r="O202" s="180" t="s">
        <v>449</v>
      </c>
      <c r="P202" s="180" t="s">
        <v>449</v>
      </c>
      <c r="Q202" s="180"/>
      <c r="R202" s="182"/>
      <c r="S202" s="180"/>
      <c r="T202" s="180"/>
      <c r="U202" s="180"/>
      <c r="V202" s="180"/>
      <c r="W202" s="180"/>
      <c r="X202" s="180"/>
      <c r="Y202" s="183"/>
      <c r="Z202" s="180"/>
      <c r="AA202" s="180"/>
      <c r="AB202" s="182"/>
      <c r="AC202" s="212"/>
      <c r="AD202" s="180" t="s">
        <v>449</v>
      </c>
      <c r="AE202" s="180" t="s">
        <v>449</v>
      </c>
      <c r="AF202" s="180" t="s">
        <v>449</v>
      </c>
      <c r="AG202" s="180"/>
      <c r="AH202" s="180" t="s">
        <v>449</v>
      </c>
      <c r="AI202" s="180" t="s">
        <v>449</v>
      </c>
      <c r="AJ202" s="180" t="s">
        <v>449</v>
      </c>
      <c r="AK202" s="184" t="s">
        <v>449</v>
      </c>
      <c r="AL202" s="182" t="s">
        <v>449</v>
      </c>
      <c r="AM202" s="182" t="s">
        <v>449</v>
      </c>
      <c r="AN202" s="182" t="s">
        <v>449</v>
      </c>
      <c r="AO202" s="182"/>
      <c r="AP202" s="182"/>
    </row>
    <row r="203" spans="1:42" s="185" customFormat="1" hidden="1" x14ac:dyDescent="0.2">
      <c r="A203" s="180" t="s">
        <v>449</v>
      </c>
      <c r="B203" s="180" t="s">
        <v>449</v>
      </c>
      <c r="C203" s="180" t="s">
        <v>449</v>
      </c>
      <c r="D203" s="180" t="s">
        <v>449</v>
      </c>
      <c r="E203" s="180" t="s">
        <v>449</v>
      </c>
      <c r="F203" s="180" t="s">
        <v>449</v>
      </c>
      <c r="G203" s="180" t="s">
        <v>449</v>
      </c>
      <c r="H203" s="181" t="s">
        <v>449</v>
      </c>
      <c r="I203" s="180" t="e">
        <f t="shared" si="13"/>
        <v>#VALUE!</v>
      </c>
      <c r="J203" s="181" t="s">
        <v>449</v>
      </c>
      <c r="K203" s="180" t="e">
        <f t="shared" si="14"/>
        <v>#VALUE!</v>
      </c>
      <c r="L203" s="180"/>
      <c r="M203" s="180"/>
      <c r="N203" s="180"/>
      <c r="O203" s="180" t="s">
        <v>449</v>
      </c>
      <c r="P203" s="180" t="s">
        <v>449</v>
      </c>
      <c r="Q203" s="180"/>
      <c r="R203" s="182"/>
      <c r="S203" s="180"/>
      <c r="T203" s="180"/>
      <c r="U203" s="180"/>
      <c r="V203" s="180"/>
      <c r="W203" s="180"/>
      <c r="X203" s="180"/>
      <c r="Y203" s="183"/>
      <c r="Z203" s="180"/>
      <c r="AA203" s="180"/>
      <c r="AB203" s="182"/>
      <c r="AC203" s="212"/>
      <c r="AD203" s="180" t="s">
        <v>449</v>
      </c>
      <c r="AE203" s="180" t="s">
        <v>449</v>
      </c>
      <c r="AF203" s="180" t="s">
        <v>449</v>
      </c>
      <c r="AG203" s="180"/>
      <c r="AH203" s="180" t="s">
        <v>449</v>
      </c>
      <c r="AI203" s="180" t="s">
        <v>449</v>
      </c>
      <c r="AJ203" s="180" t="s">
        <v>449</v>
      </c>
      <c r="AK203" s="184" t="s">
        <v>449</v>
      </c>
      <c r="AL203" s="182" t="s">
        <v>449</v>
      </c>
      <c r="AM203" s="182" t="s">
        <v>449</v>
      </c>
      <c r="AN203" s="182" t="s">
        <v>449</v>
      </c>
      <c r="AO203" s="182"/>
      <c r="AP203" s="182"/>
    </row>
    <row r="204" spans="1:42" s="185" customFormat="1" hidden="1" x14ac:dyDescent="0.2">
      <c r="A204" s="180" t="s">
        <v>449</v>
      </c>
      <c r="B204" s="180" t="s">
        <v>449</v>
      </c>
      <c r="C204" s="180" t="s">
        <v>449</v>
      </c>
      <c r="D204" s="180" t="s">
        <v>449</v>
      </c>
      <c r="E204" s="180" t="s">
        <v>449</v>
      </c>
      <c r="F204" s="180" t="s">
        <v>449</v>
      </c>
      <c r="G204" s="180" t="s">
        <v>449</v>
      </c>
      <c r="H204" s="181" t="s">
        <v>449</v>
      </c>
      <c r="I204" s="180" t="e">
        <f t="shared" si="13"/>
        <v>#VALUE!</v>
      </c>
      <c r="J204" s="181" t="s">
        <v>449</v>
      </c>
      <c r="K204" s="180" t="e">
        <f t="shared" si="14"/>
        <v>#VALUE!</v>
      </c>
      <c r="L204" s="180"/>
      <c r="M204" s="180"/>
      <c r="N204" s="180"/>
      <c r="O204" s="180" t="s">
        <v>449</v>
      </c>
      <c r="P204" s="180" t="s">
        <v>449</v>
      </c>
      <c r="Q204" s="180"/>
      <c r="R204" s="182"/>
      <c r="S204" s="180"/>
      <c r="T204" s="180"/>
      <c r="U204" s="180"/>
      <c r="V204" s="180"/>
      <c r="W204" s="180"/>
      <c r="X204" s="180"/>
      <c r="Y204" s="183"/>
      <c r="Z204" s="180"/>
      <c r="AA204" s="180"/>
      <c r="AB204" s="182"/>
      <c r="AC204" s="212"/>
      <c r="AD204" s="180" t="s">
        <v>449</v>
      </c>
      <c r="AE204" s="180" t="s">
        <v>449</v>
      </c>
      <c r="AF204" s="180" t="s">
        <v>449</v>
      </c>
      <c r="AG204" s="180"/>
      <c r="AH204" s="180" t="s">
        <v>449</v>
      </c>
      <c r="AI204" s="180" t="s">
        <v>449</v>
      </c>
      <c r="AJ204" s="180" t="s">
        <v>449</v>
      </c>
      <c r="AK204" s="184" t="s">
        <v>449</v>
      </c>
      <c r="AL204" s="182" t="s">
        <v>449</v>
      </c>
      <c r="AM204" s="182" t="s">
        <v>449</v>
      </c>
      <c r="AN204" s="182" t="s">
        <v>449</v>
      </c>
      <c r="AO204" s="182"/>
      <c r="AP204" s="182"/>
    </row>
    <row r="205" spans="1:42" s="185" customFormat="1" hidden="1" x14ac:dyDescent="0.2">
      <c r="A205" s="180" t="s">
        <v>449</v>
      </c>
      <c r="B205" s="180" t="s">
        <v>449</v>
      </c>
      <c r="C205" s="180" t="s">
        <v>449</v>
      </c>
      <c r="D205" s="180" t="s">
        <v>449</v>
      </c>
      <c r="E205" s="180" t="s">
        <v>449</v>
      </c>
      <c r="F205" s="180" t="s">
        <v>449</v>
      </c>
      <c r="G205" s="180" t="s">
        <v>449</v>
      </c>
      <c r="H205" s="181" t="s">
        <v>449</v>
      </c>
      <c r="I205" s="180" t="e">
        <f t="shared" si="13"/>
        <v>#VALUE!</v>
      </c>
      <c r="J205" s="181" t="s">
        <v>449</v>
      </c>
      <c r="K205" s="180" t="e">
        <f t="shared" si="14"/>
        <v>#VALUE!</v>
      </c>
      <c r="L205" s="180"/>
      <c r="M205" s="180"/>
      <c r="N205" s="180"/>
      <c r="O205" s="180" t="s">
        <v>449</v>
      </c>
      <c r="P205" s="180" t="s">
        <v>449</v>
      </c>
      <c r="Q205" s="180"/>
      <c r="R205" s="182"/>
      <c r="S205" s="180"/>
      <c r="T205" s="180"/>
      <c r="U205" s="180"/>
      <c r="V205" s="180"/>
      <c r="W205" s="180"/>
      <c r="X205" s="180"/>
      <c r="Y205" s="183"/>
      <c r="Z205" s="180"/>
      <c r="AA205" s="180"/>
      <c r="AB205" s="182"/>
      <c r="AC205" s="212"/>
      <c r="AD205" s="180" t="s">
        <v>449</v>
      </c>
      <c r="AE205" s="180" t="s">
        <v>449</v>
      </c>
      <c r="AF205" s="180" t="s">
        <v>449</v>
      </c>
      <c r="AG205" s="180"/>
      <c r="AH205" s="180" t="s">
        <v>449</v>
      </c>
      <c r="AI205" s="180" t="s">
        <v>449</v>
      </c>
      <c r="AJ205" s="180" t="s">
        <v>449</v>
      </c>
      <c r="AK205" s="184" t="s">
        <v>449</v>
      </c>
      <c r="AL205" s="182" t="s">
        <v>449</v>
      </c>
      <c r="AM205" s="182" t="s">
        <v>449</v>
      </c>
      <c r="AN205" s="182" t="s">
        <v>449</v>
      </c>
      <c r="AO205" s="182"/>
      <c r="AP205" s="182"/>
    </row>
    <row r="206" spans="1:42" s="185" customFormat="1" hidden="1" x14ac:dyDescent="0.2">
      <c r="A206" s="180" t="s">
        <v>449</v>
      </c>
      <c r="B206" s="180" t="s">
        <v>449</v>
      </c>
      <c r="C206" s="180" t="s">
        <v>449</v>
      </c>
      <c r="D206" s="180" t="s">
        <v>449</v>
      </c>
      <c r="E206" s="180" t="s">
        <v>449</v>
      </c>
      <c r="F206" s="180" t="s">
        <v>449</v>
      </c>
      <c r="G206" s="180" t="s">
        <v>449</v>
      </c>
      <c r="H206" s="181" t="s">
        <v>449</v>
      </c>
      <c r="I206" s="180" t="e">
        <f t="shared" si="13"/>
        <v>#VALUE!</v>
      </c>
      <c r="J206" s="181" t="s">
        <v>449</v>
      </c>
      <c r="K206" s="180" t="e">
        <f t="shared" si="14"/>
        <v>#VALUE!</v>
      </c>
      <c r="L206" s="180"/>
      <c r="M206" s="180"/>
      <c r="N206" s="180"/>
      <c r="O206" s="180" t="s">
        <v>449</v>
      </c>
      <c r="P206" s="180" t="s">
        <v>449</v>
      </c>
      <c r="Q206" s="180"/>
      <c r="R206" s="182"/>
      <c r="S206" s="180"/>
      <c r="T206" s="180"/>
      <c r="U206" s="180"/>
      <c r="V206" s="180"/>
      <c r="W206" s="180"/>
      <c r="X206" s="180"/>
      <c r="Y206" s="183"/>
      <c r="Z206" s="180"/>
      <c r="AA206" s="180"/>
      <c r="AB206" s="182"/>
      <c r="AC206" s="212"/>
      <c r="AD206" s="180" t="s">
        <v>449</v>
      </c>
      <c r="AE206" s="180" t="s">
        <v>449</v>
      </c>
      <c r="AF206" s="180" t="s">
        <v>449</v>
      </c>
      <c r="AG206" s="180"/>
      <c r="AH206" s="180" t="s">
        <v>449</v>
      </c>
      <c r="AI206" s="180" t="s">
        <v>449</v>
      </c>
      <c r="AJ206" s="180" t="s">
        <v>449</v>
      </c>
      <c r="AK206" s="184" t="s">
        <v>449</v>
      </c>
      <c r="AL206" s="182" t="s">
        <v>449</v>
      </c>
      <c r="AM206" s="182" t="s">
        <v>449</v>
      </c>
      <c r="AN206" s="182" t="s">
        <v>449</v>
      </c>
      <c r="AO206" s="182"/>
      <c r="AP206" s="182"/>
    </row>
    <row r="207" spans="1:42" s="185" customFormat="1" hidden="1" x14ac:dyDescent="0.2">
      <c r="A207" s="180" t="s">
        <v>449</v>
      </c>
      <c r="B207" s="180" t="s">
        <v>449</v>
      </c>
      <c r="C207" s="180" t="s">
        <v>449</v>
      </c>
      <c r="D207" s="180" t="s">
        <v>449</v>
      </c>
      <c r="E207" s="180" t="s">
        <v>449</v>
      </c>
      <c r="F207" s="180" t="s">
        <v>449</v>
      </c>
      <c r="G207" s="180" t="s">
        <v>449</v>
      </c>
      <c r="H207" s="181" t="s">
        <v>449</v>
      </c>
      <c r="I207" s="180" t="e">
        <f t="shared" si="13"/>
        <v>#VALUE!</v>
      </c>
      <c r="J207" s="181" t="s">
        <v>449</v>
      </c>
      <c r="K207" s="180" t="e">
        <f t="shared" si="14"/>
        <v>#VALUE!</v>
      </c>
      <c r="L207" s="180"/>
      <c r="M207" s="180"/>
      <c r="N207" s="180"/>
      <c r="O207" s="180" t="s">
        <v>449</v>
      </c>
      <c r="P207" s="180" t="s">
        <v>449</v>
      </c>
      <c r="Q207" s="180"/>
      <c r="R207" s="182"/>
      <c r="S207" s="180"/>
      <c r="T207" s="180"/>
      <c r="U207" s="180"/>
      <c r="V207" s="180"/>
      <c r="W207" s="180"/>
      <c r="X207" s="180"/>
      <c r="Y207" s="183"/>
      <c r="Z207" s="180"/>
      <c r="AA207" s="180"/>
      <c r="AB207" s="182"/>
      <c r="AC207" s="212"/>
      <c r="AD207" s="180" t="s">
        <v>449</v>
      </c>
      <c r="AE207" s="180" t="s">
        <v>449</v>
      </c>
      <c r="AF207" s="180" t="s">
        <v>449</v>
      </c>
      <c r="AG207" s="180"/>
      <c r="AH207" s="180" t="s">
        <v>449</v>
      </c>
      <c r="AI207" s="180" t="s">
        <v>449</v>
      </c>
      <c r="AJ207" s="180" t="s">
        <v>449</v>
      </c>
      <c r="AK207" s="184" t="s">
        <v>449</v>
      </c>
      <c r="AL207" s="182" t="s">
        <v>449</v>
      </c>
      <c r="AM207" s="182" t="s">
        <v>449</v>
      </c>
      <c r="AN207" s="182" t="s">
        <v>449</v>
      </c>
      <c r="AO207" s="182"/>
      <c r="AP207" s="182"/>
    </row>
    <row r="208" spans="1:42" s="278" customFormat="1" hidden="1" x14ac:dyDescent="0.2">
      <c r="A208" s="180" t="s">
        <v>449</v>
      </c>
      <c r="B208" s="180" t="s">
        <v>449</v>
      </c>
      <c r="C208" s="180" t="s">
        <v>449</v>
      </c>
      <c r="D208" s="180" t="s">
        <v>449</v>
      </c>
      <c r="E208" s="180" t="s">
        <v>449</v>
      </c>
      <c r="F208" s="180" t="s">
        <v>449</v>
      </c>
      <c r="G208" s="180" t="s">
        <v>449</v>
      </c>
      <c r="H208" s="181" t="s">
        <v>449</v>
      </c>
      <c r="I208" s="180" t="e">
        <f t="shared" si="13"/>
        <v>#VALUE!</v>
      </c>
      <c r="J208" s="181" t="s">
        <v>449</v>
      </c>
      <c r="K208" s="180" t="e">
        <f t="shared" si="14"/>
        <v>#VALUE!</v>
      </c>
      <c r="L208" s="180"/>
      <c r="M208" s="180"/>
      <c r="N208" s="180"/>
      <c r="O208" s="180" t="s">
        <v>449</v>
      </c>
      <c r="P208" s="180" t="s">
        <v>449</v>
      </c>
      <c r="Q208" s="180"/>
      <c r="R208" s="182"/>
      <c r="S208" s="180"/>
      <c r="T208" s="180"/>
      <c r="U208" s="180"/>
      <c r="V208" s="180"/>
      <c r="W208" s="180"/>
      <c r="X208" s="180"/>
      <c r="Y208" s="183"/>
      <c r="Z208" s="180"/>
      <c r="AA208" s="180"/>
      <c r="AB208" s="182"/>
      <c r="AC208" s="212"/>
      <c r="AD208" s="180" t="s">
        <v>449</v>
      </c>
      <c r="AE208" s="180" t="s">
        <v>449</v>
      </c>
      <c r="AF208" s="180" t="s">
        <v>449</v>
      </c>
      <c r="AG208" s="180"/>
      <c r="AH208" s="180" t="s">
        <v>449</v>
      </c>
      <c r="AI208" s="180" t="s">
        <v>449</v>
      </c>
      <c r="AJ208" s="180" t="s">
        <v>449</v>
      </c>
      <c r="AK208" s="184" t="s">
        <v>449</v>
      </c>
      <c r="AL208" s="182" t="s">
        <v>449</v>
      </c>
      <c r="AM208" s="182" t="s">
        <v>449</v>
      </c>
      <c r="AN208" s="182" t="s">
        <v>449</v>
      </c>
      <c r="AO208" s="182"/>
      <c r="AP208" s="182"/>
    </row>
    <row r="209" spans="1:42" s="185" customFormat="1" hidden="1" x14ac:dyDescent="0.2">
      <c r="A209" s="180" t="s">
        <v>449</v>
      </c>
      <c r="B209" s="180" t="s">
        <v>449</v>
      </c>
      <c r="C209" s="180" t="s">
        <v>449</v>
      </c>
      <c r="D209" s="180" t="s">
        <v>449</v>
      </c>
      <c r="E209" s="180" t="s">
        <v>449</v>
      </c>
      <c r="F209" s="180" t="s">
        <v>449</v>
      </c>
      <c r="G209" s="180" t="s">
        <v>449</v>
      </c>
      <c r="H209" s="181" t="s">
        <v>449</v>
      </c>
      <c r="I209" s="180" t="e">
        <f t="shared" si="13"/>
        <v>#VALUE!</v>
      </c>
      <c r="J209" s="181" t="s">
        <v>449</v>
      </c>
      <c r="K209" s="180" t="e">
        <f t="shared" si="14"/>
        <v>#VALUE!</v>
      </c>
      <c r="L209" s="180"/>
      <c r="M209" s="180"/>
      <c r="N209" s="180"/>
      <c r="O209" s="180" t="s">
        <v>449</v>
      </c>
      <c r="P209" s="180" t="s">
        <v>449</v>
      </c>
      <c r="Q209" s="180"/>
      <c r="R209" s="182"/>
      <c r="S209" s="180"/>
      <c r="T209" s="180"/>
      <c r="U209" s="180"/>
      <c r="V209" s="180"/>
      <c r="W209" s="180"/>
      <c r="X209" s="180"/>
      <c r="Y209" s="183"/>
      <c r="Z209" s="180"/>
      <c r="AA209" s="180"/>
      <c r="AB209" s="182"/>
      <c r="AC209" s="212"/>
      <c r="AD209" s="180" t="s">
        <v>449</v>
      </c>
      <c r="AE209" s="180" t="s">
        <v>449</v>
      </c>
      <c r="AF209" s="180" t="s">
        <v>449</v>
      </c>
      <c r="AG209" s="180"/>
      <c r="AH209" s="180" t="s">
        <v>449</v>
      </c>
      <c r="AI209" s="180" t="s">
        <v>449</v>
      </c>
      <c r="AJ209" s="180" t="s">
        <v>449</v>
      </c>
      <c r="AK209" s="184" t="s">
        <v>449</v>
      </c>
      <c r="AL209" s="182" t="s">
        <v>449</v>
      </c>
      <c r="AM209" s="182" t="s">
        <v>449</v>
      </c>
      <c r="AN209" s="182" t="s">
        <v>449</v>
      </c>
      <c r="AO209" s="182"/>
      <c r="AP209" s="182"/>
    </row>
    <row r="210" spans="1:42" s="278" customFormat="1" hidden="1" x14ac:dyDescent="0.2">
      <c r="A210" s="180" t="s">
        <v>449</v>
      </c>
      <c r="B210" s="180" t="s">
        <v>449</v>
      </c>
      <c r="C210" s="180" t="s">
        <v>449</v>
      </c>
      <c r="D210" s="180" t="s">
        <v>449</v>
      </c>
      <c r="E210" s="180" t="s">
        <v>449</v>
      </c>
      <c r="F210" s="180" t="s">
        <v>449</v>
      </c>
      <c r="G210" s="180" t="s">
        <v>449</v>
      </c>
      <c r="H210" s="181" t="s">
        <v>449</v>
      </c>
      <c r="I210" s="180" t="e">
        <f t="shared" si="13"/>
        <v>#VALUE!</v>
      </c>
      <c r="J210" s="181" t="s">
        <v>449</v>
      </c>
      <c r="K210" s="180" t="e">
        <f t="shared" si="14"/>
        <v>#VALUE!</v>
      </c>
      <c r="L210" s="180"/>
      <c r="M210" s="180"/>
      <c r="N210" s="180"/>
      <c r="O210" s="180" t="s">
        <v>449</v>
      </c>
      <c r="P210" s="180" t="s">
        <v>449</v>
      </c>
      <c r="Q210" s="180"/>
      <c r="R210" s="182"/>
      <c r="S210" s="180"/>
      <c r="T210" s="180"/>
      <c r="U210" s="180"/>
      <c r="V210" s="180"/>
      <c r="W210" s="180"/>
      <c r="X210" s="180"/>
      <c r="Y210" s="183"/>
      <c r="Z210" s="180"/>
      <c r="AA210" s="180"/>
      <c r="AB210" s="182"/>
      <c r="AC210" s="212"/>
      <c r="AD210" s="180" t="s">
        <v>449</v>
      </c>
      <c r="AE210" s="180" t="s">
        <v>449</v>
      </c>
      <c r="AF210" s="180" t="s">
        <v>449</v>
      </c>
      <c r="AG210" s="180"/>
      <c r="AH210" s="180" t="s">
        <v>449</v>
      </c>
      <c r="AI210" s="180" t="s">
        <v>449</v>
      </c>
      <c r="AJ210" s="180" t="s">
        <v>449</v>
      </c>
      <c r="AK210" s="184" t="s">
        <v>449</v>
      </c>
      <c r="AL210" s="182" t="s">
        <v>449</v>
      </c>
      <c r="AM210" s="182" t="s">
        <v>449</v>
      </c>
      <c r="AN210" s="182" t="s">
        <v>449</v>
      </c>
      <c r="AO210" s="182"/>
      <c r="AP210" s="182"/>
    </row>
    <row r="211" spans="1:42" s="185" customFormat="1" hidden="1" x14ac:dyDescent="0.2">
      <c r="A211" s="180" t="s">
        <v>449</v>
      </c>
      <c r="B211" s="180" t="s">
        <v>449</v>
      </c>
      <c r="C211" s="180" t="s">
        <v>449</v>
      </c>
      <c r="D211" s="180" t="s">
        <v>449</v>
      </c>
      <c r="E211" s="180" t="s">
        <v>449</v>
      </c>
      <c r="F211" s="180" t="s">
        <v>449</v>
      </c>
      <c r="G211" s="180" t="s">
        <v>449</v>
      </c>
      <c r="H211" s="181" t="s">
        <v>449</v>
      </c>
      <c r="I211" s="180" t="e">
        <f t="shared" si="13"/>
        <v>#VALUE!</v>
      </c>
      <c r="J211" s="181" t="s">
        <v>449</v>
      </c>
      <c r="K211" s="180" t="e">
        <f t="shared" si="14"/>
        <v>#VALUE!</v>
      </c>
      <c r="L211" s="180"/>
      <c r="M211" s="180"/>
      <c r="N211" s="180"/>
      <c r="O211" s="180" t="s">
        <v>449</v>
      </c>
      <c r="P211" s="180" t="s">
        <v>449</v>
      </c>
      <c r="Q211" s="180"/>
      <c r="R211" s="182"/>
      <c r="S211" s="180"/>
      <c r="T211" s="180"/>
      <c r="U211" s="180"/>
      <c r="V211" s="180"/>
      <c r="W211" s="180"/>
      <c r="X211" s="180"/>
      <c r="Y211" s="183"/>
      <c r="Z211" s="180"/>
      <c r="AA211" s="180"/>
      <c r="AB211" s="182"/>
      <c r="AC211" s="212"/>
      <c r="AD211" s="180" t="s">
        <v>449</v>
      </c>
      <c r="AE211" s="180" t="s">
        <v>449</v>
      </c>
      <c r="AF211" s="180" t="s">
        <v>449</v>
      </c>
      <c r="AG211" s="180"/>
      <c r="AH211" s="180" t="s">
        <v>449</v>
      </c>
      <c r="AI211" s="180" t="s">
        <v>449</v>
      </c>
      <c r="AJ211" s="180" t="s">
        <v>449</v>
      </c>
      <c r="AK211" s="184" t="s">
        <v>449</v>
      </c>
      <c r="AL211" s="182" t="s">
        <v>449</v>
      </c>
      <c r="AM211" s="182" t="s">
        <v>449</v>
      </c>
      <c r="AN211" s="182" t="s">
        <v>449</v>
      </c>
      <c r="AO211" s="182"/>
      <c r="AP211" s="182"/>
    </row>
    <row r="212" spans="1:42" s="185" customFormat="1" hidden="1" x14ac:dyDescent="0.2">
      <c r="A212" s="180" t="s">
        <v>449</v>
      </c>
      <c r="B212" s="180" t="s">
        <v>449</v>
      </c>
      <c r="C212" s="180" t="s">
        <v>449</v>
      </c>
      <c r="D212" s="180" t="s">
        <v>449</v>
      </c>
      <c r="E212" s="180" t="s">
        <v>449</v>
      </c>
      <c r="F212" s="180" t="s">
        <v>449</v>
      </c>
      <c r="G212" s="180" t="s">
        <v>449</v>
      </c>
      <c r="H212" s="181" t="s">
        <v>449</v>
      </c>
      <c r="I212" s="180" t="e">
        <f t="shared" si="13"/>
        <v>#VALUE!</v>
      </c>
      <c r="J212" s="181" t="s">
        <v>449</v>
      </c>
      <c r="K212" s="180" t="e">
        <f t="shared" si="14"/>
        <v>#VALUE!</v>
      </c>
      <c r="L212" s="180"/>
      <c r="M212" s="180"/>
      <c r="N212" s="180"/>
      <c r="O212" s="180" t="s">
        <v>449</v>
      </c>
      <c r="P212" s="180" t="s">
        <v>449</v>
      </c>
      <c r="Q212" s="180"/>
      <c r="R212" s="182"/>
      <c r="S212" s="180"/>
      <c r="T212" s="180"/>
      <c r="U212" s="180"/>
      <c r="V212" s="180"/>
      <c r="W212" s="180"/>
      <c r="X212" s="180"/>
      <c r="Y212" s="183"/>
      <c r="Z212" s="180"/>
      <c r="AA212" s="180"/>
      <c r="AB212" s="182"/>
      <c r="AC212" s="212"/>
      <c r="AD212" s="180" t="s">
        <v>449</v>
      </c>
      <c r="AE212" s="180" t="s">
        <v>449</v>
      </c>
      <c r="AF212" s="180" t="s">
        <v>449</v>
      </c>
      <c r="AG212" s="180"/>
      <c r="AH212" s="180" t="s">
        <v>449</v>
      </c>
      <c r="AI212" s="180" t="s">
        <v>449</v>
      </c>
      <c r="AJ212" s="180" t="s">
        <v>449</v>
      </c>
      <c r="AK212" s="184" t="s">
        <v>449</v>
      </c>
      <c r="AL212" s="182" t="s">
        <v>449</v>
      </c>
      <c r="AM212" s="182" t="s">
        <v>449</v>
      </c>
      <c r="AN212" s="182" t="s">
        <v>449</v>
      </c>
      <c r="AO212" s="182"/>
      <c r="AP212" s="182"/>
    </row>
    <row r="213" spans="1:42" s="185" customFormat="1" hidden="1" x14ac:dyDescent="0.2">
      <c r="A213" s="180" t="s">
        <v>449</v>
      </c>
      <c r="B213" s="180" t="s">
        <v>449</v>
      </c>
      <c r="C213" s="180" t="s">
        <v>449</v>
      </c>
      <c r="D213" s="180" t="s">
        <v>449</v>
      </c>
      <c r="E213" s="180" t="s">
        <v>449</v>
      </c>
      <c r="F213" s="180" t="s">
        <v>449</v>
      </c>
      <c r="G213" s="180" t="s">
        <v>449</v>
      </c>
      <c r="H213" s="181" t="s">
        <v>449</v>
      </c>
      <c r="I213" s="180" t="e">
        <f t="shared" si="13"/>
        <v>#VALUE!</v>
      </c>
      <c r="J213" s="181" t="s">
        <v>449</v>
      </c>
      <c r="K213" s="180" t="e">
        <f t="shared" si="14"/>
        <v>#VALUE!</v>
      </c>
      <c r="L213" s="180"/>
      <c r="M213" s="180"/>
      <c r="N213" s="180"/>
      <c r="O213" s="180" t="s">
        <v>449</v>
      </c>
      <c r="P213" s="180" t="s">
        <v>449</v>
      </c>
      <c r="Q213" s="180"/>
      <c r="R213" s="182"/>
      <c r="S213" s="180"/>
      <c r="T213" s="180"/>
      <c r="U213" s="180"/>
      <c r="V213" s="180"/>
      <c r="W213" s="180"/>
      <c r="X213" s="180"/>
      <c r="Y213" s="183"/>
      <c r="Z213" s="180"/>
      <c r="AA213" s="180"/>
      <c r="AB213" s="182"/>
      <c r="AC213" s="212"/>
      <c r="AD213" s="180" t="s">
        <v>449</v>
      </c>
      <c r="AE213" s="180" t="s">
        <v>449</v>
      </c>
      <c r="AF213" s="180" t="s">
        <v>449</v>
      </c>
      <c r="AG213" s="180"/>
      <c r="AH213" s="180" t="s">
        <v>449</v>
      </c>
      <c r="AI213" s="180" t="s">
        <v>449</v>
      </c>
      <c r="AJ213" s="180" t="s">
        <v>449</v>
      </c>
      <c r="AK213" s="184" t="s">
        <v>449</v>
      </c>
      <c r="AL213" s="182" t="s">
        <v>449</v>
      </c>
      <c r="AM213" s="182" t="s">
        <v>449</v>
      </c>
      <c r="AN213" s="182" t="s">
        <v>449</v>
      </c>
      <c r="AO213" s="182"/>
      <c r="AP213" s="182"/>
    </row>
    <row r="214" spans="1:42" s="185" customFormat="1" hidden="1" x14ac:dyDescent="0.2">
      <c r="A214" s="180" t="s">
        <v>449</v>
      </c>
      <c r="B214" s="180" t="s">
        <v>449</v>
      </c>
      <c r="C214" s="180" t="s">
        <v>449</v>
      </c>
      <c r="D214" s="180" t="s">
        <v>449</v>
      </c>
      <c r="E214" s="180" t="s">
        <v>449</v>
      </c>
      <c r="F214" s="180" t="s">
        <v>449</v>
      </c>
      <c r="G214" s="180" t="s">
        <v>449</v>
      </c>
      <c r="H214" s="181" t="s">
        <v>449</v>
      </c>
      <c r="I214" s="180" t="e">
        <f t="shared" si="13"/>
        <v>#VALUE!</v>
      </c>
      <c r="J214" s="181" t="s">
        <v>449</v>
      </c>
      <c r="K214" s="180" t="e">
        <f t="shared" si="14"/>
        <v>#VALUE!</v>
      </c>
      <c r="L214" s="180"/>
      <c r="M214" s="180"/>
      <c r="N214" s="180"/>
      <c r="O214" s="180" t="s">
        <v>449</v>
      </c>
      <c r="P214" s="180" t="s">
        <v>449</v>
      </c>
      <c r="Q214" s="180"/>
      <c r="R214" s="182"/>
      <c r="S214" s="180"/>
      <c r="T214" s="180"/>
      <c r="U214" s="180"/>
      <c r="V214" s="180"/>
      <c r="W214" s="180"/>
      <c r="X214" s="180"/>
      <c r="Y214" s="183"/>
      <c r="Z214" s="180"/>
      <c r="AA214" s="180"/>
      <c r="AB214" s="182"/>
      <c r="AC214" s="212"/>
      <c r="AD214" s="180" t="s">
        <v>449</v>
      </c>
      <c r="AE214" s="180" t="s">
        <v>449</v>
      </c>
      <c r="AF214" s="180" t="s">
        <v>449</v>
      </c>
      <c r="AG214" s="180"/>
      <c r="AH214" s="180" t="s">
        <v>449</v>
      </c>
      <c r="AI214" s="180" t="s">
        <v>449</v>
      </c>
      <c r="AJ214" s="180" t="s">
        <v>449</v>
      </c>
      <c r="AK214" s="184" t="s">
        <v>449</v>
      </c>
      <c r="AL214" s="182" t="s">
        <v>449</v>
      </c>
      <c r="AM214" s="182" t="s">
        <v>449</v>
      </c>
      <c r="AN214" s="182" t="s">
        <v>449</v>
      </c>
      <c r="AO214" s="182"/>
      <c r="AP214" s="182"/>
    </row>
    <row r="215" spans="1:42" s="185" customFormat="1" hidden="1" x14ac:dyDescent="0.2">
      <c r="A215" s="180" t="s">
        <v>449</v>
      </c>
      <c r="B215" s="180" t="s">
        <v>449</v>
      </c>
      <c r="C215" s="180" t="s">
        <v>449</v>
      </c>
      <c r="D215" s="180" t="s">
        <v>449</v>
      </c>
      <c r="E215" s="180" t="s">
        <v>449</v>
      </c>
      <c r="F215" s="180" t="s">
        <v>449</v>
      </c>
      <c r="G215" s="180" t="s">
        <v>449</v>
      </c>
      <c r="H215" s="181" t="s">
        <v>449</v>
      </c>
      <c r="I215" s="180" t="e">
        <f t="shared" si="13"/>
        <v>#VALUE!</v>
      </c>
      <c r="J215" s="181" t="s">
        <v>449</v>
      </c>
      <c r="K215" s="180" t="e">
        <f t="shared" si="14"/>
        <v>#VALUE!</v>
      </c>
      <c r="L215" s="180"/>
      <c r="M215" s="180"/>
      <c r="N215" s="180"/>
      <c r="O215" s="180" t="s">
        <v>449</v>
      </c>
      <c r="P215" s="180" t="s">
        <v>449</v>
      </c>
      <c r="Q215" s="180"/>
      <c r="R215" s="182"/>
      <c r="S215" s="180"/>
      <c r="T215" s="180"/>
      <c r="U215" s="180"/>
      <c r="V215" s="180"/>
      <c r="W215" s="180"/>
      <c r="X215" s="180"/>
      <c r="Y215" s="183"/>
      <c r="Z215" s="180"/>
      <c r="AA215" s="180"/>
      <c r="AB215" s="182"/>
      <c r="AC215" s="212"/>
      <c r="AD215" s="180" t="s">
        <v>449</v>
      </c>
      <c r="AE215" s="180" t="s">
        <v>449</v>
      </c>
      <c r="AF215" s="180" t="s">
        <v>449</v>
      </c>
      <c r="AG215" s="180"/>
      <c r="AH215" s="180" t="s">
        <v>449</v>
      </c>
      <c r="AI215" s="180" t="s">
        <v>449</v>
      </c>
      <c r="AJ215" s="180" t="s">
        <v>449</v>
      </c>
      <c r="AK215" s="184" t="s">
        <v>449</v>
      </c>
      <c r="AL215" s="182" t="s">
        <v>449</v>
      </c>
      <c r="AM215" s="182" t="s">
        <v>449</v>
      </c>
      <c r="AN215" s="182" t="s">
        <v>449</v>
      </c>
      <c r="AO215" s="182"/>
      <c r="AP215" s="182"/>
    </row>
    <row r="216" spans="1:42" s="185" customFormat="1" hidden="1" x14ac:dyDescent="0.2">
      <c r="A216" s="180" t="s">
        <v>449</v>
      </c>
      <c r="B216" s="180" t="s">
        <v>449</v>
      </c>
      <c r="C216" s="180" t="s">
        <v>449</v>
      </c>
      <c r="D216" s="180" t="s">
        <v>449</v>
      </c>
      <c r="E216" s="180" t="s">
        <v>449</v>
      </c>
      <c r="F216" s="180" t="s">
        <v>449</v>
      </c>
      <c r="G216" s="180" t="s">
        <v>449</v>
      </c>
      <c r="H216" s="181" t="s">
        <v>449</v>
      </c>
      <c r="I216" s="180" t="e">
        <f t="shared" si="13"/>
        <v>#VALUE!</v>
      </c>
      <c r="J216" s="181" t="s">
        <v>449</v>
      </c>
      <c r="K216" s="180" t="e">
        <f t="shared" si="14"/>
        <v>#VALUE!</v>
      </c>
      <c r="L216" s="180"/>
      <c r="M216" s="180"/>
      <c r="N216" s="180"/>
      <c r="O216" s="180" t="s">
        <v>449</v>
      </c>
      <c r="P216" s="180" t="s">
        <v>449</v>
      </c>
      <c r="Q216" s="180"/>
      <c r="R216" s="182"/>
      <c r="S216" s="180"/>
      <c r="T216" s="180"/>
      <c r="U216" s="180"/>
      <c r="V216" s="180"/>
      <c r="W216" s="180"/>
      <c r="X216" s="180"/>
      <c r="Y216" s="183"/>
      <c r="Z216" s="180"/>
      <c r="AA216" s="180"/>
      <c r="AB216" s="182"/>
      <c r="AC216" s="212"/>
      <c r="AD216" s="180" t="s">
        <v>449</v>
      </c>
      <c r="AE216" s="180" t="s">
        <v>449</v>
      </c>
      <c r="AF216" s="180" t="s">
        <v>449</v>
      </c>
      <c r="AG216" s="180"/>
      <c r="AH216" s="180" t="s">
        <v>449</v>
      </c>
      <c r="AI216" s="180" t="s">
        <v>449</v>
      </c>
      <c r="AJ216" s="180" t="s">
        <v>449</v>
      </c>
      <c r="AK216" s="184" t="s">
        <v>449</v>
      </c>
      <c r="AL216" s="182" t="s">
        <v>449</v>
      </c>
      <c r="AM216" s="182" t="s">
        <v>449</v>
      </c>
      <c r="AN216" s="182" t="s">
        <v>449</v>
      </c>
      <c r="AO216" s="182"/>
      <c r="AP216" s="182"/>
    </row>
    <row r="217" spans="1:42" s="185" customFormat="1" hidden="1" x14ac:dyDescent="0.2">
      <c r="A217" s="180" t="s">
        <v>449</v>
      </c>
      <c r="B217" s="180" t="s">
        <v>449</v>
      </c>
      <c r="C217" s="180" t="s">
        <v>449</v>
      </c>
      <c r="D217" s="180" t="s">
        <v>449</v>
      </c>
      <c r="E217" s="180" t="s">
        <v>449</v>
      </c>
      <c r="F217" s="180" t="s">
        <v>449</v>
      </c>
      <c r="G217" s="180" t="s">
        <v>449</v>
      </c>
      <c r="H217" s="181" t="s">
        <v>449</v>
      </c>
      <c r="I217" s="180" t="e">
        <f t="shared" si="13"/>
        <v>#VALUE!</v>
      </c>
      <c r="J217" s="181" t="s">
        <v>449</v>
      </c>
      <c r="K217" s="180" t="e">
        <f t="shared" si="14"/>
        <v>#VALUE!</v>
      </c>
      <c r="L217" s="180"/>
      <c r="M217" s="180"/>
      <c r="N217" s="180"/>
      <c r="O217" s="180" t="s">
        <v>449</v>
      </c>
      <c r="P217" s="180" t="s">
        <v>449</v>
      </c>
      <c r="Q217" s="180"/>
      <c r="R217" s="182"/>
      <c r="S217" s="180"/>
      <c r="T217" s="180"/>
      <c r="U217" s="180"/>
      <c r="V217" s="180"/>
      <c r="W217" s="180"/>
      <c r="X217" s="180"/>
      <c r="Y217" s="183"/>
      <c r="Z217" s="180"/>
      <c r="AA217" s="180"/>
      <c r="AB217" s="182"/>
      <c r="AC217" s="212"/>
      <c r="AD217" s="180" t="s">
        <v>449</v>
      </c>
      <c r="AE217" s="180" t="s">
        <v>449</v>
      </c>
      <c r="AF217" s="180" t="s">
        <v>449</v>
      </c>
      <c r="AG217" s="180"/>
      <c r="AH217" s="180" t="s">
        <v>449</v>
      </c>
      <c r="AI217" s="180" t="s">
        <v>449</v>
      </c>
      <c r="AJ217" s="180" t="s">
        <v>449</v>
      </c>
      <c r="AK217" s="184" t="s">
        <v>449</v>
      </c>
      <c r="AL217" s="182" t="s">
        <v>449</v>
      </c>
      <c r="AM217" s="182" t="s">
        <v>449</v>
      </c>
      <c r="AN217" s="182" t="s">
        <v>449</v>
      </c>
      <c r="AO217" s="182"/>
      <c r="AP217" s="182"/>
    </row>
    <row r="218" spans="1:42" s="185" customFormat="1" hidden="1" x14ac:dyDescent="0.2">
      <c r="A218" s="180" t="s">
        <v>449</v>
      </c>
      <c r="B218" s="180" t="s">
        <v>449</v>
      </c>
      <c r="C218" s="180" t="s">
        <v>449</v>
      </c>
      <c r="D218" s="180" t="s">
        <v>449</v>
      </c>
      <c r="E218" s="180" t="s">
        <v>449</v>
      </c>
      <c r="F218" s="180" t="s">
        <v>449</v>
      </c>
      <c r="G218" s="180" t="s">
        <v>449</v>
      </c>
      <c r="H218" s="181" t="s">
        <v>449</v>
      </c>
      <c r="I218" s="180" t="e">
        <f t="shared" si="13"/>
        <v>#VALUE!</v>
      </c>
      <c r="J218" s="181" t="s">
        <v>449</v>
      </c>
      <c r="K218" s="180" t="e">
        <f t="shared" si="14"/>
        <v>#VALUE!</v>
      </c>
      <c r="L218" s="180"/>
      <c r="M218" s="180"/>
      <c r="N218" s="180"/>
      <c r="O218" s="180" t="s">
        <v>449</v>
      </c>
      <c r="P218" s="180" t="s">
        <v>449</v>
      </c>
      <c r="Q218" s="180"/>
      <c r="R218" s="182"/>
      <c r="S218" s="180"/>
      <c r="T218" s="180"/>
      <c r="U218" s="180"/>
      <c r="V218" s="180"/>
      <c r="W218" s="180"/>
      <c r="X218" s="180"/>
      <c r="Y218" s="183"/>
      <c r="Z218" s="180"/>
      <c r="AA218" s="180"/>
      <c r="AB218" s="182"/>
      <c r="AC218" s="212"/>
      <c r="AD218" s="180" t="s">
        <v>449</v>
      </c>
      <c r="AE218" s="180" t="s">
        <v>449</v>
      </c>
      <c r="AF218" s="180" t="s">
        <v>449</v>
      </c>
      <c r="AG218" s="180"/>
      <c r="AH218" s="180" t="s">
        <v>449</v>
      </c>
      <c r="AI218" s="180" t="s">
        <v>449</v>
      </c>
      <c r="AJ218" s="180" t="s">
        <v>449</v>
      </c>
      <c r="AK218" s="184" t="s">
        <v>449</v>
      </c>
      <c r="AL218" s="182" t="s">
        <v>449</v>
      </c>
      <c r="AM218" s="182" t="s">
        <v>449</v>
      </c>
      <c r="AN218" s="182" t="s">
        <v>449</v>
      </c>
      <c r="AO218" s="182"/>
      <c r="AP218" s="182"/>
    </row>
    <row r="219" spans="1:42" s="185" customFormat="1" hidden="1" x14ac:dyDescent="0.2">
      <c r="A219" s="180" t="s">
        <v>449</v>
      </c>
      <c r="B219" s="180" t="s">
        <v>449</v>
      </c>
      <c r="C219" s="180" t="s">
        <v>449</v>
      </c>
      <c r="D219" s="180" t="s">
        <v>449</v>
      </c>
      <c r="E219" s="180" t="s">
        <v>449</v>
      </c>
      <c r="F219" s="180" t="s">
        <v>449</v>
      </c>
      <c r="G219" s="180" t="s">
        <v>449</v>
      </c>
      <c r="H219" s="181" t="s">
        <v>449</v>
      </c>
      <c r="I219" s="180" t="e">
        <f t="shared" ref="I219:I250" si="15">DATEDIF(H219,J219,"m")</f>
        <v>#VALUE!</v>
      </c>
      <c r="J219" s="181" t="s">
        <v>449</v>
      </c>
      <c r="K219" s="180" t="e">
        <f t="shared" ref="K219:K250" si="16">IF(I219&lt;=18,"NUEVO",IF(I219&lt;=36,"INTERMEDIO","ANTIGUO"))</f>
        <v>#VALUE!</v>
      </c>
      <c r="L219" s="180"/>
      <c r="M219" s="180"/>
      <c r="N219" s="180"/>
      <c r="O219" s="180" t="s">
        <v>449</v>
      </c>
      <c r="P219" s="180" t="s">
        <v>449</v>
      </c>
      <c r="Q219" s="180"/>
      <c r="R219" s="182"/>
      <c r="S219" s="180"/>
      <c r="T219" s="180"/>
      <c r="U219" s="180"/>
      <c r="V219" s="180"/>
      <c r="W219" s="180"/>
      <c r="X219" s="180"/>
      <c r="Y219" s="183"/>
      <c r="Z219" s="180"/>
      <c r="AA219" s="180"/>
      <c r="AB219" s="182"/>
      <c r="AC219" s="212"/>
      <c r="AD219" s="180" t="s">
        <v>449</v>
      </c>
      <c r="AE219" s="180" t="s">
        <v>449</v>
      </c>
      <c r="AF219" s="180" t="s">
        <v>449</v>
      </c>
      <c r="AG219" s="180"/>
      <c r="AH219" s="180" t="s">
        <v>449</v>
      </c>
      <c r="AI219" s="180" t="s">
        <v>449</v>
      </c>
      <c r="AJ219" s="180" t="s">
        <v>449</v>
      </c>
      <c r="AK219" s="184" t="s">
        <v>449</v>
      </c>
      <c r="AL219" s="182" t="s">
        <v>449</v>
      </c>
      <c r="AM219" s="182" t="s">
        <v>449</v>
      </c>
      <c r="AN219" s="182" t="s">
        <v>449</v>
      </c>
      <c r="AO219" s="182"/>
      <c r="AP219" s="182"/>
    </row>
    <row r="220" spans="1:42" s="185" customFormat="1" hidden="1" x14ac:dyDescent="0.2">
      <c r="A220" s="180" t="s">
        <v>449</v>
      </c>
      <c r="B220" s="180" t="s">
        <v>449</v>
      </c>
      <c r="C220" s="180" t="s">
        <v>449</v>
      </c>
      <c r="D220" s="180" t="s">
        <v>449</v>
      </c>
      <c r="E220" s="180" t="s">
        <v>449</v>
      </c>
      <c r="F220" s="180" t="s">
        <v>449</v>
      </c>
      <c r="G220" s="180" t="s">
        <v>449</v>
      </c>
      <c r="H220" s="181" t="s">
        <v>449</v>
      </c>
      <c r="I220" s="180" t="e">
        <f t="shared" si="15"/>
        <v>#VALUE!</v>
      </c>
      <c r="J220" s="181" t="s">
        <v>449</v>
      </c>
      <c r="K220" s="180" t="e">
        <f t="shared" si="16"/>
        <v>#VALUE!</v>
      </c>
      <c r="L220" s="180"/>
      <c r="M220" s="180"/>
      <c r="N220" s="180"/>
      <c r="O220" s="180" t="s">
        <v>449</v>
      </c>
      <c r="P220" s="180" t="s">
        <v>449</v>
      </c>
      <c r="Q220" s="180"/>
      <c r="R220" s="182"/>
      <c r="S220" s="180"/>
      <c r="T220" s="180"/>
      <c r="U220" s="180"/>
      <c r="V220" s="180"/>
      <c r="W220" s="180"/>
      <c r="X220" s="180"/>
      <c r="Y220" s="183"/>
      <c r="Z220" s="180"/>
      <c r="AA220" s="180"/>
      <c r="AB220" s="182"/>
      <c r="AC220" s="212"/>
      <c r="AD220" s="180" t="s">
        <v>449</v>
      </c>
      <c r="AE220" s="180" t="s">
        <v>449</v>
      </c>
      <c r="AF220" s="180" t="s">
        <v>449</v>
      </c>
      <c r="AG220" s="180"/>
      <c r="AH220" s="180" t="s">
        <v>449</v>
      </c>
      <c r="AI220" s="180" t="s">
        <v>449</v>
      </c>
      <c r="AJ220" s="180" t="s">
        <v>449</v>
      </c>
      <c r="AK220" s="184" t="s">
        <v>449</v>
      </c>
      <c r="AL220" s="182" t="s">
        <v>449</v>
      </c>
      <c r="AM220" s="182" t="s">
        <v>449</v>
      </c>
      <c r="AN220" s="182" t="s">
        <v>449</v>
      </c>
      <c r="AO220" s="182"/>
      <c r="AP220" s="182"/>
    </row>
    <row r="221" spans="1:42" s="185" customFormat="1" hidden="1" x14ac:dyDescent="0.2">
      <c r="A221" s="180" t="s">
        <v>449</v>
      </c>
      <c r="B221" s="180" t="s">
        <v>449</v>
      </c>
      <c r="C221" s="180" t="s">
        <v>449</v>
      </c>
      <c r="D221" s="180" t="s">
        <v>449</v>
      </c>
      <c r="E221" s="180" t="s">
        <v>449</v>
      </c>
      <c r="F221" s="180" t="s">
        <v>449</v>
      </c>
      <c r="G221" s="180" t="s">
        <v>449</v>
      </c>
      <c r="H221" s="181" t="s">
        <v>449</v>
      </c>
      <c r="I221" s="180" t="e">
        <f t="shared" si="15"/>
        <v>#VALUE!</v>
      </c>
      <c r="J221" s="181" t="s">
        <v>449</v>
      </c>
      <c r="K221" s="180" t="e">
        <f t="shared" si="16"/>
        <v>#VALUE!</v>
      </c>
      <c r="L221" s="180"/>
      <c r="M221" s="180"/>
      <c r="N221" s="180"/>
      <c r="O221" s="180" t="s">
        <v>449</v>
      </c>
      <c r="P221" s="180" t="s">
        <v>449</v>
      </c>
      <c r="Q221" s="180"/>
      <c r="R221" s="182"/>
      <c r="S221" s="180"/>
      <c r="T221" s="180"/>
      <c r="U221" s="180"/>
      <c r="V221" s="180"/>
      <c r="W221" s="180"/>
      <c r="X221" s="180"/>
      <c r="Y221" s="183"/>
      <c r="Z221" s="180"/>
      <c r="AA221" s="180"/>
      <c r="AB221" s="182"/>
      <c r="AC221" s="212"/>
      <c r="AD221" s="180" t="s">
        <v>449</v>
      </c>
      <c r="AE221" s="180" t="s">
        <v>449</v>
      </c>
      <c r="AF221" s="180" t="s">
        <v>449</v>
      </c>
      <c r="AG221" s="180"/>
      <c r="AH221" s="180" t="s">
        <v>449</v>
      </c>
      <c r="AI221" s="180" t="s">
        <v>449</v>
      </c>
      <c r="AJ221" s="180" t="s">
        <v>449</v>
      </c>
      <c r="AK221" s="184" t="s">
        <v>449</v>
      </c>
      <c r="AL221" s="182" t="s">
        <v>449</v>
      </c>
      <c r="AM221" s="182" t="s">
        <v>449</v>
      </c>
      <c r="AN221" s="182" t="s">
        <v>449</v>
      </c>
      <c r="AO221" s="182"/>
      <c r="AP221" s="182"/>
    </row>
    <row r="222" spans="1:42" s="185" customFormat="1" hidden="1" x14ac:dyDescent="0.2">
      <c r="A222" s="180" t="s">
        <v>449</v>
      </c>
      <c r="B222" s="180" t="s">
        <v>449</v>
      </c>
      <c r="C222" s="180" t="s">
        <v>449</v>
      </c>
      <c r="D222" s="180" t="s">
        <v>449</v>
      </c>
      <c r="E222" s="180" t="s">
        <v>449</v>
      </c>
      <c r="F222" s="180" t="s">
        <v>449</v>
      </c>
      <c r="G222" s="180" t="s">
        <v>449</v>
      </c>
      <c r="H222" s="181" t="s">
        <v>449</v>
      </c>
      <c r="I222" s="180" t="e">
        <f t="shared" si="15"/>
        <v>#VALUE!</v>
      </c>
      <c r="J222" s="181" t="s">
        <v>449</v>
      </c>
      <c r="K222" s="180" t="e">
        <f t="shared" si="16"/>
        <v>#VALUE!</v>
      </c>
      <c r="L222" s="180"/>
      <c r="M222" s="180"/>
      <c r="N222" s="180"/>
      <c r="O222" s="180" t="s">
        <v>449</v>
      </c>
      <c r="P222" s="180" t="s">
        <v>449</v>
      </c>
      <c r="Q222" s="180"/>
      <c r="R222" s="182"/>
      <c r="S222" s="180"/>
      <c r="T222" s="180"/>
      <c r="U222" s="180"/>
      <c r="V222" s="180"/>
      <c r="W222" s="180"/>
      <c r="X222" s="180"/>
      <c r="Y222" s="183"/>
      <c r="Z222" s="180"/>
      <c r="AA222" s="180"/>
      <c r="AB222" s="182"/>
      <c r="AC222" s="212"/>
      <c r="AD222" s="180" t="s">
        <v>449</v>
      </c>
      <c r="AE222" s="180" t="s">
        <v>449</v>
      </c>
      <c r="AF222" s="180" t="s">
        <v>449</v>
      </c>
      <c r="AG222" s="180"/>
      <c r="AH222" s="180" t="s">
        <v>449</v>
      </c>
      <c r="AI222" s="180" t="s">
        <v>449</v>
      </c>
      <c r="AJ222" s="180" t="s">
        <v>449</v>
      </c>
      <c r="AK222" s="184" t="s">
        <v>449</v>
      </c>
      <c r="AL222" s="182" t="s">
        <v>449</v>
      </c>
      <c r="AM222" s="182" t="s">
        <v>449</v>
      </c>
      <c r="AN222" s="182" t="s">
        <v>449</v>
      </c>
      <c r="AO222" s="182"/>
      <c r="AP222" s="182"/>
    </row>
    <row r="223" spans="1:42" s="185" customFormat="1" hidden="1" x14ac:dyDescent="0.2">
      <c r="A223" s="180" t="s">
        <v>449</v>
      </c>
      <c r="B223" s="180" t="s">
        <v>449</v>
      </c>
      <c r="C223" s="180" t="s">
        <v>449</v>
      </c>
      <c r="D223" s="180" t="s">
        <v>449</v>
      </c>
      <c r="E223" s="180" t="s">
        <v>449</v>
      </c>
      <c r="F223" s="180" t="s">
        <v>449</v>
      </c>
      <c r="G223" s="180" t="s">
        <v>449</v>
      </c>
      <c r="H223" s="181" t="s">
        <v>449</v>
      </c>
      <c r="I223" s="180" t="e">
        <f t="shared" si="15"/>
        <v>#VALUE!</v>
      </c>
      <c r="J223" s="181" t="s">
        <v>449</v>
      </c>
      <c r="K223" s="180" t="e">
        <f t="shared" si="16"/>
        <v>#VALUE!</v>
      </c>
      <c r="L223" s="180"/>
      <c r="M223" s="180"/>
      <c r="N223" s="180"/>
      <c r="O223" s="180" t="s">
        <v>449</v>
      </c>
      <c r="P223" s="180" t="s">
        <v>449</v>
      </c>
      <c r="Q223" s="180"/>
      <c r="R223" s="182"/>
      <c r="S223" s="180"/>
      <c r="T223" s="180"/>
      <c r="U223" s="180"/>
      <c r="V223" s="180"/>
      <c r="W223" s="180"/>
      <c r="X223" s="180"/>
      <c r="Y223" s="183"/>
      <c r="Z223" s="180"/>
      <c r="AA223" s="180"/>
      <c r="AB223" s="182"/>
      <c r="AC223" s="212"/>
      <c r="AD223" s="180" t="s">
        <v>449</v>
      </c>
      <c r="AE223" s="180" t="s">
        <v>449</v>
      </c>
      <c r="AF223" s="180" t="s">
        <v>449</v>
      </c>
      <c r="AG223" s="180"/>
      <c r="AH223" s="180" t="s">
        <v>449</v>
      </c>
      <c r="AI223" s="180" t="s">
        <v>449</v>
      </c>
      <c r="AJ223" s="180" t="s">
        <v>449</v>
      </c>
      <c r="AK223" s="184" t="s">
        <v>449</v>
      </c>
      <c r="AL223" s="182" t="s">
        <v>449</v>
      </c>
      <c r="AM223" s="182" t="s">
        <v>449</v>
      </c>
      <c r="AN223" s="182" t="s">
        <v>449</v>
      </c>
      <c r="AO223" s="182"/>
      <c r="AP223" s="182"/>
    </row>
    <row r="224" spans="1:42" s="185" customFormat="1" hidden="1" x14ac:dyDescent="0.2">
      <c r="A224" s="180" t="s">
        <v>449</v>
      </c>
      <c r="B224" s="180" t="s">
        <v>449</v>
      </c>
      <c r="C224" s="180" t="s">
        <v>449</v>
      </c>
      <c r="D224" s="180" t="s">
        <v>449</v>
      </c>
      <c r="E224" s="180" t="s">
        <v>449</v>
      </c>
      <c r="F224" s="180" t="s">
        <v>449</v>
      </c>
      <c r="G224" s="180" t="s">
        <v>449</v>
      </c>
      <c r="H224" s="181" t="s">
        <v>449</v>
      </c>
      <c r="I224" s="180" t="e">
        <f t="shared" si="15"/>
        <v>#VALUE!</v>
      </c>
      <c r="J224" s="181" t="s">
        <v>449</v>
      </c>
      <c r="K224" s="180" t="e">
        <f t="shared" si="16"/>
        <v>#VALUE!</v>
      </c>
      <c r="L224" s="180"/>
      <c r="M224" s="180"/>
      <c r="N224" s="180"/>
      <c r="O224" s="180" t="s">
        <v>449</v>
      </c>
      <c r="P224" s="180" t="s">
        <v>449</v>
      </c>
      <c r="Q224" s="180"/>
      <c r="R224" s="182"/>
      <c r="S224" s="180"/>
      <c r="T224" s="180"/>
      <c r="U224" s="180"/>
      <c r="V224" s="180"/>
      <c r="W224" s="180"/>
      <c r="X224" s="180"/>
      <c r="Y224" s="183"/>
      <c r="Z224" s="180"/>
      <c r="AA224" s="180"/>
      <c r="AB224" s="182"/>
      <c r="AC224" s="212"/>
      <c r="AD224" s="180" t="s">
        <v>449</v>
      </c>
      <c r="AE224" s="180" t="s">
        <v>449</v>
      </c>
      <c r="AF224" s="180" t="s">
        <v>449</v>
      </c>
      <c r="AG224" s="180"/>
      <c r="AH224" s="180" t="s">
        <v>449</v>
      </c>
      <c r="AI224" s="180" t="s">
        <v>449</v>
      </c>
      <c r="AJ224" s="180" t="s">
        <v>449</v>
      </c>
      <c r="AK224" s="184" t="s">
        <v>449</v>
      </c>
      <c r="AL224" s="182" t="s">
        <v>449</v>
      </c>
      <c r="AM224" s="182" t="s">
        <v>449</v>
      </c>
      <c r="AN224" s="182" t="s">
        <v>449</v>
      </c>
      <c r="AO224" s="182"/>
      <c r="AP224" s="182"/>
    </row>
    <row r="225" spans="1:42" s="278" customFormat="1" hidden="1" x14ac:dyDescent="0.2">
      <c r="A225" s="180" t="s">
        <v>449</v>
      </c>
      <c r="B225" s="180" t="s">
        <v>449</v>
      </c>
      <c r="C225" s="180" t="s">
        <v>449</v>
      </c>
      <c r="D225" s="180" t="s">
        <v>449</v>
      </c>
      <c r="E225" s="180" t="s">
        <v>449</v>
      </c>
      <c r="F225" s="180" t="s">
        <v>449</v>
      </c>
      <c r="G225" s="180" t="s">
        <v>449</v>
      </c>
      <c r="H225" s="181" t="s">
        <v>449</v>
      </c>
      <c r="I225" s="180" t="e">
        <f t="shared" si="15"/>
        <v>#VALUE!</v>
      </c>
      <c r="J225" s="181" t="s">
        <v>449</v>
      </c>
      <c r="K225" s="180" t="e">
        <f t="shared" si="16"/>
        <v>#VALUE!</v>
      </c>
      <c r="L225" s="180"/>
      <c r="M225" s="180"/>
      <c r="N225" s="180"/>
      <c r="O225" s="180" t="s">
        <v>449</v>
      </c>
      <c r="P225" s="180" t="s">
        <v>449</v>
      </c>
      <c r="Q225" s="180"/>
      <c r="R225" s="182"/>
      <c r="S225" s="180"/>
      <c r="T225" s="180"/>
      <c r="U225" s="180"/>
      <c r="V225" s="180"/>
      <c r="W225" s="180"/>
      <c r="X225" s="180"/>
      <c r="Y225" s="183"/>
      <c r="Z225" s="180"/>
      <c r="AA225" s="180"/>
      <c r="AB225" s="182"/>
      <c r="AC225" s="212"/>
      <c r="AD225" s="180" t="s">
        <v>449</v>
      </c>
      <c r="AE225" s="180" t="s">
        <v>449</v>
      </c>
      <c r="AF225" s="180" t="s">
        <v>449</v>
      </c>
      <c r="AG225" s="180"/>
      <c r="AH225" s="180" t="s">
        <v>449</v>
      </c>
      <c r="AI225" s="180" t="s">
        <v>449</v>
      </c>
      <c r="AJ225" s="180" t="s">
        <v>449</v>
      </c>
      <c r="AK225" s="184" t="s">
        <v>449</v>
      </c>
      <c r="AL225" s="182" t="s">
        <v>449</v>
      </c>
      <c r="AM225" s="182" t="s">
        <v>449</v>
      </c>
      <c r="AN225" s="182" t="s">
        <v>449</v>
      </c>
      <c r="AO225" s="182"/>
      <c r="AP225" s="182"/>
    </row>
    <row r="226" spans="1:42" s="185" customFormat="1" hidden="1" x14ac:dyDescent="0.2">
      <c r="A226" s="180" t="s">
        <v>449</v>
      </c>
      <c r="B226" s="180" t="s">
        <v>449</v>
      </c>
      <c r="C226" s="180" t="s">
        <v>449</v>
      </c>
      <c r="D226" s="180" t="s">
        <v>449</v>
      </c>
      <c r="E226" s="180" t="s">
        <v>449</v>
      </c>
      <c r="F226" s="180" t="s">
        <v>449</v>
      </c>
      <c r="G226" s="180" t="s">
        <v>449</v>
      </c>
      <c r="H226" s="181" t="s">
        <v>449</v>
      </c>
      <c r="I226" s="180" t="e">
        <f t="shared" si="15"/>
        <v>#VALUE!</v>
      </c>
      <c r="J226" s="181" t="s">
        <v>449</v>
      </c>
      <c r="K226" s="180" t="e">
        <f t="shared" si="16"/>
        <v>#VALUE!</v>
      </c>
      <c r="L226" s="180"/>
      <c r="M226" s="180"/>
      <c r="N226" s="180"/>
      <c r="O226" s="180" t="s">
        <v>449</v>
      </c>
      <c r="P226" s="180" t="s">
        <v>449</v>
      </c>
      <c r="Q226" s="180"/>
      <c r="R226" s="182"/>
      <c r="S226" s="180"/>
      <c r="T226" s="180"/>
      <c r="U226" s="180"/>
      <c r="V226" s="180"/>
      <c r="W226" s="180"/>
      <c r="X226" s="180"/>
      <c r="Y226" s="183"/>
      <c r="Z226" s="180"/>
      <c r="AA226" s="180"/>
      <c r="AB226" s="182"/>
      <c r="AC226" s="212"/>
      <c r="AD226" s="180" t="s">
        <v>449</v>
      </c>
      <c r="AE226" s="180" t="s">
        <v>449</v>
      </c>
      <c r="AF226" s="180" t="s">
        <v>449</v>
      </c>
      <c r="AG226" s="180"/>
      <c r="AH226" s="180" t="s">
        <v>449</v>
      </c>
      <c r="AI226" s="180" t="s">
        <v>449</v>
      </c>
      <c r="AJ226" s="180" t="s">
        <v>449</v>
      </c>
      <c r="AK226" s="184" t="s">
        <v>449</v>
      </c>
      <c r="AL226" s="182" t="s">
        <v>449</v>
      </c>
      <c r="AM226" s="182" t="s">
        <v>449</v>
      </c>
      <c r="AN226" s="182" t="s">
        <v>449</v>
      </c>
      <c r="AO226" s="182"/>
      <c r="AP226" s="182"/>
    </row>
    <row r="227" spans="1:42" s="185" customFormat="1" hidden="1" x14ac:dyDescent="0.2">
      <c r="A227" s="180" t="s">
        <v>449</v>
      </c>
      <c r="B227" s="180" t="s">
        <v>449</v>
      </c>
      <c r="C227" s="180" t="s">
        <v>449</v>
      </c>
      <c r="D227" s="180" t="s">
        <v>449</v>
      </c>
      <c r="E227" s="180" t="s">
        <v>449</v>
      </c>
      <c r="F227" s="180" t="s">
        <v>449</v>
      </c>
      <c r="G227" s="180" t="s">
        <v>449</v>
      </c>
      <c r="H227" s="181" t="s">
        <v>449</v>
      </c>
      <c r="I227" s="180" t="e">
        <f t="shared" si="15"/>
        <v>#VALUE!</v>
      </c>
      <c r="J227" s="181" t="s">
        <v>449</v>
      </c>
      <c r="K227" s="180" t="e">
        <f t="shared" si="16"/>
        <v>#VALUE!</v>
      </c>
      <c r="L227" s="180"/>
      <c r="M227" s="180"/>
      <c r="N227" s="180"/>
      <c r="O227" s="180" t="s">
        <v>449</v>
      </c>
      <c r="P227" s="180" t="s">
        <v>449</v>
      </c>
      <c r="Q227" s="180"/>
      <c r="R227" s="182"/>
      <c r="S227" s="180"/>
      <c r="T227" s="180"/>
      <c r="U227" s="180"/>
      <c r="V227" s="180"/>
      <c r="W227" s="180"/>
      <c r="X227" s="180"/>
      <c r="Y227" s="183"/>
      <c r="Z227" s="180"/>
      <c r="AA227" s="180"/>
      <c r="AB227" s="182"/>
      <c r="AC227" s="212"/>
      <c r="AD227" s="180" t="s">
        <v>449</v>
      </c>
      <c r="AE227" s="180" t="s">
        <v>449</v>
      </c>
      <c r="AF227" s="180" t="s">
        <v>449</v>
      </c>
      <c r="AG227" s="180"/>
      <c r="AH227" s="180" t="s">
        <v>449</v>
      </c>
      <c r="AI227" s="180" t="s">
        <v>449</v>
      </c>
      <c r="AJ227" s="180" t="s">
        <v>449</v>
      </c>
      <c r="AK227" s="184" t="s">
        <v>449</v>
      </c>
      <c r="AL227" s="182" t="s">
        <v>449</v>
      </c>
      <c r="AM227" s="182" t="s">
        <v>449</v>
      </c>
      <c r="AN227" s="182" t="s">
        <v>449</v>
      </c>
      <c r="AO227" s="182"/>
      <c r="AP227" s="182"/>
    </row>
    <row r="228" spans="1:42" s="185" customFormat="1" hidden="1" x14ac:dyDescent="0.2">
      <c r="A228" s="180" t="s">
        <v>449</v>
      </c>
      <c r="B228" s="180" t="s">
        <v>449</v>
      </c>
      <c r="C228" s="180" t="s">
        <v>449</v>
      </c>
      <c r="D228" s="180" t="s">
        <v>449</v>
      </c>
      <c r="E228" s="180" t="s">
        <v>449</v>
      </c>
      <c r="F228" s="180" t="s">
        <v>449</v>
      </c>
      <c r="G228" s="180" t="s">
        <v>449</v>
      </c>
      <c r="H228" s="181" t="s">
        <v>449</v>
      </c>
      <c r="I228" s="180" t="e">
        <f t="shared" si="15"/>
        <v>#VALUE!</v>
      </c>
      <c r="J228" s="181" t="s">
        <v>449</v>
      </c>
      <c r="K228" s="180" t="e">
        <f t="shared" si="16"/>
        <v>#VALUE!</v>
      </c>
      <c r="L228" s="180"/>
      <c r="M228" s="180"/>
      <c r="N228" s="180"/>
      <c r="O228" s="180" t="s">
        <v>449</v>
      </c>
      <c r="P228" s="180" t="s">
        <v>449</v>
      </c>
      <c r="Q228" s="180"/>
      <c r="R228" s="182"/>
      <c r="S228" s="180"/>
      <c r="T228" s="180"/>
      <c r="U228" s="180"/>
      <c r="V228" s="180"/>
      <c r="W228" s="180"/>
      <c r="X228" s="180"/>
      <c r="Y228" s="183"/>
      <c r="Z228" s="180"/>
      <c r="AA228" s="180"/>
      <c r="AB228" s="182"/>
      <c r="AC228" s="212"/>
      <c r="AD228" s="180" t="s">
        <v>449</v>
      </c>
      <c r="AE228" s="180" t="s">
        <v>449</v>
      </c>
      <c r="AF228" s="180" t="s">
        <v>449</v>
      </c>
      <c r="AG228" s="180"/>
      <c r="AH228" s="180" t="s">
        <v>449</v>
      </c>
      <c r="AI228" s="180" t="s">
        <v>449</v>
      </c>
      <c r="AJ228" s="180" t="s">
        <v>449</v>
      </c>
      <c r="AK228" s="184" t="s">
        <v>449</v>
      </c>
      <c r="AL228" s="182" t="s">
        <v>449</v>
      </c>
      <c r="AM228" s="182" t="s">
        <v>449</v>
      </c>
      <c r="AN228" s="182" t="s">
        <v>449</v>
      </c>
      <c r="AO228" s="182"/>
      <c r="AP228" s="182"/>
    </row>
    <row r="229" spans="1:42" s="185" customFormat="1" hidden="1" x14ac:dyDescent="0.2">
      <c r="A229" s="180" t="s">
        <v>449</v>
      </c>
      <c r="B229" s="180" t="s">
        <v>449</v>
      </c>
      <c r="C229" s="180" t="s">
        <v>449</v>
      </c>
      <c r="D229" s="180" t="s">
        <v>449</v>
      </c>
      <c r="E229" s="180" t="s">
        <v>449</v>
      </c>
      <c r="F229" s="180" t="s">
        <v>449</v>
      </c>
      <c r="G229" s="180" t="s">
        <v>449</v>
      </c>
      <c r="H229" s="181" t="s">
        <v>449</v>
      </c>
      <c r="I229" s="180" t="e">
        <f t="shared" si="15"/>
        <v>#VALUE!</v>
      </c>
      <c r="J229" s="181" t="s">
        <v>449</v>
      </c>
      <c r="K229" s="180" t="e">
        <f t="shared" si="16"/>
        <v>#VALUE!</v>
      </c>
      <c r="L229" s="180"/>
      <c r="M229" s="180"/>
      <c r="N229" s="180"/>
      <c r="O229" s="180" t="s">
        <v>449</v>
      </c>
      <c r="P229" s="180" t="s">
        <v>449</v>
      </c>
      <c r="Q229" s="180"/>
      <c r="R229" s="182"/>
      <c r="S229" s="180"/>
      <c r="T229" s="180"/>
      <c r="U229" s="180"/>
      <c r="V229" s="180"/>
      <c r="W229" s="180"/>
      <c r="X229" s="180"/>
      <c r="Y229" s="183"/>
      <c r="Z229" s="180"/>
      <c r="AA229" s="180"/>
      <c r="AB229" s="182"/>
      <c r="AC229" s="212"/>
      <c r="AD229" s="180" t="s">
        <v>449</v>
      </c>
      <c r="AE229" s="180" t="s">
        <v>449</v>
      </c>
      <c r="AF229" s="180" t="s">
        <v>449</v>
      </c>
      <c r="AG229" s="180"/>
      <c r="AH229" s="180" t="s">
        <v>449</v>
      </c>
      <c r="AI229" s="180" t="s">
        <v>449</v>
      </c>
      <c r="AJ229" s="180" t="s">
        <v>449</v>
      </c>
      <c r="AK229" s="184" t="s">
        <v>449</v>
      </c>
      <c r="AL229" s="182" t="s">
        <v>449</v>
      </c>
      <c r="AM229" s="182" t="s">
        <v>449</v>
      </c>
      <c r="AN229" s="182" t="s">
        <v>449</v>
      </c>
      <c r="AO229" s="182"/>
      <c r="AP229" s="182"/>
    </row>
    <row r="230" spans="1:42" s="185" customFormat="1" hidden="1" x14ac:dyDescent="0.2">
      <c r="A230" s="180" t="s">
        <v>449</v>
      </c>
      <c r="B230" s="180" t="s">
        <v>449</v>
      </c>
      <c r="C230" s="180" t="s">
        <v>449</v>
      </c>
      <c r="D230" s="180" t="s">
        <v>449</v>
      </c>
      <c r="E230" s="180" t="s">
        <v>449</v>
      </c>
      <c r="F230" s="180" t="s">
        <v>449</v>
      </c>
      <c r="G230" s="180" t="s">
        <v>449</v>
      </c>
      <c r="H230" s="181" t="s">
        <v>449</v>
      </c>
      <c r="I230" s="180" t="e">
        <f t="shared" si="15"/>
        <v>#VALUE!</v>
      </c>
      <c r="J230" s="181" t="s">
        <v>449</v>
      </c>
      <c r="K230" s="180" t="e">
        <f t="shared" si="16"/>
        <v>#VALUE!</v>
      </c>
      <c r="L230" s="180"/>
      <c r="M230" s="180"/>
      <c r="N230" s="180"/>
      <c r="O230" s="180" t="s">
        <v>449</v>
      </c>
      <c r="P230" s="180" t="s">
        <v>449</v>
      </c>
      <c r="Q230" s="180"/>
      <c r="R230" s="182"/>
      <c r="S230" s="180"/>
      <c r="T230" s="180"/>
      <c r="U230" s="180"/>
      <c r="V230" s="180"/>
      <c r="W230" s="180"/>
      <c r="X230" s="180"/>
      <c r="Y230" s="183"/>
      <c r="Z230" s="180"/>
      <c r="AA230" s="180"/>
      <c r="AB230" s="182"/>
      <c r="AC230" s="212"/>
      <c r="AD230" s="180" t="s">
        <v>449</v>
      </c>
      <c r="AE230" s="180" t="s">
        <v>449</v>
      </c>
      <c r="AF230" s="180" t="s">
        <v>449</v>
      </c>
      <c r="AG230" s="180"/>
      <c r="AH230" s="180" t="s">
        <v>449</v>
      </c>
      <c r="AI230" s="180" t="s">
        <v>449</v>
      </c>
      <c r="AJ230" s="180" t="s">
        <v>449</v>
      </c>
      <c r="AK230" s="184" t="s">
        <v>449</v>
      </c>
      <c r="AL230" s="182" t="s">
        <v>449</v>
      </c>
      <c r="AM230" s="182" t="s">
        <v>449</v>
      </c>
      <c r="AN230" s="182" t="s">
        <v>449</v>
      </c>
      <c r="AO230" s="182"/>
      <c r="AP230" s="182"/>
    </row>
    <row r="231" spans="1:42" s="185" customFormat="1" hidden="1" x14ac:dyDescent="0.2">
      <c r="A231" s="180" t="s">
        <v>449</v>
      </c>
      <c r="B231" s="180" t="s">
        <v>449</v>
      </c>
      <c r="C231" s="180" t="s">
        <v>449</v>
      </c>
      <c r="D231" s="180" t="s">
        <v>449</v>
      </c>
      <c r="E231" s="180" t="s">
        <v>449</v>
      </c>
      <c r="F231" s="180" t="s">
        <v>449</v>
      </c>
      <c r="G231" s="180" t="s">
        <v>449</v>
      </c>
      <c r="H231" s="181" t="s">
        <v>449</v>
      </c>
      <c r="I231" s="180" t="e">
        <f t="shared" si="15"/>
        <v>#VALUE!</v>
      </c>
      <c r="J231" s="181" t="s">
        <v>449</v>
      </c>
      <c r="K231" s="180" t="e">
        <f t="shared" si="16"/>
        <v>#VALUE!</v>
      </c>
      <c r="L231" s="180"/>
      <c r="M231" s="180"/>
      <c r="N231" s="180"/>
      <c r="O231" s="180" t="s">
        <v>449</v>
      </c>
      <c r="P231" s="180" t="s">
        <v>449</v>
      </c>
      <c r="Q231" s="180"/>
      <c r="R231" s="182"/>
      <c r="S231" s="180"/>
      <c r="T231" s="180"/>
      <c r="U231" s="180"/>
      <c r="V231" s="180"/>
      <c r="W231" s="180"/>
      <c r="X231" s="180"/>
      <c r="Y231" s="183"/>
      <c r="Z231" s="180"/>
      <c r="AA231" s="180"/>
      <c r="AB231" s="182"/>
      <c r="AC231" s="212"/>
      <c r="AD231" s="180" t="s">
        <v>449</v>
      </c>
      <c r="AE231" s="180" t="s">
        <v>449</v>
      </c>
      <c r="AF231" s="180" t="s">
        <v>449</v>
      </c>
      <c r="AG231" s="180"/>
      <c r="AH231" s="180" t="s">
        <v>449</v>
      </c>
      <c r="AI231" s="180" t="s">
        <v>449</v>
      </c>
      <c r="AJ231" s="180" t="s">
        <v>449</v>
      </c>
      <c r="AK231" s="184" t="s">
        <v>449</v>
      </c>
      <c r="AL231" s="182" t="s">
        <v>449</v>
      </c>
      <c r="AM231" s="182" t="s">
        <v>449</v>
      </c>
      <c r="AN231" s="182" t="s">
        <v>449</v>
      </c>
      <c r="AO231" s="182"/>
      <c r="AP231" s="182"/>
    </row>
    <row r="232" spans="1:42" s="185" customFormat="1" hidden="1" x14ac:dyDescent="0.2">
      <c r="A232" s="180" t="s">
        <v>449</v>
      </c>
      <c r="B232" s="180" t="s">
        <v>449</v>
      </c>
      <c r="C232" s="180" t="s">
        <v>449</v>
      </c>
      <c r="D232" s="180" t="s">
        <v>449</v>
      </c>
      <c r="E232" s="180" t="s">
        <v>449</v>
      </c>
      <c r="F232" s="180" t="s">
        <v>449</v>
      </c>
      <c r="G232" s="180" t="s">
        <v>449</v>
      </c>
      <c r="H232" s="181" t="s">
        <v>449</v>
      </c>
      <c r="I232" s="180" t="e">
        <f t="shared" si="15"/>
        <v>#VALUE!</v>
      </c>
      <c r="J232" s="181" t="s">
        <v>449</v>
      </c>
      <c r="K232" s="180" t="e">
        <f t="shared" si="16"/>
        <v>#VALUE!</v>
      </c>
      <c r="L232" s="180"/>
      <c r="M232" s="180"/>
      <c r="N232" s="180"/>
      <c r="O232" s="180" t="s">
        <v>449</v>
      </c>
      <c r="P232" s="180" t="s">
        <v>449</v>
      </c>
      <c r="Q232" s="180"/>
      <c r="R232" s="182"/>
      <c r="S232" s="180"/>
      <c r="T232" s="180"/>
      <c r="U232" s="180"/>
      <c r="V232" s="180"/>
      <c r="W232" s="180"/>
      <c r="X232" s="180"/>
      <c r="Y232" s="183"/>
      <c r="Z232" s="180"/>
      <c r="AA232" s="180"/>
      <c r="AB232" s="182"/>
      <c r="AC232" s="212"/>
      <c r="AD232" s="180" t="s">
        <v>449</v>
      </c>
      <c r="AE232" s="180" t="s">
        <v>449</v>
      </c>
      <c r="AF232" s="180" t="s">
        <v>449</v>
      </c>
      <c r="AG232" s="180"/>
      <c r="AH232" s="180" t="s">
        <v>449</v>
      </c>
      <c r="AI232" s="180" t="s">
        <v>449</v>
      </c>
      <c r="AJ232" s="180" t="s">
        <v>449</v>
      </c>
      <c r="AK232" s="184" t="s">
        <v>449</v>
      </c>
      <c r="AL232" s="182" t="s">
        <v>449</v>
      </c>
      <c r="AM232" s="182" t="s">
        <v>449</v>
      </c>
      <c r="AN232" s="182" t="s">
        <v>449</v>
      </c>
      <c r="AO232" s="182"/>
      <c r="AP232" s="182"/>
    </row>
    <row r="233" spans="1:42" s="185" customFormat="1" hidden="1" x14ac:dyDescent="0.2">
      <c r="A233" s="180" t="s">
        <v>449</v>
      </c>
      <c r="B233" s="180" t="s">
        <v>449</v>
      </c>
      <c r="C233" s="180" t="s">
        <v>449</v>
      </c>
      <c r="D233" s="180" t="s">
        <v>449</v>
      </c>
      <c r="E233" s="180" t="s">
        <v>449</v>
      </c>
      <c r="F233" s="180" t="s">
        <v>449</v>
      </c>
      <c r="G233" s="180" t="s">
        <v>449</v>
      </c>
      <c r="H233" s="181" t="s">
        <v>449</v>
      </c>
      <c r="I233" s="180" t="e">
        <f t="shared" si="15"/>
        <v>#VALUE!</v>
      </c>
      <c r="J233" s="181" t="s">
        <v>449</v>
      </c>
      <c r="K233" s="180" t="e">
        <f t="shared" si="16"/>
        <v>#VALUE!</v>
      </c>
      <c r="L233" s="180"/>
      <c r="M233" s="180"/>
      <c r="N233" s="180"/>
      <c r="O233" s="180" t="s">
        <v>449</v>
      </c>
      <c r="P233" s="180" t="s">
        <v>449</v>
      </c>
      <c r="Q233" s="180"/>
      <c r="R233" s="182"/>
      <c r="S233" s="180"/>
      <c r="T233" s="180"/>
      <c r="U233" s="180"/>
      <c r="V233" s="180"/>
      <c r="W233" s="180"/>
      <c r="X233" s="180"/>
      <c r="Y233" s="183"/>
      <c r="Z233" s="180"/>
      <c r="AA233" s="180"/>
      <c r="AB233" s="182"/>
      <c r="AC233" s="212"/>
      <c r="AD233" s="180" t="s">
        <v>449</v>
      </c>
      <c r="AE233" s="180" t="s">
        <v>449</v>
      </c>
      <c r="AF233" s="180" t="s">
        <v>449</v>
      </c>
      <c r="AG233" s="180"/>
      <c r="AH233" s="180" t="s">
        <v>449</v>
      </c>
      <c r="AI233" s="180" t="s">
        <v>449</v>
      </c>
      <c r="AJ233" s="180" t="s">
        <v>449</v>
      </c>
      <c r="AK233" s="184" t="s">
        <v>449</v>
      </c>
      <c r="AL233" s="182" t="s">
        <v>449</v>
      </c>
      <c r="AM233" s="182" t="s">
        <v>449</v>
      </c>
      <c r="AN233" s="182" t="s">
        <v>449</v>
      </c>
      <c r="AO233" s="182"/>
      <c r="AP233" s="182"/>
    </row>
    <row r="234" spans="1:42" s="185" customFormat="1" hidden="1" x14ac:dyDescent="0.2">
      <c r="A234" s="180" t="s">
        <v>449</v>
      </c>
      <c r="B234" s="180" t="s">
        <v>449</v>
      </c>
      <c r="C234" s="180" t="s">
        <v>449</v>
      </c>
      <c r="D234" s="180" t="s">
        <v>449</v>
      </c>
      <c r="E234" s="180" t="s">
        <v>449</v>
      </c>
      <c r="F234" s="180" t="s">
        <v>449</v>
      </c>
      <c r="G234" s="180" t="s">
        <v>449</v>
      </c>
      <c r="H234" s="181" t="s">
        <v>449</v>
      </c>
      <c r="I234" s="180" t="e">
        <f t="shared" si="15"/>
        <v>#VALUE!</v>
      </c>
      <c r="J234" s="181" t="s">
        <v>449</v>
      </c>
      <c r="K234" s="180" t="e">
        <f t="shared" si="16"/>
        <v>#VALUE!</v>
      </c>
      <c r="L234" s="180"/>
      <c r="M234" s="180"/>
      <c r="N234" s="180"/>
      <c r="O234" s="180" t="s">
        <v>449</v>
      </c>
      <c r="P234" s="180" t="s">
        <v>449</v>
      </c>
      <c r="Q234" s="180"/>
      <c r="R234" s="182"/>
      <c r="S234" s="180"/>
      <c r="T234" s="180"/>
      <c r="U234" s="180"/>
      <c r="V234" s="180"/>
      <c r="W234" s="180"/>
      <c r="X234" s="180"/>
      <c r="Y234" s="183"/>
      <c r="Z234" s="180"/>
      <c r="AA234" s="180"/>
      <c r="AB234" s="182"/>
      <c r="AC234" s="212"/>
      <c r="AD234" s="180" t="s">
        <v>449</v>
      </c>
      <c r="AE234" s="180" t="s">
        <v>449</v>
      </c>
      <c r="AF234" s="180" t="s">
        <v>449</v>
      </c>
      <c r="AG234" s="180"/>
      <c r="AH234" s="180" t="s">
        <v>449</v>
      </c>
      <c r="AI234" s="180" t="s">
        <v>449</v>
      </c>
      <c r="AJ234" s="180" t="s">
        <v>449</v>
      </c>
      <c r="AK234" s="184" t="s">
        <v>449</v>
      </c>
      <c r="AL234" s="182" t="s">
        <v>449</v>
      </c>
      <c r="AM234" s="182" t="s">
        <v>449</v>
      </c>
      <c r="AN234" s="182" t="s">
        <v>449</v>
      </c>
      <c r="AO234" s="182"/>
      <c r="AP234" s="182"/>
    </row>
    <row r="235" spans="1:42" s="185" customFormat="1" hidden="1" x14ac:dyDescent="0.2">
      <c r="A235" s="180" t="s">
        <v>449</v>
      </c>
      <c r="B235" s="180" t="s">
        <v>449</v>
      </c>
      <c r="C235" s="180" t="s">
        <v>449</v>
      </c>
      <c r="D235" s="180" t="s">
        <v>449</v>
      </c>
      <c r="E235" s="180" t="s">
        <v>449</v>
      </c>
      <c r="F235" s="180" t="s">
        <v>449</v>
      </c>
      <c r="G235" s="180" t="s">
        <v>449</v>
      </c>
      <c r="H235" s="181" t="s">
        <v>449</v>
      </c>
      <c r="I235" s="180" t="e">
        <f t="shared" si="15"/>
        <v>#VALUE!</v>
      </c>
      <c r="J235" s="181" t="s">
        <v>449</v>
      </c>
      <c r="K235" s="180" t="e">
        <f t="shared" si="16"/>
        <v>#VALUE!</v>
      </c>
      <c r="L235" s="180"/>
      <c r="M235" s="180"/>
      <c r="N235" s="180"/>
      <c r="O235" s="180" t="s">
        <v>449</v>
      </c>
      <c r="P235" s="180" t="s">
        <v>449</v>
      </c>
      <c r="Q235" s="180"/>
      <c r="R235" s="182"/>
      <c r="S235" s="180"/>
      <c r="T235" s="180"/>
      <c r="U235" s="180"/>
      <c r="V235" s="180"/>
      <c r="W235" s="180"/>
      <c r="X235" s="180"/>
      <c r="Y235" s="183"/>
      <c r="Z235" s="180"/>
      <c r="AA235" s="180"/>
      <c r="AB235" s="182"/>
      <c r="AC235" s="212"/>
      <c r="AD235" s="180" t="s">
        <v>449</v>
      </c>
      <c r="AE235" s="180" t="s">
        <v>449</v>
      </c>
      <c r="AF235" s="180" t="s">
        <v>449</v>
      </c>
      <c r="AG235" s="180"/>
      <c r="AH235" s="180" t="s">
        <v>449</v>
      </c>
      <c r="AI235" s="180" t="s">
        <v>449</v>
      </c>
      <c r="AJ235" s="180" t="s">
        <v>449</v>
      </c>
      <c r="AK235" s="184" t="s">
        <v>449</v>
      </c>
      <c r="AL235" s="182" t="s">
        <v>449</v>
      </c>
      <c r="AM235" s="182" t="s">
        <v>449</v>
      </c>
      <c r="AN235" s="182" t="s">
        <v>449</v>
      </c>
      <c r="AO235" s="182"/>
      <c r="AP235" s="182"/>
    </row>
    <row r="236" spans="1:42" s="185" customFormat="1" hidden="1" x14ac:dyDescent="0.2">
      <c r="A236" s="180" t="s">
        <v>449</v>
      </c>
      <c r="B236" s="180" t="s">
        <v>449</v>
      </c>
      <c r="C236" s="180" t="s">
        <v>449</v>
      </c>
      <c r="D236" s="180" t="s">
        <v>449</v>
      </c>
      <c r="E236" s="180" t="s">
        <v>449</v>
      </c>
      <c r="F236" s="180" t="s">
        <v>449</v>
      </c>
      <c r="G236" s="180" t="s">
        <v>449</v>
      </c>
      <c r="H236" s="181" t="s">
        <v>449</v>
      </c>
      <c r="I236" s="180" t="e">
        <f t="shared" si="15"/>
        <v>#VALUE!</v>
      </c>
      <c r="J236" s="181" t="s">
        <v>449</v>
      </c>
      <c r="K236" s="180" t="e">
        <f t="shared" si="16"/>
        <v>#VALUE!</v>
      </c>
      <c r="L236" s="180"/>
      <c r="M236" s="180"/>
      <c r="N236" s="180"/>
      <c r="O236" s="180" t="s">
        <v>449</v>
      </c>
      <c r="P236" s="180" t="s">
        <v>449</v>
      </c>
      <c r="Q236" s="180"/>
      <c r="R236" s="182"/>
      <c r="S236" s="180"/>
      <c r="T236" s="180"/>
      <c r="U236" s="180"/>
      <c r="V236" s="180"/>
      <c r="W236" s="180"/>
      <c r="X236" s="180"/>
      <c r="Y236" s="183"/>
      <c r="Z236" s="180"/>
      <c r="AA236" s="180"/>
      <c r="AB236" s="182"/>
      <c r="AC236" s="212"/>
      <c r="AD236" s="180" t="s">
        <v>449</v>
      </c>
      <c r="AE236" s="180" t="s">
        <v>449</v>
      </c>
      <c r="AF236" s="180" t="s">
        <v>449</v>
      </c>
      <c r="AG236" s="180"/>
      <c r="AH236" s="180" t="s">
        <v>449</v>
      </c>
      <c r="AI236" s="180" t="s">
        <v>449</v>
      </c>
      <c r="AJ236" s="180" t="s">
        <v>449</v>
      </c>
      <c r="AK236" s="184" t="s">
        <v>449</v>
      </c>
      <c r="AL236" s="182" t="s">
        <v>449</v>
      </c>
      <c r="AM236" s="182" t="s">
        <v>449</v>
      </c>
      <c r="AN236" s="182" t="s">
        <v>449</v>
      </c>
      <c r="AO236" s="182"/>
      <c r="AP236" s="182"/>
    </row>
    <row r="237" spans="1:42" s="185" customFormat="1" hidden="1" x14ac:dyDescent="0.2">
      <c r="A237" s="180" t="s">
        <v>449</v>
      </c>
      <c r="B237" s="180" t="s">
        <v>449</v>
      </c>
      <c r="C237" s="180" t="s">
        <v>449</v>
      </c>
      <c r="D237" s="180" t="s">
        <v>449</v>
      </c>
      <c r="E237" s="180" t="s">
        <v>449</v>
      </c>
      <c r="F237" s="180" t="s">
        <v>449</v>
      </c>
      <c r="G237" s="180" t="s">
        <v>449</v>
      </c>
      <c r="H237" s="181" t="s">
        <v>449</v>
      </c>
      <c r="I237" s="180" t="e">
        <f t="shared" si="15"/>
        <v>#VALUE!</v>
      </c>
      <c r="J237" s="181" t="s">
        <v>449</v>
      </c>
      <c r="K237" s="180" t="e">
        <f t="shared" si="16"/>
        <v>#VALUE!</v>
      </c>
      <c r="L237" s="180"/>
      <c r="M237" s="180"/>
      <c r="N237" s="180"/>
      <c r="O237" s="180" t="s">
        <v>449</v>
      </c>
      <c r="P237" s="180" t="s">
        <v>449</v>
      </c>
      <c r="Q237" s="180"/>
      <c r="R237" s="182"/>
      <c r="S237" s="180"/>
      <c r="T237" s="180"/>
      <c r="U237" s="180"/>
      <c r="V237" s="180"/>
      <c r="W237" s="180"/>
      <c r="X237" s="180"/>
      <c r="Y237" s="183"/>
      <c r="Z237" s="180"/>
      <c r="AA237" s="180"/>
      <c r="AB237" s="182"/>
      <c r="AC237" s="212"/>
      <c r="AD237" s="180" t="s">
        <v>449</v>
      </c>
      <c r="AE237" s="180" t="s">
        <v>449</v>
      </c>
      <c r="AF237" s="180" t="s">
        <v>449</v>
      </c>
      <c r="AG237" s="180"/>
      <c r="AH237" s="180" t="s">
        <v>449</v>
      </c>
      <c r="AI237" s="180" t="s">
        <v>449</v>
      </c>
      <c r="AJ237" s="180" t="s">
        <v>449</v>
      </c>
      <c r="AK237" s="184" t="s">
        <v>449</v>
      </c>
      <c r="AL237" s="182" t="s">
        <v>449</v>
      </c>
      <c r="AM237" s="182" t="s">
        <v>449</v>
      </c>
      <c r="AN237" s="182" t="s">
        <v>449</v>
      </c>
      <c r="AO237" s="182"/>
      <c r="AP237" s="182"/>
    </row>
    <row r="238" spans="1:42" s="185" customFormat="1" hidden="1" x14ac:dyDescent="0.2">
      <c r="A238" s="180" t="s">
        <v>449</v>
      </c>
      <c r="B238" s="180" t="s">
        <v>449</v>
      </c>
      <c r="C238" s="180" t="s">
        <v>449</v>
      </c>
      <c r="D238" s="180" t="s">
        <v>449</v>
      </c>
      <c r="E238" s="180" t="s">
        <v>449</v>
      </c>
      <c r="F238" s="180" t="s">
        <v>449</v>
      </c>
      <c r="G238" s="180" t="s">
        <v>449</v>
      </c>
      <c r="H238" s="181" t="s">
        <v>449</v>
      </c>
      <c r="I238" s="180" t="e">
        <f t="shared" si="15"/>
        <v>#VALUE!</v>
      </c>
      <c r="J238" s="181" t="s">
        <v>449</v>
      </c>
      <c r="K238" s="180" t="e">
        <f t="shared" si="16"/>
        <v>#VALUE!</v>
      </c>
      <c r="L238" s="180"/>
      <c r="M238" s="180"/>
      <c r="N238" s="180"/>
      <c r="O238" s="180" t="s">
        <v>449</v>
      </c>
      <c r="P238" s="180" t="s">
        <v>449</v>
      </c>
      <c r="Q238" s="180"/>
      <c r="R238" s="182"/>
      <c r="S238" s="180"/>
      <c r="T238" s="180"/>
      <c r="U238" s="180"/>
      <c r="V238" s="180"/>
      <c r="W238" s="180"/>
      <c r="X238" s="180"/>
      <c r="Y238" s="183"/>
      <c r="Z238" s="180"/>
      <c r="AA238" s="180"/>
      <c r="AB238" s="182"/>
      <c r="AC238" s="212"/>
      <c r="AD238" s="180" t="s">
        <v>449</v>
      </c>
      <c r="AE238" s="180" t="s">
        <v>449</v>
      </c>
      <c r="AF238" s="180" t="s">
        <v>449</v>
      </c>
      <c r="AG238" s="180"/>
      <c r="AH238" s="180" t="s">
        <v>449</v>
      </c>
      <c r="AI238" s="180" t="s">
        <v>449</v>
      </c>
      <c r="AJ238" s="180" t="s">
        <v>449</v>
      </c>
      <c r="AK238" s="184" t="s">
        <v>449</v>
      </c>
      <c r="AL238" s="182" t="s">
        <v>449</v>
      </c>
      <c r="AM238" s="182" t="s">
        <v>449</v>
      </c>
      <c r="AN238" s="182" t="s">
        <v>449</v>
      </c>
      <c r="AO238" s="182"/>
      <c r="AP238" s="182"/>
    </row>
    <row r="239" spans="1:42" s="185" customFormat="1" hidden="1" x14ac:dyDescent="0.2">
      <c r="A239" s="180" t="s">
        <v>449</v>
      </c>
      <c r="B239" s="180" t="s">
        <v>449</v>
      </c>
      <c r="C239" s="180" t="s">
        <v>449</v>
      </c>
      <c r="D239" s="180" t="s">
        <v>449</v>
      </c>
      <c r="E239" s="180" t="s">
        <v>449</v>
      </c>
      <c r="F239" s="180" t="s">
        <v>449</v>
      </c>
      <c r="G239" s="180" t="s">
        <v>449</v>
      </c>
      <c r="H239" s="181" t="s">
        <v>449</v>
      </c>
      <c r="I239" s="180" t="e">
        <f t="shared" si="15"/>
        <v>#VALUE!</v>
      </c>
      <c r="J239" s="181" t="s">
        <v>449</v>
      </c>
      <c r="K239" s="180" t="e">
        <f t="shared" si="16"/>
        <v>#VALUE!</v>
      </c>
      <c r="L239" s="180"/>
      <c r="M239" s="180"/>
      <c r="N239" s="180"/>
      <c r="O239" s="180" t="s">
        <v>449</v>
      </c>
      <c r="P239" s="180" t="s">
        <v>449</v>
      </c>
      <c r="Q239" s="180"/>
      <c r="R239" s="182"/>
      <c r="S239" s="180"/>
      <c r="T239" s="180"/>
      <c r="U239" s="180"/>
      <c r="V239" s="180"/>
      <c r="W239" s="180"/>
      <c r="X239" s="180"/>
      <c r="Y239" s="183"/>
      <c r="Z239" s="180"/>
      <c r="AA239" s="180"/>
      <c r="AB239" s="182"/>
      <c r="AC239" s="212"/>
      <c r="AD239" s="180" t="s">
        <v>449</v>
      </c>
      <c r="AE239" s="180" t="s">
        <v>449</v>
      </c>
      <c r="AF239" s="180" t="s">
        <v>449</v>
      </c>
      <c r="AG239" s="180"/>
      <c r="AH239" s="180" t="s">
        <v>449</v>
      </c>
      <c r="AI239" s="180" t="s">
        <v>449</v>
      </c>
      <c r="AJ239" s="180" t="s">
        <v>449</v>
      </c>
      <c r="AK239" s="184" t="s">
        <v>449</v>
      </c>
      <c r="AL239" s="182" t="s">
        <v>449</v>
      </c>
      <c r="AM239" s="182" t="s">
        <v>449</v>
      </c>
      <c r="AN239" s="182" t="s">
        <v>449</v>
      </c>
      <c r="AO239" s="182"/>
      <c r="AP239" s="182"/>
    </row>
    <row r="240" spans="1:42" s="185" customFormat="1" hidden="1" x14ac:dyDescent="0.2">
      <c r="A240" s="180" t="s">
        <v>449</v>
      </c>
      <c r="B240" s="180" t="s">
        <v>449</v>
      </c>
      <c r="C240" s="180" t="s">
        <v>449</v>
      </c>
      <c r="D240" s="180" t="s">
        <v>449</v>
      </c>
      <c r="E240" s="180" t="s">
        <v>449</v>
      </c>
      <c r="F240" s="180" t="s">
        <v>449</v>
      </c>
      <c r="G240" s="180" t="s">
        <v>449</v>
      </c>
      <c r="H240" s="181" t="s">
        <v>449</v>
      </c>
      <c r="I240" s="180" t="e">
        <f t="shared" si="15"/>
        <v>#VALUE!</v>
      </c>
      <c r="J240" s="181" t="s">
        <v>449</v>
      </c>
      <c r="K240" s="180" t="e">
        <f t="shared" si="16"/>
        <v>#VALUE!</v>
      </c>
      <c r="L240" s="180"/>
      <c r="M240" s="180"/>
      <c r="N240" s="180"/>
      <c r="O240" s="180" t="s">
        <v>449</v>
      </c>
      <c r="P240" s="180" t="s">
        <v>449</v>
      </c>
      <c r="Q240" s="180"/>
      <c r="R240" s="182"/>
      <c r="S240" s="180"/>
      <c r="T240" s="180"/>
      <c r="U240" s="180"/>
      <c r="V240" s="180"/>
      <c r="W240" s="180"/>
      <c r="X240" s="180"/>
      <c r="Y240" s="183"/>
      <c r="Z240" s="180"/>
      <c r="AA240" s="180"/>
      <c r="AB240" s="182"/>
      <c r="AC240" s="212"/>
      <c r="AD240" s="180" t="s">
        <v>449</v>
      </c>
      <c r="AE240" s="180" t="s">
        <v>449</v>
      </c>
      <c r="AF240" s="180" t="s">
        <v>449</v>
      </c>
      <c r="AG240" s="180"/>
      <c r="AH240" s="180" t="s">
        <v>449</v>
      </c>
      <c r="AI240" s="180" t="s">
        <v>449</v>
      </c>
      <c r="AJ240" s="180" t="s">
        <v>449</v>
      </c>
      <c r="AK240" s="184" t="s">
        <v>449</v>
      </c>
      <c r="AL240" s="182" t="s">
        <v>449</v>
      </c>
      <c r="AM240" s="182" t="s">
        <v>449</v>
      </c>
      <c r="AN240" s="182" t="s">
        <v>449</v>
      </c>
      <c r="AO240" s="182"/>
      <c r="AP240" s="182"/>
    </row>
    <row r="241" spans="1:42" s="185" customFormat="1" hidden="1" x14ac:dyDescent="0.2">
      <c r="A241" s="180" t="s">
        <v>449</v>
      </c>
      <c r="B241" s="180" t="s">
        <v>449</v>
      </c>
      <c r="C241" s="180" t="s">
        <v>449</v>
      </c>
      <c r="D241" s="180" t="s">
        <v>449</v>
      </c>
      <c r="E241" s="180" t="s">
        <v>449</v>
      </c>
      <c r="F241" s="180" t="s">
        <v>449</v>
      </c>
      <c r="G241" s="180" t="s">
        <v>449</v>
      </c>
      <c r="H241" s="181" t="s">
        <v>449</v>
      </c>
      <c r="I241" s="180" t="e">
        <f t="shared" si="15"/>
        <v>#VALUE!</v>
      </c>
      <c r="J241" s="181" t="s">
        <v>449</v>
      </c>
      <c r="K241" s="180" t="e">
        <f t="shared" si="16"/>
        <v>#VALUE!</v>
      </c>
      <c r="L241" s="180"/>
      <c r="M241" s="180"/>
      <c r="N241" s="180"/>
      <c r="O241" s="180" t="s">
        <v>449</v>
      </c>
      <c r="P241" s="180" t="s">
        <v>449</v>
      </c>
      <c r="Q241" s="180"/>
      <c r="R241" s="182"/>
      <c r="S241" s="180"/>
      <c r="T241" s="180"/>
      <c r="U241" s="180"/>
      <c r="V241" s="180"/>
      <c r="W241" s="180"/>
      <c r="X241" s="180"/>
      <c r="Y241" s="183"/>
      <c r="Z241" s="180"/>
      <c r="AA241" s="180"/>
      <c r="AB241" s="182"/>
      <c r="AC241" s="212"/>
      <c r="AD241" s="180" t="s">
        <v>449</v>
      </c>
      <c r="AE241" s="180" t="s">
        <v>449</v>
      </c>
      <c r="AF241" s="180" t="s">
        <v>449</v>
      </c>
      <c r="AG241" s="180"/>
      <c r="AH241" s="180" t="s">
        <v>449</v>
      </c>
      <c r="AI241" s="180" t="s">
        <v>449</v>
      </c>
      <c r="AJ241" s="180" t="s">
        <v>449</v>
      </c>
      <c r="AK241" s="184" t="s">
        <v>449</v>
      </c>
      <c r="AL241" s="182" t="s">
        <v>449</v>
      </c>
      <c r="AM241" s="182" t="s">
        <v>449</v>
      </c>
      <c r="AN241" s="182" t="s">
        <v>449</v>
      </c>
      <c r="AO241" s="182"/>
      <c r="AP241" s="182"/>
    </row>
    <row r="242" spans="1:42" s="185" customFormat="1" hidden="1" x14ac:dyDescent="0.2">
      <c r="A242" s="180" t="s">
        <v>449</v>
      </c>
      <c r="B242" s="180" t="s">
        <v>449</v>
      </c>
      <c r="C242" s="180" t="s">
        <v>449</v>
      </c>
      <c r="D242" s="180" t="s">
        <v>449</v>
      </c>
      <c r="E242" s="180" t="s">
        <v>449</v>
      </c>
      <c r="F242" s="180" t="s">
        <v>449</v>
      </c>
      <c r="G242" s="180" t="s">
        <v>449</v>
      </c>
      <c r="H242" s="181" t="s">
        <v>449</v>
      </c>
      <c r="I242" s="180" t="e">
        <f t="shared" si="15"/>
        <v>#VALUE!</v>
      </c>
      <c r="J242" s="181" t="s">
        <v>449</v>
      </c>
      <c r="K242" s="180" t="e">
        <f t="shared" si="16"/>
        <v>#VALUE!</v>
      </c>
      <c r="L242" s="180"/>
      <c r="M242" s="180"/>
      <c r="N242" s="180"/>
      <c r="O242" s="180" t="s">
        <v>449</v>
      </c>
      <c r="P242" s="180" t="s">
        <v>449</v>
      </c>
      <c r="Q242" s="180"/>
      <c r="R242" s="182"/>
      <c r="S242" s="180"/>
      <c r="T242" s="180"/>
      <c r="U242" s="180"/>
      <c r="V242" s="180"/>
      <c r="W242" s="180"/>
      <c r="X242" s="180"/>
      <c r="Y242" s="183"/>
      <c r="Z242" s="180"/>
      <c r="AA242" s="180"/>
      <c r="AB242" s="182"/>
      <c r="AC242" s="212"/>
      <c r="AD242" s="180" t="s">
        <v>449</v>
      </c>
      <c r="AE242" s="180" t="s">
        <v>449</v>
      </c>
      <c r="AF242" s="180" t="s">
        <v>449</v>
      </c>
      <c r="AG242" s="180"/>
      <c r="AH242" s="180" t="s">
        <v>449</v>
      </c>
      <c r="AI242" s="180" t="s">
        <v>449</v>
      </c>
      <c r="AJ242" s="180" t="s">
        <v>449</v>
      </c>
      <c r="AK242" s="184" t="s">
        <v>449</v>
      </c>
      <c r="AL242" s="182" t="s">
        <v>449</v>
      </c>
      <c r="AM242" s="182" t="s">
        <v>449</v>
      </c>
      <c r="AN242" s="182" t="s">
        <v>449</v>
      </c>
      <c r="AO242" s="182"/>
      <c r="AP242" s="182"/>
    </row>
    <row r="243" spans="1:42" s="185" customFormat="1" hidden="1" x14ac:dyDescent="0.2">
      <c r="A243" s="180" t="s">
        <v>449</v>
      </c>
      <c r="B243" s="180" t="s">
        <v>449</v>
      </c>
      <c r="C243" s="180" t="s">
        <v>449</v>
      </c>
      <c r="D243" s="180" t="s">
        <v>449</v>
      </c>
      <c r="E243" s="180" t="s">
        <v>449</v>
      </c>
      <c r="F243" s="180" t="s">
        <v>449</v>
      </c>
      <c r="G243" s="180" t="s">
        <v>449</v>
      </c>
      <c r="H243" s="181" t="s">
        <v>449</v>
      </c>
      <c r="I243" s="180" t="e">
        <f t="shared" si="15"/>
        <v>#VALUE!</v>
      </c>
      <c r="J243" s="181" t="s">
        <v>449</v>
      </c>
      <c r="K243" s="180" t="e">
        <f t="shared" si="16"/>
        <v>#VALUE!</v>
      </c>
      <c r="L243" s="180"/>
      <c r="M243" s="180"/>
      <c r="N243" s="180"/>
      <c r="O243" s="180" t="s">
        <v>449</v>
      </c>
      <c r="P243" s="180" t="s">
        <v>449</v>
      </c>
      <c r="Q243" s="180"/>
      <c r="R243" s="182"/>
      <c r="S243" s="180"/>
      <c r="T243" s="180"/>
      <c r="U243" s="180"/>
      <c r="V243" s="180"/>
      <c r="W243" s="180"/>
      <c r="X243" s="180"/>
      <c r="Y243" s="183"/>
      <c r="Z243" s="180"/>
      <c r="AA243" s="180"/>
      <c r="AB243" s="182"/>
      <c r="AC243" s="212"/>
      <c r="AD243" s="180" t="s">
        <v>449</v>
      </c>
      <c r="AE243" s="180" t="s">
        <v>449</v>
      </c>
      <c r="AF243" s="180" t="s">
        <v>449</v>
      </c>
      <c r="AG243" s="180"/>
      <c r="AH243" s="180" t="s">
        <v>449</v>
      </c>
      <c r="AI243" s="180" t="s">
        <v>449</v>
      </c>
      <c r="AJ243" s="180" t="s">
        <v>449</v>
      </c>
      <c r="AK243" s="184" t="s">
        <v>449</v>
      </c>
      <c r="AL243" s="182" t="s">
        <v>449</v>
      </c>
      <c r="AM243" s="182" t="s">
        <v>449</v>
      </c>
      <c r="AN243" s="182" t="s">
        <v>449</v>
      </c>
      <c r="AO243" s="182"/>
      <c r="AP243" s="182"/>
    </row>
    <row r="244" spans="1:42" s="185" customFormat="1" hidden="1" x14ac:dyDescent="0.2">
      <c r="A244" s="180" t="s">
        <v>449</v>
      </c>
      <c r="B244" s="180" t="s">
        <v>449</v>
      </c>
      <c r="C244" s="180" t="s">
        <v>449</v>
      </c>
      <c r="D244" s="180" t="s">
        <v>449</v>
      </c>
      <c r="E244" s="180" t="s">
        <v>449</v>
      </c>
      <c r="F244" s="180" t="s">
        <v>449</v>
      </c>
      <c r="G244" s="180" t="s">
        <v>449</v>
      </c>
      <c r="H244" s="181" t="s">
        <v>449</v>
      </c>
      <c r="I244" s="180" t="e">
        <f t="shared" si="15"/>
        <v>#VALUE!</v>
      </c>
      <c r="J244" s="181" t="s">
        <v>449</v>
      </c>
      <c r="K244" s="180" t="e">
        <f t="shared" si="16"/>
        <v>#VALUE!</v>
      </c>
      <c r="L244" s="180"/>
      <c r="M244" s="180"/>
      <c r="N244" s="180"/>
      <c r="O244" s="180" t="s">
        <v>449</v>
      </c>
      <c r="P244" s="180" t="s">
        <v>449</v>
      </c>
      <c r="Q244" s="180"/>
      <c r="R244" s="182"/>
      <c r="S244" s="180"/>
      <c r="T244" s="180"/>
      <c r="U244" s="180"/>
      <c r="V244" s="180"/>
      <c r="W244" s="180"/>
      <c r="X244" s="180"/>
      <c r="Y244" s="183"/>
      <c r="Z244" s="180"/>
      <c r="AA244" s="180"/>
      <c r="AB244" s="182"/>
      <c r="AC244" s="212"/>
      <c r="AD244" s="180" t="s">
        <v>449</v>
      </c>
      <c r="AE244" s="180" t="s">
        <v>449</v>
      </c>
      <c r="AF244" s="180" t="s">
        <v>449</v>
      </c>
      <c r="AG244" s="180"/>
      <c r="AH244" s="180" t="s">
        <v>449</v>
      </c>
      <c r="AI244" s="180" t="s">
        <v>449</v>
      </c>
      <c r="AJ244" s="180" t="s">
        <v>449</v>
      </c>
      <c r="AK244" s="184" t="s">
        <v>449</v>
      </c>
      <c r="AL244" s="182" t="s">
        <v>449</v>
      </c>
      <c r="AM244" s="182" t="s">
        <v>449</v>
      </c>
      <c r="AN244" s="182" t="s">
        <v>449</v>
      </c>
      <c r="AO244" s="182"/>
      <c r="AP244" s="182"/>
    </row>
    <row r="245" spans="1:42" s="185" customFormat="1" hidden="1" x14ac:dyDescent="0.2">
      <c r="A245" s="180" t="s">
        <v>449</v>
      </c>
      <c r="B245" s="180" t="s">
        <v>449</v>
      </c>
      <c r="C245" s="180" t="s">
        <v>449</v>
      </c>
      <c r="D245" s="180" t="s">
        <v>449</v>
      </c>
      <c r="E245" s="180" t="s">
        <v>449</v>
      </c>
      <c r="F245" s="180" t="s">
        <v>449</v>
      </c>
      <c r="G245" s="180" t="s">
        <v>449</v>
      </c>
      <c r="H245" s="181" t="s">
        <v>449</v>
      </c>
      <c r="I245" s="180" t="e">
        <f t="shared" si="15"/>
        <v>#VALUE!</v>
      </c>
      <c r="J245" s="181" t="s">
        <v>449</v>
      </c>
      <c r="K245" s="180" t="e">
        <f t="shared" si="16"/>
        <v>#VALUE!</v>
      </c>
      <c r="L245" s="180"/>
      <c r="M245" s="180"/>
      <c r="N245" s="180"/>
      <c r="O245" s="180" t="s">
        <v>449</v>
      </c>
      <c r="P245" s="180" t="s">
        <v>449</v>
      </c>
      <c r="Q245" s="180"/>
      <c r="R245" s="182"/>
      <c r="S245" s="180"/>
      <c r="T245" s="180"/>
      <c r="U245" s="180"/>
      <c r="V245" s="180"/>
      <c r="W245" s="180"/>
      <c r="X245" s="180"/>
      <c r="Y245" s="183"/>
      <c r="Z245" s="180"/>
      <c r="AA245" s="180"/>
      <c r="AB245" s="182"/>
      <c r="AC245" s="212"/>
      <c r="AD245" s="180" t="s">
        <v>449</v>
      </c>
      <c r="AE245" s="180" t="s">
        <v>449</v>
      </c>
      <c r="AF245" s="180" t="s">
        <v>449</v>
      </c>
      <c r="AG245" s="180"/>
      <c r="AH245" s="180" t="s">
        <v>449</v>
      </c>
      <c r="AI245" s="180" t="s">
        <v>449</v>
      </c>
      <c r="AJ245" s="180" t="s">
        <v>449</v>
      </c>
      <c r="AK245" s="184" t="s">
        <v>449</v>
      </c>
      <c r="AL245" s="182" t="s">
        <v>449</v>
      </c>
      <c r="AM245" s="182" t="s">
        <v>449</v>
      </c>
      <c r="AN245" s="182" t="s">
        <v>449</v>
      </c>
      <c r="AO245" s="182"/>
      <c r="AP245" s="182"/>
    </row>
    <row r="246" spans="1:42" s="185" customFormat="1" hidden="1" x14ac:dyDescent="0.2">
      <c r="A246" s="180" t="s">
        <v>449</v>
      </c>
      <c r="B246" s="180" t="s">
        <v>449</v>
      </c>
      <c r="C246" s="180" t="s">
        <v>449</v>
      </c>
      <c r="D246" s="180" t="s">
        <v>449</v>
      </c>
      <c r="E246" s="180" t="s">
        <v>449</v>
      </c>
      <c r="F246" s="180" t="s">
        <v>449</v>
      </c>
      <c r="G246" s="180" t="s">
        <v>449</v>
      </c>
      <c r="H246" s="181" t="s">
        <v>449</v>
      </c>
      <c r="I246" s="180" t="e">
        <f t="shared" si="15"/>
        <v>#VALUE!</v>
      </c>
      <c r="J246" s="181" t="s">
        <v>449</v>
      </c>
      <c r="K246" s="180" t="e">
        <f t="shared" si="16"/>
        <v>#VALUE!</v>
      </c>
      <c r="L246" s="180"/>
      <c r="M246" s="180"/>
      <c r="N246" s="180"/>
      <c r="O246" s="180" t="s">
        <v>449</v>
      </c>
      <c r="P246" s="180" t="s">
        <v>449</v>
      </c>
      <c r="Q246" s="180"/>
      <c r="R246" s="182"/>
      <c r="S246" s="180"/>
      <c r="T246" s="180"/>
      <c r="U246" s="180"/>
      <c r="V246" s="180"/>
      <c r="W246" s="180"/>
      <c r="X246" s="180"/>
      <c r="Y246" s="183"/>
      <c r="Z246" s="180"/>
      <c r="AA246" s="180"/>
      <c r="AB246" s="182"/>
      <c r="AC246" s="212"/>
      <c r="AD246" s="180" t="s">
        <v>449</v>
      </c>
      <c r="AE246" s="180" t="s">
        <v>449</v>
      </c>
      <c r="AF246" s="180" t="s">
        <v>449</v>
      </c>
      <c r="AG246" s="180"/>
      <c r="AH246" s="180" t="s">
        <v>449</v>
      </c>
      <c r="AI246" s="180" t="s">
        <v>449</v>
      </c>
      <c r="AJ246" s="180" t="s">
        <v>449</v>
      </c>
      <c r="AK246" s="184" t="s">
        <v>449</v>
      </c>
      <c r="AL246" s="182" t="s">
        <v>449</v>
      </c>
      <c r="AM246" s="182" t="s">
        <v>449</v>
      </c>
      <c r="AN246" s="182" t="s">
        <v>449</v>
      </c>
      <c r="AO246" s="182"/>
      <c r="AP246" s="182"/>
    </row>
    <row r="247" spans="1:42" s="185" customFormat="1" hidden="1" x14ac:dyDescent="0.2">
      <c r="A247" s="180" t="s">
        <v>449</v>
      </c>
      <c r="B247" s="180" t="s">
        <v>449</v>
      </c>
      <c r="C247" s="180" t="s">
        <v>449</v>
      </c>
      <c r="D247" s="180" t="s">
        <v>449</v>
      </c>
      <c r="E247" s="180" t="s">
        <v>449</v>
      </c>
      <c r="F247" s="180" t="s">
        <v>449</v>
      </c>
      <c r="G247" s="180" t="s">
        <v>449</v>
      </c>
      <c r="H247" s="181" t="s">
        <v>449</v>
      </c>
      <c r="I247" s="180" t="e">
        <f t="shared" si="15"/>
        <v>#VALUE!</v>
      </c>
      <c r="J247" s="181" t="s">
        <v>449</v>
      </c>
      <c r="K247" s="180" t="e">
        <f t="shared" si="16"/>
        <v>#VALUE!</v>
      </c>
      <c r="L247" s="180"/>
      <c r="M247" s="180"/>
      <c r="N247" s="180"/>
      <c r="O247" s="180" t="s">
        <v>449</v>
      </c>
      <c r="P247" s="180" t="s">
        <v>449</v>
      </c>
      <c r="Q247" s="180"/>
      <c r="R247" s="182"/>
      <c r="S247" s="180"/>
      <c r="T247" s="180"/>
      <c r="U247" s="180"/>
      <c r="V247" s="180"/>
      <c r="W247" s="180"/>
      <c r="X247" s="180"/>
      <c r="Y247" s="183"/>
      <c r="Z247" s="180"/>
      <c r="AA247" s="180"/>
      <c r="AB247" s="182"/>
      <c r="AC247" s="212"/>
      <c r="AD247" s="180" t="s">
        <v>449</v>
      </c>
      <c r="AE247" s="180" t="s">
        <v>449</v>
      </c>
      <c r="AF247" s="180" t="s">
        <v>449</v>
      </c>
      <c r="AG247" s="180"/>
      <c r="AH247" s="180" t="s">
        <v>449</v>
      </c>
      <c r="AI247" s="180" t="s">
        <v>449</v>
      </c>
      <c r="AJ247" s="180" t="s">
        <v>449</v>
      </c>
      <c r="AK247" s="184" t="s">
        <v>449</v>
      </c>
      <c r="AL247" s="182" t="s">
        <v>449</v>
      </c>
      <c r="AM247" s="182" t="s">
        <v>449</v>
      </c>
      <c r="AN247" s="182" t="s">
        <v>449</v>
      </c>
      <c r="AO247" s="182"/>
      <c r="AP247" s="182"/>
    </row>
    <row r="248" spans="1:42" s="185" customFormat="1" hidden="1" x14ac:dyDescent="0.2">
      <c r="A248" s="180" t="s">
        <v>449</v>
      </c>
      <c r="B248" s="180" t="s">
        <v>449</v>
      </c>
      <c r="C248" s="180" t="s">
        <v>449</v>
      </c>
      <c r="D248" s="180" t="s">
        <v>449</v>
      </c>
      <c r="E248" s="180" t="s">
        <v>449</v>
      </c>
      <c r="F248" s="180" t="s">
        <v>449</v>
      </c>
      <c r="G248" s="180" t="s">
        <v>449</v>
      </c>
      <c r="H248" s="181" t="s">
        <v>449</v>
      </c>
      <c r="I248" s="180" t="e">
        <f t="shared" si="15"/>
        <v>#VALUE!</v>
      </c>
      <c r="J248" s="181" t="s">
        <v>449</v>
      </c>
      <c r="K248" s="180" t="e">
        <f t="shared" si="16"/>
        <v>#VALUE!</v>
      </c>
      <c r="L248" s="180"/>
      <c r="M248" s="180"/>
      <c r="N248" s="180"/>
      <c r="O248" s="180" t="s">
        <v>449</v>
      </c>
      <c r="P248" s="180" t="s">
        <v>449</v>
      </c>
      <c r="Q248" s="180"/>
      <c r="R248" s="182"/>
      <c r="S248" s="180"/>
      <c r="T248" s="180"/>
      <c r="U248" s="180"/>
      <c r="V248" s="180"/>
      <c r="W248" s="180"/>
      <c r="X248" s="180"/>
      <c r="Y248" s="183"/>
      <c r="Z248" s="180"/>
      <c r="AA248" s="180"/>
      <c r="AB248" s="182"/>
      <c r="AC248" s="212"/>
      <c r="AD248" s="180" t="s">
        <v>449</v>
      </c>
      <c r="AE248" s="180" t="s">
        <v>449</v>
      </c>
      <c r="AF248" s="180" t="s">
        <v>449</v>
      </c>
      <c r="AG248" s="180"/>
      <c r="AH248" s="180" t="s">
        <v>449</v>
      </c>
      <c r="AI248" s="180" t="s">
        <v>449</v>
      </c>
      <c r="AJ248" s="180" t="s">
        <v>449</v>
      </c>
      <c r="AK248" s="184" t="s">
        <v>449</v>
      </c>
      <c r="AL248" s="182" t="s">
        <v>449</v>
      </c>
      <c r="AM248" s="182" t="s">
        <v>449</v>
      </c>
      <c r="AN248" s="182" t="s">
        <v>449</v>
      </c>
      <c r="AO248" s="182"/>
      <c r="AP248" s="182"/>
    </row>
    <row r="249" spans="1:42" s="185" customFormat="1" hidden="1" x14ac:dyDescent="0.2">
      <c r="A249" s="180" t="s">
        <v>449</v>
      </c>
      <c r="B249" s="180" t="s">
        <v>449</v>
      </c>
      <c r="C249" s="180" t="s">
        <v>449</v>
      </c>
      <c r="D249" s="180" t="s">
        <v>449</v>
      </c>
      <c r="E249" s="180" t="s">
        <v>449</v>
      </c>
      <c r="F249" s="180" t="s">
        <v>449</v>
      </c>
      <c r="G249" s="180" t="s">
        <v>449</v>
      </c>
      <c r="H249" s="181" t="s">
        <v>449</v>
      </c>
      <c r="I249" s="180" t="e">
        <f t="shared" si="15"/>
        <v>#VALUE!</v>
      </c>
      <c r="J249" s="181" t="s">
        <v>449</v>
      </c>
      <c r="K249" s="180" t="e">
        <f t="shared" si="16"/>
        <v>#VALUE!</v>
      </c>
      <c r="L249" s="180"/>
      <c r="M249" s="180"/>
      <c r="N249" s="180"/>
      <c r="O249" s="180" t="s">
        <v>449</v>
      </c>
      <c r="P249" s="180" t="s">
        <v>449</v>
      </c>
      <c r="Q249" s="180"/>
      <c r="R249" s="182"/>
      <c r="S249" s="180"/>
      <c r="T249" s="180"/>
      <c r="U249" s="180"/>
      <c r="V249" s="180"/>
      <c r="W249" s="180"/>
      <c r="X249" s="180"/>
      <c r="Y249" s="183"/>
      <c r="Z249" s="180"/>
      <c r="AA249" s="180"/>
      <c r="AB249" s="182"/>
      <c r="AC249" s="212"/>
      <c r="AD249" s="180" t="s">
        <v>449</v>
      </c>
      <c r="AE249" s="180" t="s">
        <v>449</v>
      </c>
      <c r="AF249" s="180" t="s">
        <v>449</v>
      </c>
      <c r="AG249" s="180"/>
      <c r="AH249" s="180" t="s">
        <v>449</v>
      </c>
      <c r="AI249" s="180" t="s">
        <v>449</v>
      </c>
      <c r="AJ249" s="180" t="s">
        <v>449</v>
      </c>
      <c r="AK249" s="184" t="s">
        <v>449</v>
      </c>
      <c r="AL249" s="182" t="s">
        <v>449</v>
      </c>
      <c r="AM249" s="182" t="s">
        <v>449</v>
      </c>
      <c r="AN249" s="182" t="s">
        <v>449</v>
      </c>
      <c r="AO249" s="182"/>
      <c r="AP249" s="182"/>
    </row>
    <row r="250" spans="1:42" s="185" customFormat="1" hidden="1" x14ac:dyDescent="0.2">
      <c r="A250" s="180" t="s">
        <v>449</v>
      </c>
      <c r="B250" s="180" t="s">
        <v>449</v>
      </c>
      <c r="C250" s="180" t="s">
        <v>449</v>
      </c>
      <c r="D250" s="180" t="s">
        <v>449</v>
      </c>
      <c r="E250" s="180" t="s">
        <v>449</v>
      </c>
      <c r="F250" s="180" t="s">
        <v>449</v>
      </c>
      <c r="G250" s="180" t="s">
        <v>449</v>
      </c>
      <c r="H250" s="181" t="s">
        <v>449</v>
      </c>
      <c r="I250" s="180" t="e">
        <f t="shared" si="15"/>
        <v>#VALUE!</v>
      </c>
      <c r="J250" s="181" t="s">
        <v>449</v>
      </c>
      <c r="K250" s="180" t="e">
        <f t="shared" si="16"/>
        <v>#VALUE!</v>
      </c>
      <c r="L250" s="180"/>
      <c r="M250" s="180"/>
      <c r="N250" s="180"/>
      <c r="O250" s="180" t="s">
        <v>449</v>
      </c>
      <c r="P250" s="180" t="s">
        <v>449</v>
      </c>
      <c r="Q250" s="180"/>
      <c r="R250" s="182"/>
      <c r="S250" s="180"/>
      <c r="T250" s="180"/>
      <c r="U250" s="180"/>
      <c r="V250" s="180"/>
      <c r="W250" s="180"/>
      <c r="X250" s="180"/>
      <c r="Y250" s="183"/>
      <c r="Z250" s="180"/>
      <c r="AA250" s="180"/>
      <c r="AB250" s="182"/>
      <c r="AC250" s="212"/>
      <c r="AD250" s="180" t="s">
        <v>449</v>
      </c>
      <c r="AE250" s="180" t="s">
        <v>449</v>
      </c>
      <c r="AF250" s="180" t="s">
        <v>449</v>
      </c>
      <c r="AG250" s="180"/>
      <c r="AH250" s="180" t="s">
        <v>449</v>
      </c>
      <c r="AI250" s="180" t="s">
        <v>449</v>
      </c>
      <c r="AJ250" s="180" t="s">
        <v>449</v>
      </c>
      <c r="AK250" s="184" t="s">
        <v>449</v>
      </c>
      <c r="AL250" s="182" t="s">
        <v>449</v>
      </c>
      <c r="AM250" s="182" t="s">
        <v>449</v>
      </c>
      <c r="AN250" s="182" t="s">
        <v>449</v>
      </c>
      <c r="AO250" s="182"/>
      <c r="AP250" s="182"/>
    </row>
    <row r="251" spans="1:42" s="185" customFormat="1" hidden="1" x14ac:dyDescent="0.2">
      <c r="A251" s="180" t="s">
        <v>449</v>
      </c>
      <c r="B251" s="180" t="s">
        <v>449</v>
      </c>
      <c r="C251" s="180" t="s">
        <v>449</v>
      </c>
      <c r="D251" s="180" t="s">
        <v>449</v>
      </c>
      <c r="E251" s="180" t="s">
        <v>449</v>
      </c>
      <c r="F251" s="180" t="s">
        <v>449</v>
      </c>
      <c r="G251" s="180" t="s">
        <v>449</v>
      </c>
      <c r="H251" s="181" t="s">
        <v>449</v>
      </c>
      <c r="I251" s="180" t="e">
        <f t="shared" ref="I251:I282" si="17">DATEDIF(H251,J251,"m")</f>
        <v>#VALUE!</v>
      </c>
      <c r="J251" s="181" t="s">
        <v>449</v>
      </c>
      <c r="K251" s="180" t="e">
        <f t="shared" ref="K251:K282" si="18">IF(I251&lt;=18,"NUEVO",IF(I251&lt;=36,"INTERMEDIO","ANTIGUO"))</f>
        <v>#VALUE!</v>
      </c>
      <c r="L251" s="180"/>
      <c r="M251" s="180"/>
      <c r="N251" s="180"/>
      <c r="O251" s="180" t="s">
        <v>449</v>
      </c>
      <c r="P251" s="180" t="s">
        <v>449</v>
      </c>
      <c r="Q251" s="180"/>
      <c r="R251" s="182"/>
      <c r="S251" s="180"/>
      <c r="T251" s="180"/>
      <c r="U251" s="180"/>
      <c r="V251" s="180"/>
      <c r="W251" s="180"/>
      <c r="X251" s="180"/>
      <c r="Y251" s="183"/>
      <c r="Z251" s="180"/>
      <c r="AA251" s="180"/>
      <c r="AB251" s="182"/>
      <c r="AC251" s="212"/>
      <c r="AD251" s="180" t="s">
        <v>449</v>
      </c>
      <c r="AE251" s="180" t="s">
        <v>449</v>
      </c>
      <c r="AF251" s="180" t="s">
        <v>449</v>
      </c>
      <c r="AG251" s="180"/>
      <c r="AH251" s="180" t="s">
        <v>449</v>
      </c>
      <c r="AI251" s="180" t="s">
        <v>449</v>
      </c>
      <c r="AJ251" s="180" t="s">
        <v>449</v>
      </c>
      <c r="AK251" s="184" t="s">
        <v>449</v>
      </c>
      <c r="AL251" s="182" t="s">
        <v>449</v>
      </c>
      <c r="AM251" s="182" t="s">
        <v>449</v>
      </c>
      <c r="AN251" s="182" t="s">
        <v>449</v>
      </c>
      <c r="AO251" s="182"/>
      <c r="AP251" s="182"/>
    </row>
    <row r="252" spans="1:42" s="185" customFormat="1" hidden="1" x14ac:dyDescent="0.2">
      <c r="A252" s="180" t="s">
        <v>449</v>
      </c>
      <c r="B252" s="180" t="s">
        <v>449</v>
      </c>
      <c r="C252" s="180" t="s">
        <v>449</v>
      </c>
      <c r="D252" s="180" t="s">
        <v>449</v>
      </c>
      <c r="E252" s="180" t="s">
        <v>449</v>
      </c>
      <c r="F252" s="180" t="s">
        <v>449</v>
      </c>
      <c r="G252" s="180" t="s">
        <v>449</v>
      </c>
      <c r="H252" s="181" t="s">
        <v>449</v>
      </c>
      <c r="I252" s="180" t="e">
        <f t="shared" si="17"/>
        <v>#VALUE!</v>
      </c>
      <c r="J252" s="181" t="s">
        <v>449</v>
      </c>
      <c r="K252" s="180" t="e">
        <f t="shared" si="18"/>
        <v>#VALUE!</v>
      </c>
      <c r="L252" s="180"/>
      <c r="M252" s="180"/>
      <c r="N252" s="180"/>
      <c r="O252" s="180" t="s">
        <v>449</v>
      </c>
      <c r="P252" s="180" t="s">
        <v>449</v>
      </c>
      <c r="Q252" s="180"/>
      <c r="R252" s="182"/>
      <c r="S252" s="180"/>
      <c r="T252" s="180"/>
      <c r="U252" s="180"/>
      <c r="V252" s="180"/>
      <c r="W252" s="180"/>
      <c r="X252" s="180"/>
      <c r="Y252" s="183"/>
      <c r="Z252" s="180"/>
      <c r="AA252" s="180"/>
      <c r="AB252" s="182"/>
      <c r="AC252" s="212"/>
      <c r="AD252" s="180" t="s">
        <v>449</v>
      </c>
      <c r="AE252" s="180" t="s">
        <v>449</v>
      </c>
      <c r="AF252" s="180" t="s">
        <v>449</v>
      </c>
      <c r="AG252" s="180"/>
      <c r="AH252" s="180" t="s">
        <v>449</v>
      </c>
      <c r="AI252" s="180" t="s">
        <v>449</v>
      </c>
      <c r="AJ252" s="180" t="s">
        <v>449</v>
      </c>
      <c r="AK252" s="184" t="s">
        <v>449</v>
      </c>
      <c r="AL252" s="182" t="s">
        <v>449</v>
      </c>
      <c r="AM252" s="182" t="s">
        <v>449</v>
      </c>
      <c r="AN252" s="182" t="s">
        <v>449</v>
      </c>
      <c r="AO252" s="182"/>
      <c r="AP252" s="182"/>
    </row>
    <row r="253" spans="1:42" s="185" customFormat="1" hidden="1" x14ac:dyDescent="0.2">
      <c r="A253" s="180" t="s">
        <v>449</v>
      </c>
      <c r="B253" s="180" t="s">
        <v>449</v>
      </c>
      <c r="C253" s="180" t="s">
        <v>449</v>
      </c>
      <c r="D253" s="180" t="s">
        <v>449</v>
      </c>
      <c r="E253" s="180" t="s">
        <v>449</v>
      </c>
      <c r="F253" s="180" t="s">
        <v>449</v>
      </c>
      <c r="G253" s="180" t="s">
        <v>449</v>
      </c>
      <c r="H253" s="181" t="s">
        <v>449</v>
      </c>
      <c r="I253" s="180" t="e">
        <f t="shared" si="17"/>
        <v>#VALUE!</v>
      </c>
      <c r="J253" s="181" t="s">
        <v>449</v>
      </c>
      <c r="K253" s="180" t="e">
        <f t="shared" si="18"/>
        <v>#VALUE!</v>
      </c>
      <c r="L253" s="180"/>
      <c r="M253" s="180"/>
      <c r="N253" s="180"/>
      <c r="O253" s="180" t="s">
        <v>449</v>
      </c>
      <c r="P253" s="180" t="s">
        <v>449</v>
      </c>
      <c r="Q253" s="180"/>
      <c r="R253" s="182"/>
      <c r="S253" s="180"/>
      <c r="T253" s="180"/>
      <c r="U253" s="180"/>
      <c r="V253" s="180"/>
      <c r="W253" s="180"/>
      <c r="X253" s="180"/>
      <c r="Y253" s="183"/>
      <c r="Z253" s="180"/>
      <c r="AA253" s="180"/>
      <c r="AB253" s="182"/>
      <c r="AC253" s="212"/>
      <c r="AD253" s="180" t="s">
        <v>449</v>
      </c>
      <c r="AE253" s="180" t="s">
        <v>449</v>
      </c>
      <c r="AF253" s="180" t="s">
        <v>449</v>
      </c>
      <c r="AG253" s="180"/>
      <c r="AH253" s="180" t="s">
        <v>449</v>
      </c>
      <c r="AI253" s="180" t="s">
        <v>449</v>
      </c>
      <c r="AJ253" s="180" t="s">
        <v>449</v>
      </c>
      <c r="AK253" s="184" t="s">
        <v>449</v>
      </c>
      <c r="AL253" s="182" t="s">
        <v>449</v>
      </c>
      <c r="AM253" s="182" t="s">
        <v>449</v>
      </c>
      <c r="AN253" s="182" t="s">
        <v>449</v>
      </c>
      <c r="AO253" s="182"/>
      <c r="AP253" s="182"/>
    </row>
    <row r="254" spans="1:42" s="185" customFormat="1" hidden="1" x14ac:dyDescent="0.2">
      <c r="A254" s="180" t="s">
        <v>449</v>
      </c>
      <c r="B254" s="180" t="s">
        <v>449</v>
      </c>
      <c r="C254" s="180" t="s">
        <v>449</v>
      </c>
      <c r="D254" s="180" t="s">
        <v>449</v>
      </c>
      <c r="E254" s="180" t="s">
        <v>449</v>
      </c>
      <c r="F254" s="180" t="s">
        <v>449</v>
      </c>
      <c r="G254" s="180" t="s">
        <v>449</v>
      </c>
      <c r="H254" s="181" t="s">
        <v>449</v>
      </c>
      <c r="I254" s="180" t="e">
        <f t="shared" si="17"/>
        <v>#VALUE!</v>
      </c>
      <c r="J254" s="181" t="s">
        <v>449</v>
      </c>
      <c r="K254" s="180" t="e">
        <f t="shared" si="18"/>
        <v>#VALUE!</v>
      </c>
      <c r="L254" s="180"/>
      <c r="M254" s="180"/>
      <c r="N254" s="180"/>
      <c r="O254" s="180" t="s">
        <v>449</v>
      </c>
      <c r="P254" s="180" t="s">
        <v>449</v>
      </c>
      <c r="Q254" s="180"/>
      <c r="R254" s="182"/>
      <c r="S254" s="180"/>
      <c r="T254" s="180"/>
      <c r="U254" s="180"/>
      <c r="V254" s="180"/>
      <c r="W254" s="180"/>
      <c r="X254" s="180"/>
      <c r="Y254" s="183"/>
      <c r="Z254" s="180"/>
      <c r="AA254" s="180"/>
      <c r="AB254" s="182"/>
      <c r="AC254" s="212"/>
      <c r="AD254" s="180" t="s">
        <v>449</v>
      </c>
      <c r="AE254" s="180" t="s">
        <v>449</v>
      </c>
      <c r="AF254" s="180" t="s">
        <v>449</v>
      </c>
      <c r="AG254" s="180"/>
      <c r="AH254" s="180" t="s">
        <v>449</v>
      </c>
      <c r="AI254" s="180" t="s">
        <v>449</v>
      </c>
      <c r="AJ254" s="180" t="s">
        <v>449</v>
      </c>
      <c r="AK254" s="184" t="s">
        <v>449</v>
      </c>
      <c r="AL254" s="182" t="s">
        <v>449</v>
      </c>
      <c r="AM254" s="182" t="s">
        <v>449</v>
      </c>
      <c r="AN254" s="182" t="s">
        <v>449</v>
      </c>
      <c r="AO254" s="182"/>
      <c r="AP254" s="182"/>
    </row>
    <row r="255" spans="1:42" s="185" customFormat="1" hidden="1" x14ac:dyDescent="0.2">
      <c r="A255" s="180" t="s">
        <v>449</v>
      </c>
      <c r="B255" s="180" t="s">
        <v>449</v>
      </c>
      <c r="C255" s="180" t="s">
        <v>449</v>
      </c>
      <c r="D255" s="180" t="s">
        <v>449</v>
      </c>
      <c r="E255" s="180" t="s">
        <v>449</v>
      </c>
      <c r="F255" s="180" t="s">
        <v>449</v>
      </c>
      <c r="G255" s="180" t="s">
        <v>449</v>
      </c>
      <c r="H255" s="181" t="s">
        <v>449</v>
      </c>
      <c r="I255" s="180" t="e">
        <f t="shared" si="17"/>
        <v>#VALUE!</v>
      </c>
      <c r="J255" s="181" t="s">
        <v>449</v>
      </c>
      <c r="K255" s="180" t="e">
        <f t="shared" si="18"/>
        <v>#VALUE!</v>
      </c>
      <c r="L255" s="180"/>
      <c r="M255" s="180"/>
      <c r="N255" s="180"/>
      <c r="O255" s="180" t="s">
        <v>449</v>
      </c>
      <c r="P255" s="180" t="s">
        <v>449</v>
      </c>
      <c r="Q255" s="180"/>
      <c r="R255" s="182"/>
      <c r="S255" s="180"/>
      <c r="T255" s="180"/>
      <c r="U255" s="180"/>
      <c r="V255" s="180"/>
      <c r="W255" s="180"/>
      <c r="X255" s="180"/>
      <c r="Y255" s="183"/>
      <c r="Z255" s="180"/>
      <c r="AA255" s="180"/>
      <c r="AB255" s="182"/>
      <c r="AC255" s="212"/>
      <c r="AD255" s="180" t="s">
        <v>449</v>
      </c>
      <c r="AE255" s="180" t="s">
        <v>449</v>
      </c>
      <c r="AF255" s="180" t="s">
        <v>449</v>
      </c>
      <c r="AG255" s="180"/>
      <c r="AH255" s="180" t="s">
        <v>449</v>
      </c>
      <c r="AI255" s="180" t="s">
        <v>449</v>
      </c>
      <c r="AJ255" s="180" t="s">
        <v>449</v>
      </c>
      <c r="AK255" s="184" t="s">
        <v>449</v>
      </c>
      <c r="AL255" s="182" t="s">
        <v>449</v>
      </c>
      <c r="AM255" s="182" t="s">
        <v>449</v>
      </c>
      <c r="AN255" s="182" t="s">
        <v>449</v>
      </c>
      <c r="AO255" s="182"/>
      <c r="AP255" s="182"/>
    </row>
    <row r="256" spans="1:42" s="185" customFormat="1" hidden="1" x14ac:dyDescent="0.2">
      <c r="A256" s="180" t="s">
        <v>449</v>
      </c>
      <c r="B256" s="180" t="s">
        <v>449</v>
      </c>
      <c r="C256" s="180" t="s">
        <v>449</v>
      </c>
      <c r="D256" s="180" t="s">
        <v>449</v>
      </c>
      <c r="E256" s="180" t="s">
        <v>449</v>
      </c>
      <c r="F256" s="180" t="s">
        <v>449</v>
      </c>
      <c r="G256" s="180" t="s">
        <v>449</v>
      </c>
      <c r="H256" s="181" t="s">
        <v>449</v>
      </c>
      <c r="I256" s="180" t="e">
        <f t="shared" si="17"/>
        <v>#VALUE!</v>
      </c>
      <c r="J256" s="181" t="s">
        <v>449</v>
      </c>
      <c r="K256" s="180" t="e">
        <f t="shared" si="18"/>
        <v>#VALUE!</v>
      </c>
      <c r="L256" s="180"/>
      <c r="M256" s="180"/>
      <c r="N256" s="180"/>
      <c r="O256" s="180" t="s">
        <v>449</v>
      </c>
      <c r="P256" s="180" t="s">
        <v>449</v>
      </c>
      <c r="Q256" s="180"/>
      <c r="R256" s="182"/>
      <c r="S256" s="180"/>
      <c r="T256" s="180"/>
      <c r="U256" s="180"/>
      <c r="V256" s="180"/>
      <c r="W256" s="180"/>
      <c r="X256" s="180"/>
      <c r="Y256" s="183"/>
      <c r="Z256" s="180"/>
      <c r="AA256" s="180"/>
      <c r="AB256" s="182"/>
      <c r="AC256" s="212"/>
      <c r="AD256" s="180" t="s">
        <v>449</v>
      </c>
      <c r="AE256" s="180" t="s">
        <v>449</v>
      </c>
      <c r="AF256" s="180" t="s">
        <v>449</v>
      </c>
      <c r="AG256" s="180"/>
      <c r="AH256" s="180" t="s">
        <v>449</v>
      </c>
      <c r="AI256" s="180" t="s">
        <v>449</v>
      </c>
      <c r="AJ256" s="180" t="s">
        <v>449</v>
      </c>
      <c r="AK256" s="184" t="s">
        <v>449</v>
      </c>
      <c r="AL256" s="182" t="s">
        <v>449</v>
      </c>
      <c r="AM256" s="182" t="s">
        <v>449</v>
      </c>
      <c r="AN256" s="182" t="s">
        <v>449</v>
      </c>
      <c r="AO256" s="182"/>
      <c r="AP256" s="182"/>
    </row>
    <row r="257" spans="1:42" s="185" customFormat="1" hidden="1" x14ac:dyDescent="0.2">
      <c r="A257" s="180" t="s">
        <v>449</v>
      </c>
      <c r="B257" s="180" t="s">
        <v>449</v>
      </c>
      <c r="C257" s="180" t="s">
        <v>449</v>
      </c>
      <c r="D257" s="180" t="s">
        <v>449</v>
      </c>
      <c r="E257" s="180" t="s">
        <v>449</v>
      </c>
      <c r="F257" s="180" t="s">
        <v>449</v>
      </c>
      <c r="G257" s="180" t="s">
        <v>449</v>
      </c>
      <c r="H257" s="181" t="s">
        <v>449</v>
      </c>
      <c r="I257" s="180" t="e">
        <f t="shared" si="17"/>
        <v>#VALUE!</v>
      </c>
      <c r="J257" s="181" t="s">
        <v>449</v>
      </c>
      <c r="K257" s="180" t="e">
        <f t="shared" si="18"/>
        <v>#VALUE!</v>
      </c>
      <c r="L257" s="180"/>
      <c r="M257" s="180"/>
      <c r="N257" s="180"/>
      <c r="O257" s="180" t="s">
        <v>449</v>
      </c>
      <c r="P257" s="180" t="s">
        <v>449</v>
      </c>
      <c r="Q257" s="180"/>
      <c r="R257" s="182"/>
      <c r="S257" s="180"/>
      <c r="T257" s="180"/>
      <c r="U257" s="180"/>
      <c r="V257" s="180"/>
      <c r="W257" s="180"/>
      <c r="X257" s="180"/>
      <c r="Y257" s="183"/>
      <c r="Z257" s="180"/>
      <c r="AA257" s="180"/>
      <c r="AB257" s="182"/>
      <c r="AC257" s="212"/>
      <c r="AD257" s="180" t="s">
        <v>449</v>
      </c>
      <c r="AE257" s="180" t="s">
        <v>449</v>
      </c>
      <c r="AF257" s="180" t="s">
        <v>449</v>
      </c>
      <c r="AG257" s="180"/>
      <c r="AH257" s="180" t="s">
        <v>449</v>
      </c>
      <c r="AI257" s="180" t="s">
        <v>449</v>
      </c>
      <c r="AJ257" s="180" t="s">
        <v>449</v>
      </c>
      <c r="AK257" s="184" t="s">
        <v>449</v>
      </c>
      <c r="AL257" s="182" t="s">
        <v>449</v>
      </c>
      <c r="AM257" s="182" t="s">
        <v>449</v>
      </c>
      <c r="AN257" s="182" t="s">
        <v>449</v>
      </c>
      <c r="AO257" s="182"/>
      <c r="AP257" s="182"/>
    </row>
    <row r="258" spans="1:42" s="185" customFormat="1" hidden="1" x14ac:dyDescent="0.2">
      <c r="A258" s="180" t="s">
        <v>449</v>
      </c>
      <c r="B258" s="180" t="s">
        <v>449</v>
      </c>
      <c r="C258" s="180" t="s">
        <v>449</v>
      </c>
      <c r="D258" s="180" t="s">
        <v>449</v>
      </c>
      <c r="E258" s="180" t="s">
        <v>449</v>
      </c>
      <c r="F258" s="180" t="s">
        <v>449</v>
      </c>
      <c r="G258" s="180" t="s">
        <v>449</v>
      </c>
      <c r="H258" s="181" t="s">
        <v>449</v>
      </c>
      <c r="I258" s="180" t="e">
        <f t="shared" si="17"/>
        <v>#VALUE!</v>
      </c>
      <c r="J258" s="181" t="s">
        <v>449</v>
      </c>
      <c r="K258" s="180" t="e">
        <f t="shared" si="18"/>
        <v>#VALUE!</v>
      </c>
      <c r="L258" s="180"/>
      <c r="M258" s="180"/>
      <c r="N258" s="180"/>
      <c r="O258" s="180" t="s">
        <v>449</v>
      </c>
      <c r="P258" s="180" t="s">
        <v>449</v>
      </c>
      <c r="Q258" s="180"/>
      <c r="R258" s="182"/>
      <c r="S258" s="180"/>
      <c r="T258" s="180"/>
      <c r="U258" s="180"/>
      <c r="V258" s="180"/>
      <c r="W258" s="180"/>
      <c r="X258" s="180"/>
      <c r="Y258" s="183"/>
      <c r="Z258" s="180"/>
      <c r="AA258" s="180"/>
      <c r="AB258" s="182"/>
      <c r="AC258" s="212"/>
      <c r="AD258" s="180" t="s">
        <v>449</v>
      </c>
      <c r="AE258" s="180" t="s">
        <v>449</v>
      </c>
      <c r="AF258" s="180" t="s">
        <v>449</v>
      </c>
      <c r="AG258" s="180"/>
      <c r="AH258" s="180" t="s">
        <v>449</v>
      </c>
      <c r="AI258" s="180" t="s">
        <v>449</v>
      </c>
      <c r="AJ258" s="180" t="s">
        <v>449</v>
      </c>
      <c r="AK258" s="184" t="s">
        <v>449</v>
      </c>
      <c r="AL258" s="182" t="s">
        <v>449</v>
      </c>
      <c r="AM258" s="182" t="s">
        <v>449</v>
      </c>
      <c r="AN258" s="182" t="s">
        <v>449</v>
      </c>
      <c r="AO258" s="182"/>
      <c r="AP258" s="182"/>
    </row>
    <row r="259" spans="1:42" s="185" customFormat="1" hidden="1" x14ac:dyDescent="0.2">
      <c r="A259" s="180" t="s">
        <v>449</v>
      </c>
      <c r="B259" s="180" t="s">
        <v>449</v>
      </c>
      <c r="C259" s="180" t="s">
        <v>449</v>
      </c>
      <c r="D259" s="180" t="s">
        <v>449</v>
      </c>
      <c r="E259" s="180" t="s">
        <v>449</v>
      </c>
      <c r="F259" s="180" t="s">
        <v>449</v>
      </c>
      <c r="G259" s="180" t="s">
        <v>449</v>
      </c>
      <c r="H259" s="181" t="s">
        <v>449</v>
      </c>
      <c r="I259" s="180" t="e">
        <f t="shared" si="17"/>
        <v>#VALUE!</v>
      </c>
      <c r="J259" s="181" t="s">
        <v>449</v>
      </c>
      <c r="K259" s="180" t="e">
        <f t="shared" si="18"/>
        <v>#VALUE!</v>
      </c>
      <c r="L259" s="180"/>
      <c r="M259" s="180"/>
      <c r="N259" s="180"/>
      <c r="O259" s="180" t="s">
        <v>449</v>
      </c>
      <c r="P259" s="180" t="s">
        <v>449</v>
      </c>
      <c r="Q259" s="180"/>
      <c r="R259" s="182"/>
      <c r="S259" s="180"/>
      <c r="T259" s="180"/>
      <c r="U259" s="180"/>
      <c r="V259" s="180"/>
      <c r="W259" s="180"/>
      <c r="X259" s="180"/>
      <c r="Y259" s="183"/>
      <c r="Z259" s="180"/>
      <c r="AA259" s="180"/>
      <c r="AB259" s="182"/>
      <c r="AC259" s="212"/>
      <c r="AD259" s="180" t="s">
        <v>449</v>
      </c>
      <c r="AE259" s="180" t="s">
        <v>449</v>
      </c>
      <c r="AF259" s="180" t="s">
        <v>449</v>
      </c>
      <c r="AG259" s="180"/>
      <c r="AH259" s="180" t="s">
        <v>449</v>
      </c>
      <c r="AI259" s="180" t="s">
        <v>449</v>
      </c>
      <c r="AJ259" s="180" t="s">
        <v>449</v>
      </c>
      <c r="AK259" s="184" t="s">
        <v>449</v>
      </c>
      <c r="AL259" s="182" t="s">
        <v>449</v>
      </c>
      <c r="AM259" s="182" t="s">
        <v>449</v>
      </c>
      <c r="AN259" s="182" t="s">
        <v>449</v>
      </c>
      <c r="AO259" s="182"/>
      <c r="AP259" s="182"/>
    </row>
    <row r="260" spans="1:42" s="185" customFormat="1" hidden="1" x14ac:dyDescent="0.2">
      <c r="A260" s="180" t="s">
        <v>449</v>
      </c>
      <c r="B260" s="180" t="s">
        <v>449</v>
      </c>
      <c r="C260" s="180" t="s">
        <v>449</v>
      </c>
      <c r="D260" s="180" t="s">
        <v>449</v>
      </c>
      <c r="E260" s="180" t="s">
        <v>449</v>
      </c>
      <c r="F260" s="180" t="s">
        <v>449</v>
      </c>
      <c r="G260" s="180" t="s">
        <v>449</v>
      </c>
      <c r="H260" s="181" t="s">
        <v>449</v>
      </c>
      <c r="I260" s="180" t="e">
        <f t="shared" si="17"/>
        <v>#VALUE!</v>
      </c>
      <c r="J260" s="181" t="s">
        <v>449</v>
      </c>
      <c r="K260" s="180" t="e">
        <f t="shared" si="18"/>
        <v>#VALUE!</v>
      </c>
      <c r="L260" s="180"/>
      <c r="M260" s="180"/>
      <c r="N260" s="180"/>
      <c r="O260" s="180" t="s">
        <v>449</v>
      </c>
      <c r="P260" s="180" t="s">
        <v>449</v>
      </c>
      <c r="Q260" s="180"/>
      <c r="R260" s="182"/>
      <c r="S260" s="180"/>
      <c r="T260" s="180"/>
      <c r="U260" s="180"/>
      <c r="V260" s="180"/>
      <c r="W260" s="180"/>
      <c r="X260" s="180"/>
      <c r="Y260" s="183"/>
      <c r="Z260" s="180"/>
      <c r="AA260" s="180"/>
      <c r="AB260" s="182"/>
      <c r="AC260" s="212"/>
      <c r="AD260" s="180" t="s">
        <v>449</v>
      </c>
      <c r="AE260" s="180" t="s">
        <v>449</v>
      </c>
      <c r="AF260" s="180" t="s">
        <v>449</v>
      </c>
      <c r="AG260" s="180"/>
      <c r="AH260" s="180" t="s">
        <v>449</v>
      </c>
      <c r="AI260" s="180" t="s">
        <v>449</v>
      </c>
      <c r="AJ260" s="180" t="s">
        <v>449</v>
      </c>
      <c r="AK260" s="184" t="s">
        <v>449</v>
      </c>
      <c r="AL260" s="182" t="s">
        <v>449</v>
      </c>
      <c r="AM260" s="182" t="s">
        <v>449</v>
      </c>
      <c r="AN260" s="182" t="s">
        <v>449</v>
      </c>
      <c r="AO260" s="182"/>
      <c r="AP260" s="182"/>
    </row>
    <row r="261" spans="1:42" s="185" customFormat="1" hidden="1" x14ac:dyDescent="0.2">
      <c r="A261" s="180" t="s">
        <v>449</v>
      </c>
      <c r="B261" s="180" t="s">
        <v>449</v>
      </c>
      <c r="C261" s="180" t="s">
        <v>449</v>
      </c>
      <c r="D261" s="180" t="s">
        <v>449</v>
      </c>
      <c r="E261" s="180" t="s">
        <v>449</v>
      </c>
      <c r="F261" s="180" t="s">
        <v>449</v>
      </c>
      <c r="G261" s="180" t="s">
        <v>449</v>
      </c>
      <c r="H261" s="181" t="s">
        <v>449</v>
      </c>
      <c r="I261" s="180" t="e">
        <f t="shared" si="17"/>
        <v>#VALUE!</v>
      </c>
      <c r="J261" s="181" t="s">
        <v>449</v>
      </c>
      <c r="K261" s="180" t="e">
        <f t="shared" si="18"/>
        <v>#VALUE!</v>
      </c>
      <c r="L261" s="180"/>
      <c r="M261" s="180"/>
      <c r="N261" s="180"/>
      <c r="O261" s="180" t="s">
        <v>449</v>
      </c>
      <c r="P261" s="180" t="s">
        <v>449</v>
      </c>
      <c r="Q261" s="180"/>
      <c r="R261" s="182"/>
      <c r="S261" s="180"/>
      <c r="T261" s="180"/>
      <c r="U261" s="180"/>
      <c r="V261" s="180"/>
      <c r="W261" s="180"/>
      <c r="X261" s="180"/>
      <c r="Y261" s="183"/>
      <c r="Z261" s="180"/>
      <c r="AA261" s="180"/>
      <c r="AB261" s="182"/>
      <c r="AC261" s="212"/>
      <c r="AD261" s="180" t="s">
        <v>449</v>
      </c>
      <c r="AE261" s="180" t="s">
        <v>449</v>
      </c>
      <c r="AF261" s="180" t="s">
        <v>449</v>
      </c>
      <c r="AG261" s="180"/>
      <c r="AH261" s="180" t="s">
        <v>449</v>
      </c>
      <c r="AI261" s="180" t="s">
        <v>449</v>
      </c>
      <c r="AJ261" s="180" t="s">
        <v>449</v>
      </c>
      <c r="AK261" s="184" t="s">
        <v>449</v>
      </c>
      <c r="AL261" s="182" t="s">
        <v>449</v>
      </c>
      <c r="AM261" s="182" t="s">
        <v>449</v>
      </c>
      <c r="AN261" s="182" t="s">
        <v>449</v>
      </c>
      <c r="AO261" s="182"/>
      <c r="AP261" s="182"/>
    </row>
    <row r="262" spans="1:42" s="185" customFormat="1" hidden="1" x14ac:dyDescent="0.2">
      <c r="A262" s="180" t="s">
        <v>449</v>
      </c>
      <c r="B262" s="180" t="s">
        <v>449</v>
      </c>
      <c r="C262" s="180" t="s">
        <v>449</v>
      </c>
      <c r="D262" s="180" t="s">
        <v>449</v>
      </c>
      <c r="E262" s="180" t="s">
        <v>449</v>
      </c>
      <c r="F262" s="180" t="s">
        <v>449</v>
      </c>
      <c r="G262" s="180" t="s">
        <v>449</v>
      </c>
      <c r="H262" s="181" t="s">
        <v>449</v>
      </c>
      <c r="I262" s="180" t="e">
        <f t="shared" si="17"/>
        <v>#VALUE!</v>
      </c>
      <c r="J262" s="181" t="s">
        <v>449</v>
      </c>
      <c r="K262" s="180" t="e">
        <f t="shared" si="18"/>
        <v>#VALUE!</v>
      </c>
      <c r="L262" s="180"/>
      <c r="M262" s="180"/>
      <c r="N262" s="180"/>
      <c r="O262" s="180" t="s">
        <v>449</v>
      </c>
      <c r="P262" s="180" t="s">
        <v>449</v>
      </c>
      <c r="Q262" s="180"/>
      <c r="R262" s="182"/>
      <c r="S262" s="180"/>
      <c r="T262" s="180"/>
      <c r="U262" s="180"/>
      <c r="V262" s="180"/>
      <c r="W262" s="180"/>
      <c r="X262" s="180"/>
      <c r="Y262" s="183"/>
      <c r="Z262" s="180"/>
      <c r="AA262" s="180"/>
      <c r="AB262" s="182"/>
      <c r="AC262" s="212"/>
      <c r="AD262" s="180" t="s">
        <v>449</v>
      </c>
      <c r="AE262" s="180" t="s">
        <v>449</v>
      </c>
      <c r="AF262" s="180" t="s">
        <v>449</v>
      </c>
      <c r="AG262" s="180"/>
      <c r="AH262" s="180" t="s">
        <v>449</v>
      </c>
      <c r="AI262" s="180" t="s">
        <v>449</v>
      </c>
      <c r="AJ262" s="180" t="s">
        <v>449</v>
      </c>
      <c r="AK262" s="184" t="s">
        <v>449</v>
      </c>
      <c r="AL262" s="182" t="s">
        <v>449</v>
      </c>
      <c r="AM262" s="182" t="s">
        <v>449</v>
      </c>
      <c r="AN262" s="182" t="s">
        <v>449</v>
      </c>
      <c r="AO262" s="182"/>
      <c r="AP262" s="182"/>
    </row>
    <row r="263" spans="1:42" s="185" customFormat="1" hidden="1" x14ac:dyDescent="0.2">
      <c r="A263" s="180" t="s">
        <v>449</v>
      </c>
      <c r="B263" s="180" t="s">
        <v>449</v>
      </c>
      <c r="C263" s="180" t="s">
        <v>449</v>
      </c>
      <c r="D263" s="180" t="s">
        <v>449</v>
      </c>
      <c r="E263" s="180" t="s">
        <v>449</v>
      </c>
      <c r="F263" s="180" t="s">
        <v>449</v>
      </c>
      <c r="G263" s="180" t="s">
        <v>449</v>
      </c>
      <c r="H263" s="181" t="s">
        <v>449</v>
      </c>
      <c r="I263" s="180" t="e">
        <f t="shared" si="17"/>
        <v>#VALUE!</v>
      </c>
      <c r="J263" s="181" t="s">
        <v>449</v>
      </c>
      <c r="K263" s="180" t="e">
        <f t="shared" si="18"/>
        <v>#VALUE!</v>
      </c>
      <c r="L263" s="180"/>
      <c r="M263" s="180"/>
      <c r="N263" s="180"/>
      <c r="O263" s="180" t="s">
        <v>449</v>
      </c>
      <c r="P263" s="180" t="s">
        <v>449</v>
      </c>
      <c r="Q263" s="180"/>
      <c r="R263" s="182"/>
      <c r="S263" s="180"/>
      <c r="T263" s="180"/>
      <c r="U263" s="180"/>
      <c r="V263" s="180"/>
      <c r="W263" s="180"/>
      <c r="X263" s="180"/>
      <c r="Y263" s="183"/>
      <c r="Z263" s="180"/>
      <c r="AA263" s="180"/>
      <c r="AB263" s="182"/>
      <c r="AC263" s="212"/>
      <c r="AD263" s="180" t="s">
        <v>449</v>
      </c>
      <c r="AE263" s="180" t="s">
        <v>449</v>
      </c>
      <c r="AF263" s="180" t="s">
        <v>449</v>
      </c>
      <c r="AG263" s="180"/>
      <c r="AH263" s="180" t="s">
        <v>449</v>
      </c>
      <c r="AI263" s="180" t="s">
        <v>449</v>
      </c>
      <c r="AJ263" s="180" t="s">
        <v>449</v>
      </c>
      <c r="AK263" s="184" t="s">
        <v>449</v>
      </c>
      <c r="AL263" s="182" t="s">
        <v>449</v>
      </c>
      <c r="AM263" s="182" t="s">
        <v>449</v>
      </c>
      <c r="AN263" s="182" t="s">
        <v>449</v>
      </c>
      <c r="AO263" s="182"/>
      <c r="AP263" s="182"/>
    </row>
    <row r="264" spans="1:42" s="185" customFormat="1" hidden="1" x14ac:dyDescent="0.2">
      <c r="A264" s="180" t="s">
        <v>449</v>
      </c>
      <c r="B264" s="180" t="s">
        <v>449</v>
      </c>
      <c r="C264" s="180" t="s">
        <v>449</v>
      </c>
      <c r="D264" s="180" t="s">
        <v>449</v>
      </c>
      <c r="E264" s="180" t="s">
        <v>449</v>
      </c>
      <c r="F264" s="180" t="s">
        <v>449</v>
      </c>
      <c r="G264" s="180" t="s">
        <v>449</v>
      </c>
      <c r="H264" s="181" t="s">
        <v>449</v>
      </c>
      <c r="I264" s="180" t="e">
        <f t="shared" si="17"/>
        <v>#VALUE!</v>
      </c>
      <c r="J264" s="181" t="s">
        <v>449</v>
      </c>
      <c r="K264" s="180" t="e">
        <f t="shared" si="18"/>
        <v>#VALUE!</v>
      </c>
      <c r="L264" s="180"/>
      <c r="M264" s="180"/>
      <c r="N264" s="180"/>
      <c r="O264" s="180" t="s">
        <v>449</v>
      </c>
      <c r="P264" s="180" t="s">
        <v>449</v>
      </c>
      <c r="Q264" s="180"/>
      <c r="R264" s="182"/>
      <c r="S264" s="180"/>
      <c r="T264" s="180"/>
      <c r="U264" s="180"/>
      <c r="V264" s="180"/>
      <c r="W264" s="180"/>
      <c r="X264" s="180"/>
      <c r="Y264" s="183"/>
      <c r="Z264" s="180"/>
      <c r="AA264" s="180"/>
      <c r="AB264" s="182"/>
      <c r="AC264" s="212"/>
      <c r="AD264" s="180" t="s">
        <v>449</v>
      </c>
      <c r="AE264" s="180" t="s">
        <v>449</v>
      </c>
      <c r="AF264" s="180" t="s">
        <v>449</v>
      </c>
      <c r="AG264" s="180"/>
      <c r="AH264" s="180" t="s">
        <v>449</v>
      </c>
      <c r="AI264" s="180" t="s">
        <v>449</v>
      </c>
      <c r="AJ264" s="180" t="s">
        <v>449</v>
      </c>
      <c r="AK264" s="184" t="s">
        <v>449</v>
      </c>
      <c r="AL264" s="182" t="s">
        <v>449</v>
      </c>
      <c r="AM264" s="182" t="s">
        <v>449</v>
      </c>
      <c r="AN264" s="182" t="s">
        <v>449</v>
      </c>
      <c r="AO264" s="182"/>
      <c r="AP264" s="182"/>
    </row>
    <row r="265" spans="1:42" s="185" customFormat="1" hidden="1" x14ac:dyDescent="0.2">
      <c r="A265" s="180" t="s">
        <v>449</v>
      </c>
      <c r="B265" s="180" t="s">
        <v>449</v>
      </c>
      <c r="C265" s="180" t="s">
        <v>449</v>
      </c>
      <c r="D265" s="180" t="s">
        <v>449</v>
      </c>
      <c r="E265" s="180" t="s">
        <v>449</v>
      </c>
      <c r="F265" s="180" t="s">
        <v>449</v>
      </c>
      <c r="G265" s="180" t="s">
        <v>449</v>
      </c>
      <c r="H265" s="181" t="s">
        <v>449</v>
      </c>
      <c r="I265" s="180" t="e">
        <f t="shared" si="17"/>
        <v>#VALUE!</v>
      </c>
      <c r="J265" s="181" t="s">
        <v>449</v>
      </c>
      <c r="K265" s="180" t="e">
        <f t="shared" si="18"/>
        <v>#VALUE!</v>
      </c>
      <c r="L265" s="180"/>
      <c r="M265" s="180"/>
      <c r="N265" s="180"/>
      <c r="O265" s="180" t="s">
        <v>449</v>
      </c>
      <c r="P265" s="180" t="s">
        <v>449</v>
      </c>
      <c r="Q265" s="180"/>
      <c r="R265" s="182"/>
      <c r="S265" s="180"/>
      <c r="T265" s="180"/>
      <c r="U265" s="180"/>
      <c r="V265" s="180"/>
      <c r="W265" s="180"/>
      <c r="X265" s="180"/>
      <c r="Y265" s="183"/>
      <c r="Z265" s="180"/>
      <c r="AA265" s="180"/>
      <c r="AB265" s="182"/>
      <c r="AC265" s="212"/>
      <c r="AD265" s="180" t="s">
        <v>449</v>
      </c>
      <c r="AE265" s="180" t="s">
        <v>449</v>
      </c>
      <c r="AF265" s="180" t="s">
        <v>449</v>
      </c>
      <c r="AG265" s="180"/>
      <c r="AH265" s="180" t="s">
        <v>449</v>
      </c>
      <c r="AI265" s="180" t="s">
        <v>449</v>
      </c>
      <c r="AJ265" s="180" t="s">
        <v>449</v>
      </c>
      <c r="AK265" s="184" t="s">
        <v>449</v>
      </c>
      <c r="AL265" s="182" t="s">
        <v>449</v>
      </c>
      <c r="AM265" s="182" t="s">
        <v>449</v>
      </c>
      <c r="AN265" s="182" t="s">
        <v>449</v>
      </c>
      <c r="AO265" s="182"/>
      <c r="AP265" s="182"/>
    </row>
    <row r="266" spans="1:42" s="185" customFormat="1" hidden="1" x14ac:dyDescent="0.2">
      <c r="A266" s="180" t="s">
        <v>449</v>
      </c>
      <c r="B266" s="180" t="s">
        <v>449</v>
      </c>
      <c r="C266" s="180" t="s">
        <v>449</v>
      </c>
      <c r="D266" s="180" t="s">
        <v>449</v>
      </c>
      <c r="E266" s="180" t="s">
        <v>449</v>
      </c>
      <c r="F266" s="180" t="s">
        <v>449</v>
      </c>
      <c r="G266" s="180" t="s">
        <v>449</v>
      </c>
      <c r="H266" s="181" t="s">
        <v>449</v>
      </c>
      <c r="I266" s="180" t="e">
        <f t="shared" si="17"/>
        <v>#VALUE!</v>
      </c>
      <c r="J266" s="181" t="s">
        <v>449</v>
      </c>
      <c r="K266" s="180" t="e">
        <f t="shared" si="18"/>
        <v>#VALUE!</v>
      </c>
      <c r="L266" s="180"/>
      <c r="M266" s="180"/>
      <c r="N266" s="180"/>
      <c r="O266" s="180" t="s">
        <v>449</v>
      </c>
      <c r="P266" s="180" t="s">
        <v>449</v>
      </c>
      <c r="Q266" s="180"/>
      <c r="R266" s="182"/>
      <c r="S266" s="180"/>
      <c r="T266" s="180"/>
      <c r="U266" s="180"/>
      <c r="V266" s="180"/>
      <c r="W266" s="180"/>
      <c r="X266" s="180"/>
      <c r="Y266" s="183"/>
      <c r="Z266" s="180"/>
      <c r="AA266" s="180"/>
      <c r="AB266" s="182"/>
      <c r="AC266" s="212"/>
      <c r="AD266" s="180" t="s">
        <v>449</v>
      </c>
      <c r="AE266" s="180" t="s">
        <v>449</v>
      </c>
      <c r="AF266" s="180" t="s">
        <v>449</v>
      </c>
      <c r="AG266" s="180"/>
      <c r="AH266" s="180" t="s">
        <v>449</v>
      </c>
      <c r="AI266" s="180" t="s">
        <v>449</v>
      </c>
      <c r="AJ266" s="180" t="s">
        <v>449</v>
      </c>
      <c r="AK266" s="184" t="s">
        <v>449</v>
      </c>
      <c r="AL266" s="182" t="s">
        <v>449</v>
      </c>
      <c r="AM266" s="182" t="s">
        <v>449</v>
      </c>
      <c r="AN266" s="182" t="s">
        <v>449</v>
      </c>
      <c r="AO266" s="182"/>
      <c r="AP266" s="182"/>
    </row>
    <row r="267" spans="1:42" s="185" customFormat="1" hidden="1" x14ac:dyDescent="0.2">
      <c r="A267" s="180" t="s">
        <v>449</v>
      </c>
      <c r="B267" s="180" t="s">
        <v>449</v>
      </c>
      <c r="C267" s="180" t="s">
        <v>449</v>
      </c>
      <c r="D267" s="180" t="s">
        <v>449</v>
      </c>
      <c r="E267" s="180" t="s">
        <v>449</v>
      </c>
      <c r="F267" s="180" t="s">
        <v>449</v>
      </c>
      <c r="G267" s="180" t="s">
        <v>449</v>
      </c>
      <c r="H267" s="181" t="s">
        <v>449</v>
      </c>
      <c r="I267" s="180" t="e">
        <f t="shared" si="17"/>
        <v>#VALUE!</v>
      </c>
      <c r="J267" s="181" t="s">
        <v>449</v>
      </c>
      <c r="K267" s="180" t="e">
        <f t="shared" si="18"/>
        <v>#VALUE!</v>
      </c>
      <c r="L267" s="180"/>
      <c r="M267" s="180"/>
      <c r="N267" s="180"/>
      <c r="O267" s="180" t="s">
        <v>449</v>
      </c>
      <c r="P267" s="180" t="s">
        <v>449</v>
      </c>
      <c r="Q267" s="180"/>
      <c r="R267" s="182"/>
      <c r="S267" s="180"/>
      <c r="T267" s="180"/>
      <c r="U267" s="180"/>
      <c r="V267" s="180"/>
      <c r="W267" s="180"/>
      <c r="X267" s="180"/>
      <c r="Y267" s="183"/>
      <c r="Z267" s="180"/>
      <c r="AA267" s="180"/>
      <c r="AB267" s="182"/>
      <c r="AC267" s="212"/>
      <c r="AD267" s="180" t="s">
        <v>449</v>
      </c>
      <c r="AE267" s="180" t="s">
        <v>449</v>
      </c>
      <c r="AF267" s="180" t="s">
        <v>449</v>
      </c>
      <c r="AG267" s="180"/>
      <c r="AH267" s="180" t="s">
        <v>449</v>
      </c>
      <c r="AI267" s="180" t="s">
        <v>449</v>
      </c>
      <c r="AJ267" s="180" t="s">
        <v>449</v>
      </c>
      <c r="AK267" s="184" t="s">
        <v>449</v>
      </c>
      <c r="AL267" s="182" t="s">
        <v>449</v>
      </c>
      <c r="AM267" s="182" t="s">
        <v>449</v>
      </c>
      <c r="AN267" s="182" t="s">
        <v>449</v>
      </c>
      <c r="AO267" s="182"/>
      <c r="AP267" s="182"/>
    </row>
    <row r="268" spans="1:42" s="185" customFormat="1" hidden="1" x14ac:dyDescent="0.2">
      <c r="A268" s="180" t="s">
        <v>449</v>
      </c>
      <c r="B268" s="180" t="s">
        <v>449</v>
      </c>
      <c r="C268" s="180" t="s">
        <v>449</v>
      </c>
      <c r="D268" s="180" t="s">
        <v>449</v>
      </c>
      <c r="E268" s="180" t="s">
        <v>449</v>
      </c>
      <c r="F268" s="180" t="s">
        <v>449</v>
      </c>
      <c r="G268" s="180" t="s">
        <v>449</v>
      </c>
      <c r="H268" s="181" t="s">
        <v>449</v>
      </c>
      <c r="I268" s="180" t="e">
        <f t="shared" si="17"/>
        <v>#VALUE!</v>
      </c>
      <c r="J268" s="181" t="s">
        <v>449</v>
      </c>
      <c r="K268" s="180" t="e">
        <f t="shared" si="18"/>
        <v>#VALUE!</v>
      </c>
      <c r="L268" s="180"/>
      <c r="M268" s="180"/>
      <c r="N268" s="180"/>
      <c r="O268" s="180" t="s">
        <v>449</v>
      </c>
      <c r="P268" s="180" t="s">
        <v>449</v>
      </c>
      <c r="Q268" s="180"/>
      <c r="R268" s="182"/>
      <c r="S268" s="180"/>
      <c r="T268" s="180"/>
      <c r="U268" s="180"/>
      <c r="V268" s="180"/>
      <c r="W268" s="180"/>
      <c r="X268" s="180"/>
      <c r="Y268" s="183"/>
      <c r="Z268" s="180"/>
      <c r="AA268" s="180"/>
      <c r="AB268" s="182"/>
      <c r="AC268" s="212"/>
      <c r="AD268" s="180" t="s">
        <v>449</v>
      </c>
      <c r="AE268" s="180" t="s">
        <v>449</v>
      </c>
      <c r="AF268" s="180" t="s">
        <v>449</v>
      </c>
      <c r="AG268" s="180"/>
      <c r="AH268" s="180" t="s">
        <v>449</v>
      </c>
      <c r="AI268" s="180" t="s">
        <v>449</v>
      </c>
      <c r="AJ268" s="180" t="s">
        <v>449</v>
      </c>
      <c r="AK268" s="184" t="s">
        <v>449</v>
      </c>
      <c r="AL268" s="182" t="s">
        <v>449</v>
      </c>
      <c r="AM268" s="182" t="s">
        <v>449</v>
      </c>
      <c r="AN268" s="182" t="s">
        <v>449</v>
      </c>
      <c r="AO268" s="182"/>
      <c r="AP268" s="182"/>
    </row>
    <row r="269" spans="1:42" s="185" customFormat="1" hidden="1" x14ac:dyDescent="0.2">
      <c r="A269" s="180" t="s">
        <v>449</v>
      </c>
      <c r="B269" s="180" t="s">
        <v>449</v>
      </c>
      <c r="C269" s="180" t="s">
        <v>449</v>
      </c>
      <c r="D269" s="180" t="s">
        <v>449</v>
      </c>
      <c r="E269" s="180" t="s">
        <v>449</v>
      </c>
      <c r="F269" s="180" t="s">
        <v>449</v>
      </c>
      <c r="G269" s="180" t="s">
        <v>449</v>
      </c>
      <c r="H269" s="181" t="s">
        <v>449</v>
      </c>
      <c r="I269" s="180" t="e">
        <f t="shared" si="17"/>
        <v>#VALUE!</v>
      </c>
      <c r="J269" s="181" t="s">
        <v>449</v>
      </c>
      <c r="K269" s="180" t="e">
        <f t="shared" si="18"/>
        <v>#VALUE!</v>
      </c>
      <c r="L269" s="180"/>
      <c r="M269" s="180"/>
      <c r="N269" s="180"/>
      <c r="O269" s="180" t="s">
        <v>449</v>
      </c>
      <c r="P269" s="180" t="s">
        <v>449</v>
      </c>
      <c r="Q269" s="180"/>
      <c r="R269" s="182"/>
      <c r="S269" s="180"/>
      <c r="T269" s="180"/>
      <c r="U269" s="180"/>
      <c r="V269" s="180"/>
      <c r="W269" s="180"/>
      <c r="X269" s="180"/>
      <c r="Y269" s="183"/>
      <c r="Z269" s="180"/>
      <c r="AA269" s="180"/>
      <c r="AB269" s="182"/>
      <c r="AC269" s="212"/>
      <c r="AD269" s="180" t="s">
        <v>449</v>
      </c>
      <c r="AE269" s="180" t="s">
        <v>449</v>
      </c>
      <c r="AF269" s="180" t="s">
        <v>449</v>
      </c>
      <c r="AG269" s="180"/>
      <c r="AH269" s="180" t="s">
        <v>449</v>
      </c>
      <c r="AI269" s="180" t="s">
        <v>449</v>
      </c>
      <c r="AJ269" s="180" t="s">
        <v>449</v>
      </c>
      <c r="AK269" s="184" t="s">
        <v>449</v>
      </c>
      <c r="AL269" s="182" t="s">
        <v>449</v>
      </c>
      <c r="AM269" s="182" t="s">
        <v>449</v>
      </c>
      <c r="AN269" s="182" t="s">
        <v>449</v>
      </c>
      <c r="AO269" s="182"/>
      <c r="AP269" s="182"/>
    </row>
    <row r="270" spans="1:42" s="185" customFormat="1" hidden="1" x14ac:dyDescent="0.2">
      <c r="A270" s="180" t="s">
        <v>449</v>
      </c>
      <c r="B270" s="180" t="s">
        <v>449</v>
      </c>
      <c r="C270" s="180" t="s">
        <v>449</v>
      </c>
      <c r="D270" s="180" t="s">
        <v>449</v>
      </c>
      <c r="E270" s="180" t="s">
        <v>449</v>
      </c>
      <c r="F270" s="180" t="s">
        <v>449</v>
      </c>
      <c r="G270" s="180" t="s">
        <v>449</v>
      </c>
      <c r="H270" s="181" t="s">
        <v>449</v>
      </c>
      <c r="I270" s="180" t="e">
        <f t="shared" si="17"/>
        <v>#VALUE!</v>
      </c>
      <c r="J270" s="181" t="s">
        <v>449</v>
      </c>
      <c r="K270" s="180" t="e">
        <f t="shared" si="18"/>
        <v>#VALUE!</v>
      </c>
      <c r="L270" s="180"/>
      <c r="M270" s="180"/>
      <c r="N270" s="180"/>
      <c r="O270" s="180" t="s">
        <v>449</v>
      </c>
      <c r="P270" s="180" t="s">
        <v>449</v>
      </c>
      <c r="Q270" s="180"/>
      <c r="R270" s="182"/>
      <c r="S270" s="180"/>
      <c r="T270" s="180"/>
      <c r="U270" s="180"/>
      <c r="V270" s="180"/>
      <c r="W270" s="180"/>
      <c r="X270" s="180"/>
      <c r="Y270" s="183"/>
      <c r="Z270" s="180"/>
      <c r="AA270" s="180"/>
      <c r="AB270" s="182"/>
      <c r="AC270" s="212"/>
      <c r="AD270" s="180" t="s">
        <v>449</v>
      </c>
      <c r="AE270" s="180" t="s">
        <v>449</v>
      </c>
      <c r="AF270" s="180" t="s">
        <v>449</v>
      </c>
      <c r="AG270" s="180"/>
      <c r="AH270" s="180" t="s">
        <v>449</v>
      </c>
      <c r="AI270" s="180" t="s">
        <v>449</v>
      </c>
      <c r="AJ270" s="180" t="s">
        <v>449</v>
      </c>
      <c r="AK270" s="184" t="s">
        <v>449</v>
      </c>
      <c r="AL270" s="182" t="s">
        <v>449</v>
      </c>
      <c r="AM270" s="182" t="s">
        <v>449</v>
      </c>
      <c r="AN270" s="182" t="s">
        <v>449</v>
      </c>
      <c r="AO270" s="182"/>
      <c r="AP270" s="182"/>
    </row>
    <row r="271" spans="1:42" s="185" customFormat="1" hidden="1" x14ac:dyDescent="0.2">
      <c r="A271" s="180" t="s">
        <v>449</v>
      </c>
      <c r="B271" s="180" t="s">
        <v>449</v>
      </c>
      <c r="C271" s="180" t="s">
        <v>449</v>
      </c>
      <c r="D271" s="180" t="s">
        <v>449</v>
      </c>
      <c r="E271" s="180" t="s">
        <v>449</v>
      </c>
      <c r="F271" s="180" t="s">
        <v>449</v>
      </c>
      <c r="G271" s="180" t="s">
        <v>449</v>
      </c>
      <c r="H271" s="181" t="s">
        <v>449</v>
      </c>
      <c r="I271" s="180" t="e">
        <f t="shared" si="17"/>
        <v>#VALUE!</v>
      </c>
      <c r="J271" s="181" t="s">
        <v>449</v>
      </c>
      <c r="K271" s="180" t="e">
        <f t="shared" si="18"/>
        <v>#VALUE!</v>
      </c>
      <c r="L271" s="180"/>
      <c r="M271" s="180"/>
      <c r="N271" s="180"/>
      <c r="O271" s="180" t="s">
        <v>449</v>
      </c>
      <c r="P271" s="180" t="s">
        <v>449</v>
      </c>
      <c r="Q271" s="180"/>
      <c r="R271" s="182"/>
      <c r="S271" s="180"/>
      <c r="T271" s="180"/>
      <c r="U271" s="180"/>
      <c r="V271" s="180"/>
      <c r="W271" s="180"/>
      <c r="X271" s="180"/>
      <c r="Y271" s="183"/>
      <c r="Z271" s="180"/>
      <c r="AA271" s="180"/>
      <c r="AB271" s="182"/>
      <c r="AC271" s="212"/>
      <c r="AD271" s="180" t="s">
        <v>449</v>
      </c>
      <c r="AE271" s="180" t="s">
        <v>449</v>
      </c>
      <c r="AF271" s="180" t="s">
        <v>449</v>
      </c>
      <c r="AG271" s="180"/>
      <c r="AH271" s="180" t="s">
        <v>449</v>
      </c>
      <c r="AI271" s="180" t="s">
        <v>449</v>
      </c>
      <c r="AJ271" s="180" t="s">
        <v>449</v>
      </c>
      <c r="AK271" s="184" t="s">
        <v>449</v>
      </c>
      <c r="AL271" s="182" t="s">
        <v>449</v>
      </c>
      <c r="AM271" s="182" t="s">
        <v>449</v>
      </c>
      <c r="AN271" s="182" t="s">
        <v>449</v>
      </c>
      <c r="AO271" s="182"/>
      <c r="AP271" s="182"/>
    </row>
    <row r="272" spans="1:42" s="185" customFormat="1" hidden="1" x14ac:dyDescent="0.2">
      <c r="A272" s="180" t="s">
        <v>449</v>
      </c>
      <c r="B272" s="180" t="s">
        <v>449</v>
      </c>
      <c r="C272" s="180" t="s">
        <v>449</v>
      </c>
      <c r="D272" s="180" t="s">
        <v>449</v>
      </c>
      <c r="E272" s="180" t="s">
        <v>449</v>
      </c>
      <c r="F272" s="180" t="s">
        <v>449</v>
      </c>
      <c r="G272" s="180" t="s">
        <v>449</v>
      </c>
      <c r="H272" s="181" t="s">
        <v>449</v>
      </c>
      <c r="I272" s="180" t="e">
        <f t="shared" si="17"/>
        <v>#VALUE!</v>
      </c>
      <c r="J272" s="181" t="s">
        <v>449</v>
      </c>
      <c r="K272" s="180" t="e">
        <f t="shared" si="18"/>
        <v>#VALUE!</v>
      </c>
      <c r="L272" s="180"/>
      <c r="M272" s="180"/>
      <c r="N272" s="180"/>
      <c r="O272" s="180" t="s">
        <v>449</v>
      </c>
      <c r="P272" s="180" t="s">
        <v>449</v>
      </c>
      <c r="Q272" s="180"/>
      <c r="R272" s="182"/>
      <c r="S272" s="180"/>
      <c r="T272" s="180"/>
      <c r="U272" s="180"/>
      <c r="V272" s="180"/>
      <c r="W272" s="180"/>
      <c r="X272" s="180"/>
      <c r="Y272" s="183"/>
      <c r="Z272" s="180"/>
      <c r="AA272" s="180"/>
      <c r="AB272" s="182"/>
      <c r="AC272" s="212"/>
      <c r="AD272" s="180" t="s">
        <v>449</v>
      </c>
      <c r="AE272" s="180" t="s">
        <v>449</v>
      </c>
      <c r="AF272" s="180" t="s">
        <v>449</v>
      </c>
      <c r="AG272" s="180"/>
      <c r="AH272" s="180" t="s">
        <v>449</v>
      </c>
      <c r="AI272" s="180" t="s">
        <v>449</v>
      </c>
      <c r="AJ272" s="180" t="s">
        <v>449</v>
      </c>
      <c r="AK272" s="184" t="s">
        <v>449</v>
      </c>
      <c r="AL272" s="182" t="s">
        <v>449</v>
      </c>
      <c r="AM272" s="182" t="s">
        <v>449</v>
      </c>
      <c r="AN272" s="182" t="s">
        <v>449</v>
      </c>
      <c r="AO272" s="182"/>
      <c r="AP272" s="182"/>
    </row>
    <row r="273" spans="1:42" s="185" customFormat="1" hidden="1" x14ac:dyDescent="0.2">
      <c r="A273" s="180" t="s">
        <v>449</v>
      </c>
      <c r="B273" s="180" t="s">
        <v>449</v>
      </c>
      <c r="C273" s="180" t="s">
        <v>449</v>
      </c>
      <c r="D273" s="180" t="s">
        <v>449</v>
      </c>
      <c r="E273" s="180" t="s">
        <v>449</v>
      </c>
      <c r="F273" s="180" t="s">
        <v>449</v>
      </c>
      <c r="G273" s="180" t="s">
        <v>449</v>
      </c>
      <c r="H273" s="181" t="s">
        <v>449</v>
      </c>
      <c r="I273" s="180" t="e">
        <f t="shared" si="17"/>
        <v>#VALUE!</v>
      </c>
      <c r="J273" s="181" t="s">
        <v>449</v>
      </c>
      <c r="K273" s="180" t="e">
        <f t="shared" si="18"/>
        <v>#VALUE!</v>
      </c>
      <c r="L273" s="180"/>
      <c r="M273" s="180"/>
      <c r="N273" s="180"/>
      <c r="O273" s="180" t="s">
        <v>449</v>
      </c>
      <c r="P273" s="180" t="s">
        <v>449</v>
      </c>
      <c r="Q273" s="180"/>
      <c r="R273" s="182"/>
      <c r="S273" s="180"/>
      <c r="T273" s="180"/>
      <c r="U273" s="180"/>
      <c r="V273" s="180"/>
      <c r="W273" s="180"/>
      <c r="X273" s="180"/>
      <c r="Y273" s="183"/>
      <c r="Z273" s="180"/>
      <c r="AA273" s="180"/>
      <c r="AB273" s="182"/>
      <c r="AC273" s="212"/>
      <c r="AD273" s="180" t="s">
        <v>449</v>
      </c>
      <c r="AE273" s="180" t="s">
        <v>449</v>
      </c>
      <c r="AF273" s="180" t="s">
        <v>449</v>
      </c>
      <c r="AG273" s="180"/>
      <c r="AH273" s="180" t="s">
        <v>449</v>
      </c>
      <c r="AI273" s="180" t="s">
        <v>449</v>
      </c>
      <c r="AJ273" s="180" t="s">
        <v>449</v>
      </c>
      <c r="AK273" s="184" t="s">
        <v>449</v>
      </c>
      <c r="AL273" s="182" t="s">
        <v>449</v>
      </c>
      <c r="AM273" s="182" t="s">
        <v>449</v>
      </c>
      <c r="AN273" s="182" t="s">
        <v>449</v>
      </c>
      <c r="AO273" s="182"/>
      <c r="AP273" s="182"/>
    </row>
    <row r="274" spans="1:42" s="185" customFormat="1" hidden="1" x14ac:dyDescent="0.2">
      <c r="A274" s="180" t="s">
        <v>449</v>
      </c>
      <c r="B274" s="180" t="s">
        <v>449</v>
      </c>
      <c r="C274" s="180" t="s">
        <v>449</v>
      </c>
      <c r="D274" s="180" t="s">
        <v>449</v>
      </c>
      <c r="E274" s="180" t="s">
        <v>449</v>
      </c>
      <c r="F274" s="180" t="s">
        <v>449</v>
      </c>
      <c r="G274" s="180" t="s">
        <v>449</v>
      </c>
      <c r="H274" s="181" t="s">
        <v>449</v>
      </c>
      <c r="I274" s="180" t="e">
        <f t="shared" si="17"/>
        <v>#VALUE!</v>
      </c>
      <c r="J274" s="181" t="s">
        <v>449</v>
      </c>
      <c r="K274" s="180" t="e">
        <f t="shared" si="18"/>
        <v>#VALUE!</v>
      </c>
      <c r="L274" s="180"/>
      <c r="M274" s="180"/>
      <c r="N274" s="180"/>
      <c r="O274" s="180" t="s">
        <v>449</v>
      </c>
      <c r="P274" s="180" t="s">
        <v>449</v>
      </c>
      <c r="Q274" s="180"/>
      <c r="R274" s="182"/>
      <c r="S274" s="180"/>
      <c r="T274" s="180"/>
      <c r="U274" s="180"/>
      <c r="V274" s="180"/>
      <c r="W274" s="180"/>
      <c r="X274" s="180"/>
      <c r="Y274" s="183"/>
      <c r="Z274" s="180"/>
      <c r="AA274" s="180"/>
      <c r="AB274" s="182"/>
      <c r="AC274" s="212"/>
      <c r="AD274" s="180" t="s">
        <v>449</v>
      </c>
      <c r="AE274" s="180" t="s">
        <v>449</v>
      </c>
      <c r="AF274" s="180" t="s">
        <v>449</v>
      </c>
      <c r="AG274" s="180"/>
      <c r="AH274" s="180" t="s">
        <v>449</v>
      </c>
      <c r="AI274" s="180" t="s">
        <v>449</v>
      </c>
      <c r="AJ274" s="180" t="s">
        <v>449</v>
      </c>
      <c r="AK274" s="184" t="s">
        <v>449</v>
      </c>
      <c r="AL274" s="182" t="s">
        <v>449</v>
      </c>
      <c r="AM274" s="182" t="s">
        <v>449</v>
      </c>
      <c r="AN274" s="182" t="s">
        <v>449</v>
      </c>
      <c r="AO274" s="182"/>
      <c r="AP274" s="182"/>
    </row>
    <row r="275" spans="1:42" s="185" customFormat="1" hidden="1" x14ac:dyDescent="0.2">
      <c r="A275" s="180" t="s">
        <v>449</v>
      </c>
      <c r="B275" s="180" t="s">
        <v>449</v>
      </c>
      <c r="C275" s="180" t="s">
        <v>449</v>
      </c>
      <c r="D275" s="180" t="s">
        <v>449</v>
      </c>
      <c r="E275" s="180" t="s">
        <v>449</v>
      </c>
      <c r="F275" s="180" t="s">
        <v>449</v>
      </c>
      <c r="G275" s="180" t="s">
        <v>449</v>
      </c>
      <c r="H275" s="181" t="s">
        <v>449</v>
      </c>
      <c r="I275" s="180" t="e">
        <f t="shared" si="17"/>
        <v>#VALUE!</v>
      </c>
      <c r="J275" s="181" t="s">
        <v>449</v>
      </c>
      <c r="K275" s="180" t="e">
        <f t="shared" si="18"/>
        <v>#VALUE!</v>
      </c>
      <c r="L275" s="180"/>
      <c r="M275" s="180"/>
      <c r="N275" s="180"/>
      <c r="O275" s="180" t="s">
        <v>449</v>
      </c>
      <c r="P275" s="180" t="s">
        <v>449</v>
      </c>
      <c r="Q275" s="180"/>
      <c r="R275" s="182"/>
      <c r="S275" s="180"/>
      <c r="T275" s="180"/>
      <c r="U275" s="180"/>
      <c r="V275" s="180"/>
      <c r="W275" s="180"/>
      <c r="X275" s="180"/>
      <c r="Y275" s="183"/>
      <c r="Z275" s="180"/>
      <c r="AA275" s="180"/>
      <c r="AB275" s="182"/>
      <c r="AC275" s="212"/>
      <c r="AD275" s="180" t="s">
        <v>449</v>
      </c>
      <c r="AE275" s="180" t="s">
        <v>449</v>
      </c>
      <c r="AF275" s="180" t="s">
        <v>449</v>
      </c>
      <c r="AG275" s="180"/>
      <c r="AH275" s="180" t="s">
        <v>449</v>
      </c>
      <c r="AI275" s="180" t="s">
        <v>449</v>
      </c>
      <c r="AJ275" s="180" t="s">
        <v>449</v>
      </c>
      <c r="AK275" s="184" t="s">
        <v>449</v>
      </c>
      <c r="AL275" s="182" t="s">
        <v>449</v>
      </c>
      <c r="AM275" s="182" t="s">
        <v>449</v>
      </c>
      <c r="AN275" s="182" t="s">
        <v>449</v>
      </c>
      <c r="AO275" s="182"/>
      <c r="AP275" s="182"/>
    </row>
    <row r="276" spans="1:42" s="185" customFormat="1" hidden="1" x14ac:dyDescent="0.2">
      <c r="A276" s="180" t="s">
        <v>449</v>
      </c>
      <c r="B276" s="180" t="s">
        <v>449</v>
      </c>
      <c r="C276" s="180" t="s">
        <v>449</v>
      </c>
      <c r="D276" s="180" t="s">
        <v>449</v>
      </c>
      <c r="E276" s="180" t="s">
        <v>449</v>
      </c>
      <c r="F276" s="180" t="s">
        <v>449</v>
      </c>
      <c r="G276" s="180" t="s">
        <v>449</v>
      </c>
      <c r="H276" s="181" t="s">
        <v>449</v>
      </c>
      <c r="I276" s="180" t="e">
        <f t="shared" si="17"/>
        <v>#VALUE!</v>
      </c>
      <c r="J276" s="181" t="s">
        <v>449</v>
      </c>
      <c r="K276" s="180" t="e">
        <f t="shared" si="18"/>
        <v>#VALUE!</v>
      </c>
      <c r="L276" s="180"/>
      <c r="M276" s="180"/>
      <c r="N276" s="180"/>
      <c r="O276" s="180" t="s">
        <v>449</v>
      </c>
      <c r="P276" s="180" t="s">
        <v>449</v>
      </c>
      <c r="Q276" s="180"/>
      <c r="R276" s="182"/>
      <c r="S276" s="180"/>
      <c r="T276" s="180"/>
      <c r="U276" s="180"/>
      <c r="V276" s="180"/>
      <c r="W276" s="180"/>
      <c r="X276" s="180"/>
      <c r="Y276" s="183"/>
      <c r="Z276" s="180"/>
      <c r="AA276" s="180"/>
      <c r="AB276" s="182"/>
      <c r="AC276" s="212"/>
      <c r="AD276" s="180" t="s">
        <v>449</v>
      </c>
      <c r="AE276" s="180" t="s">
        <v>449</v>
      </c>
      <c r="AF276" s="180" t="s">
        <v>449</v>
      </c>
      <c r="AG276" s="180"/>
      <c r="AH276" s="180" t="s">
        <v>449</v>
      </c>
      <c r="AI276" s="180" t="s">
        <v>449</v>
      </c>
      <c r="AJ276" s="180" t="s">
        <v>449</v>
      </c>
      <c r="AK276" s="184" t="s">
        <v>449</v>
      </c>
      <c r="AL276" s="182" t="s">
        <v>449</v>
      </c>
      <c r="AM276" s="182" t="s">
        <v>449</v>
      </c>
      <c r="AN276" s="182" t="s">
        <v>449</v>
      </c>
      <c r="AO276" s="182"/>
      <c r="AP276" s="182"/>
    </row>
    <row r="277" spans="1:42" s="185" customFormat="1" hidden="1" x14ac:dyDescent="0.2">
      <c r="A277" s="180" t="s">
        <v>449</v>
      </c>
      <c r="B277" s="180" t="s">
        <v>449</v>
      </c>
      <c r="C277" s="180" t="s">
        <v>449</v>
      </c>
      <c r="D277" s="180" t="s">
        <v>449</v>
      </c>
      <c r="E277" s="180" t="s">
        <v>449</v>
      </c>
      <c r="F277" s="180" t="s">
        <v>449</v>
      </c>
      <c r="G277" s="180" t="s">
        <v>449</v>
      </c>
      <c r="H277" s="181" t="s">
        <v>449</v>
      </c>
      <c r="I277" s="180" t="e">
        <f t="shared" si="17"/>
        <v>#VALUE!</v>
      </c>
      <c r="J277" s="181" t="s">
        <v>449</v>
      </c>
      <c r="K277" s="180" t="e">
        <f t="shared" si="18"/>
        <v>#VALUE!</v>
      </c>
      <c r="L277" s="180"/>
      <c r="M277" s="180"/>
      <c r="N277" s="180"/>
      <c r="O277" s="180" t="s">
        <v>449</v>
      </c>
      <c r="P277" s="180" t="s">
        <v>449</v>
      </c>
      <c r="Q277" s="180"/>
      <c r="R277" s="182"/>
      <c r="S277" s="180"/>
      <c r="T277" s="180"/>
      <c r="U277" s="180"/>
      <c r="V277" s="180"/>
      <c r="W277" s="180"/>
      <c r="X277" s="180"/>
      <c r="Y277" s="183"/>
      <c r="Z277" s="180"/>
      <c r="AA277" s="180"/>
      <c r="AB277" s="182"/>
      <c r="AC277" s="212"/>
      <c r="AD277" s="180" t="s">
        <v>449</v>
      </c>
      <c r="AE277" s="180" t="s">
        <v>449</v>
      </c>
      <c r="AF277" s="180" t="s">
        <v>449</v>
      </c>
      <c r="AG277" s="180"/>
      <c r="AH277" s="180" t="s">
        <v>449</v>
      </c>
      <c r="AI277" s="180" t="s">
        <v>449</v>
      </c>
      <c r="AJ277" s="180" t="s">
        <v>449</v>
      </c>
      <c r="AK277" s="184" t="s">
        <v>449</v>
      </c>
      <c r="AL277" s="182" t="s">
        <v>449</v>
      </c>
      <c r="AM277" s="182" t="s">
        <v>449</v>
      </c>
      <c r="AN277" s="182" t="s">
        <v>449</v>
      </c>
      <c r="AO277" s="182"/>
      <c r="AP277" s="182"/>
    </row>
    <row r="278" spans="1:42" s="185" customFormat="1" hidden="1" x14ac:dyDescent="0.2">
      <c r="A278" s="180" t="s">
        <v>449</v>
      </c>
      <c r="B278" s="180" t="s">
        <v>449</v>
      </c>
      <c r="C278" s="180" t="s">
        <v>449</v>
      </c>
      <c r="D278" s="180" t="s">
        <v>449</v>
      </c>
      <c r="E278" s="180" t="s">
        <v>449</v>
      </c>
      <c r="F278" s="180" t="s">
        <v>449</v>
      </c>
      <c r="G278" s="180" t="s">
        <v>449</v>
      </c>
      <c r="H278" s="181" t="s">
        <v>449</v>
      </c>
      <c r="I278" s="180" t="e">
        <f t="shared" si="17"/>
        <v>#VALUE!</v>
      </c>
      <c r="J278" s="181" t="s">
        <v>449</v>
      </c>
      <c r="K278" s="180" t="e">
        <f t="shared" si="18"/>
        <v>#VALUE!</v>
      </c>
      <c r="L278" s="180"/>
      <c r="M278" s="180"/>
      <c r="N278" s="180"/>
      <c r="O278" s="180" t="s">
        <v>449</v>
      </c>
      <c r="P278" s="180" t="s">
        <v>449</v>
      </c>
      <c r="Q278" s="180"/>
      <c r="R278" s="182"/>
      <c r="S278" s="180"/>
      <c r="T278" s="180"/>
      <c r="U278" s="180"/>
      <c r="V278" s="180"/>
      <c r="W278" s="180"/>
      <c r="X278" s="180"/>
      <c r="Y278" s="183"/>
      <c r="Z278" s="180"/>
      <c r="AA278" s="180"/>
      <c r="AB278" s="182"/>
      <c r="AC278" s="212"/>
      <c r="AD278" s="180" t="s">
        <v>449</v>
      </c>
      <c r="AE278" s="180" t="s">
        <v>449</v>
      </c>
      <c r="AF278" s="180" t="s">
        <v>449</v>
      </c>
      <c r="AG278" s="180"/>
      <c r="AH278" s="180" t="s">
        <v>449</v>
      </c>
      <c r="AI278" s="180" t="s">
        <v>449</v>
      </c>
      <c r="AJ278" s="180" t="s">
        <v>449</v>
      </c>
      <c r="AK278" s="184" t="s">
        <v>449</v>
      </c>
      <c r="AL278" s="182" t="s">
        <v>449</v>
      </c>
      <c r="AM278" s="182" t="s">
        <v>449</v>
      </c>
      <c r="AN278" s="182" t="s">
        <v>449</v>
      </c>
      <c r="AO278" s="182"/>
      <c r="AP278" s="182"/>
    </row>
    <row r="279" spans="1:42" s="185" customFormat="1" hidden="1" x14ac:dyDescent="0.2">
      <c r="A279" s="180" t="s">
        <v>449</v>
      </c>
      <c r="B279" s="180" t="s">
        <v>449</v>
      </c>
      <c r="C279" s="180" t="s">
        <v>449</v>
      </c>
      <c r="D279" s="180" t="s">
        <v>449</v>
      </c>
      <c r="E279" s="180" t="s">
        <v>449</v>
      </c>
      <c r="F279" s="180" t="s">
        <v>449</v>
      </c>
      <c r="G279" s="180" t="s">
        <v>449</v>
      </c>
      <c r="H279" s="181" t="s">
        <v>449</v>
      </c>
      <c r="I279" s="180" t="e">
        <f t="shared" si="17"/>
        <v>#VALUE!</v>
      </c>
      <c r="J279" s="181" t="s">
        <v>449</v>
      </c>
      <c r="K279" s="180" t="e">
        <f t="shared" si="18"/>
        <v>#VALUE!</v>
      </c>
      <c r="L279" s="180"/>
      <c r="M279" s="180"/>
      <c r="N279" s="180"/>
      <c r="O279" s="180" t="s">
        <v>449</v>
      </c>
      <c r="P279" s="180" t="s">
        <v>449</v>
      </c>
      <c r="Q279" s="180"/>
      <c r="R279" s="182"/>
      <c r="S279" s="180"/>
      <c r="T279" s="180"/>
      <c r="U279" s="180"/>
      <c r="V279" s="180"/>
      <c r="W279" s="180"/>
      <c r="X279" s="180"/>
      <c r="Y279" s="183"/>
      <c r="Z279" s="180"/>
      <c r="AA279" s="180"/>
      <c r="AB279" s="182"/>
      <c r="AC279" s="212"/>
      <c r="AD279" s="180" t="s">
        <v>449</v>
      </c>
      <c r="AE279" s="180" t="s">
        <v>449</v>
      </c>
      <c r="AF279" s="180" t="s">
        <v>449</v>
      </c>
      <c r="AG279" s="180"/>
      <c r="AH279" s="180" t="s">
        <v>449</v>
      </c>
      <c r="AI279" s="180" t="s">
        <v>449</v>
      </c>
      <c r="AJ279" s="180" t="s">
        <v>449</v>
      </c>
      <c r="AK279" s="184" t="s">
        <v>449</v>
      </c>
      <c r="AL279" s="182" t="s">
        <v>449</v>
      </c>
      <c r="AM279" s="182" t="s">
        <v>449</v>
      </c>
      <c r="AN279" s="182" t="s">
        <v>449</v>
      </c>
      <c r="AO279" s="182"/>
      <c r="AP279" s="182"/>
    </row>
    <row r="280" spans="1:42" s="185" customFormat="1" hidden="1" x14ac:dyDescent="0.2">
      <c r="A280" s="180" t="s">
        <v>449</v>
      </c>
      <c r="B280" s="180" t="s">
        <v>449</v>
      </c>
      <c r="C280" s="180" t="s">
        <v>449</v>
      </c>
      <c r="D280" s="180" t="s">
        <v>449</v>
      </c>
      <c r="E280" s="180" t="s">
        <v>449</v>
      </c>
      <c r="F280" s="180" t="s">
        <v>449</v>
      </c>
      <c r="G280" s="180" t="s">
        <v>449</v>
      </c>
      <c r="H280" s="181" t="s">
        <v>449</v>
      </c>
      <c r="I280" s="180" t="e">
        <f t="shared" si="17"/>
        <v>#VALUE!</v>
      </c>
      <c r="J280" s="181" t="s">
        <v>449</v>
      </c>
      <c r="K280" s="180" t="e">
        <f t="shared" si="18"/>
        <v>#VALUE!</v>
      </c>
      <c r="L280" s="180"/>
      <c r="M280" s="180"/>
      <c r="N280" s="180"/>
      <c r="O280" s="180" t="s">
        <v>449</v>
      </c>
      <c r="P280" s="180" t="s">
        <v>449</v>
      </c>
      <c r="Q280" s="180"/>
      <c r="R280" s="182"/>
      <c r="S280" s="180"/>
      <c r="T280" s="180"/>
      <c r="U280" s="180"/>
      <c r="V280" s="180"/>
      <c r="W280" s="180"/>
      <c r="X280" s="180"/>
      <c r="Y280" s="183"/>
      <c r="Z280" s="180"/>
      <c r="AA280" s="180"/>
      <c r="AB280" s="182"/>
      <c r="AC280" s="212"/>
      <c r="AD280" s="180" t="s">
        <v>449</v>
      </c>
      <c r="AE280" s="180" t="s">
        <v>449</v>
      </c>
      <c r="AF280" s="180" t="s">
        <v>449</v>
      </c>
      <c r="AG280" s="180"/>
      <c r="AH280" s="180" t="s">
        <v>449</v>
      </c>
      <c r="AI280" s="180" t="s">
        <v>449</v>
      </c>
      <c r="AJ280" s="180" t="s">
        <v>449</v>
      </c>
      <c r="AK280" s="184" t="s">
        <v>449</v>
      </c>
      <c r="AL280" s="182" t="s">
        <v>449</v>
      </c>
      <c r="AM280" s="182" t="s">
        <v>449</v>
      </c>
      <c r="AN280" s="182" t="s">
        <v>449</v>
      </c>
      <c r="AO280" s="182"/>
      <c r="AP280" s="182"/>
    </row>
    <row r="281" spans="1:42" s="185" customFormat="1" hidden="1" x14ac:dyDescent="0.2">
      <c r="A281" s="180" t="s">
        <v>449</v>
      </c>
      <c r="B281" s="180" t="s">
        <v>449</v>
      </c>
      <c r="C281" s="180" t="s">
        <v>449</v>
      </c>
      <c r="D281" s="180" t="s">
        <v>449</v>
      </c>
      <c r="E281" s="180" t="s">
        <v>449</v>
      </c>
      <c r="F281" s="180" t="s">
        <v>449</v>
      </c>
      <c r="G281" s="180" t="s">
        <v>449</v>
      </c>
      <c r="H281" s="181" t="s">
        <v>449</v>
      </c>
      <c r="I281" s="180" t="e">
        <f t="shared" si="17"/>
        <v>#VALUE!</v>
      </c>
      <c r="J281" s="181" t="s">
        <v>449</v>
      </c>
      <c r="K281" s="180" t="e">
        <f t="shared" si="18"/>
        <v>#VALUE!</v>
      </c>
      <c r="L281" s="180"/>
      <c r="M281" s="180"/>
      <c r="N281" s="180"/>
      <c r="O281" s="180" t="s">
        <v>449</v>
      </c>
      <c r="P281" s="180" t="s">
        <v>449</v>
      </c>
      <c r="Q281" s="180"/>
      <c r="R281" s="182"/>
      <c r="S281" s="180"/>
      <c r="T281" s="180"/>
      <c r="U281" s="180"/>
      <c r="V281" s="180"/>
      <c r="W281" s="180"/>
      <c r="X281" s="180"/>
      <c r="Y281" s="183"/>
      <c r="Z281" s="180"/>
      <c r="AA281" s="180"/>
      <c r="AB281" s="182"/>
      <c r="AC281" s="212"/>
      <c r="AD281" s="180" t="s">
        <v>449</v>
      </c>
      <c r="AE281" s="180" t="s">
        <v>449</v>
      </c>
      <c r="AF281" s="180" t="s">
        <v>449</v>
      </c>
      <c r="AG281" s="180"/>
      <c r="AH281" s="180" t="s">
        <v>449</v>
      </c>
      <c r="AI281" s="180" t="s">
        <v>449</v>
      </c>
      <c r="AJ281" s="180" t="s">
        <v>449</v>
      </c>
      <c r="AK281" s="184" t="s">
        <v>449</v>
      </c>
      <c r="AL281" s="182" t="s">
        <v>449</v>
      </c>
      <c r="AM281" s="182" t="s">
        <v>449</v>
      </c>
      <c r="AN281" s="182" t="s">
        <v>449</v>
      </c>
      <c r="AO281" s="182"/>
      <c r="AP281" s="182"/>
    </row>
    <row r="282" spans="1:42" s="185" customFormat="1" hidden="1" x14ac:dyDescent="0.2">
      <c r="A282" s="180" t="s">
        <v>449</v>
      </c>
      <c r="B282" s="180" t="s">
        <v>449</v>
      </c>
      <c r="C282" s="180" t="s">
        <v>449</v>
      </c>
      <c r="D282" s="180" t="s">
        <v>449</v>
      </c>
      <c r="E282" s="180" t="s">
        <v>449</v>
      </c>
      <c r="F282" s="180" t="s">
        <v>449</v>
      </c>
      <c r="G282" s="180" t="s">
        <v>449</v>
      </c>
      <c r="H282" s="181" t="s">
        <v>449</v>
      </c>
      <c r="I282" s="180" t="e">
        <f t="shared" si="17"/>
        <v>#VALUE!</v>
      </c>
      <c r="J282" s="181" t="s">
        <v>449</v>
      </c>
      <c r="K282" s="180" t="e">
        <f t="shared" si="18"/>
        <v>#VALUE!</v>
      </c>
      <c r="L282" s="180"/>
      <c r="M282" s="180"/>
      <c r="N282" s="180"/>
      <c r="O282" s="180" t="s">
        <v>449</v>
      </c>
      <c r="P282" s="180" t="s">
        <v>449</v>
      </c>
      <c r="Q282" s="180"/>
      <c r="R282" s="182"/>
      <c r="S282" s="180"/>
      <c r="T282" s="180"/>
      <c r="U282" s="180"/>
      <c r="V282" s="180"/>
      <c r="W282" s="180"/>
      <c r="X282" s="180"/>
      <c r="Y282" s="183"/>
      <c r="Z282" s="180"/>
      <c r="AA282" s="180"/>
      <c r="AB282" s="182"/>
      <c r="AC282" s="212"/>
      <c r="AD282" s="180" t="s">
        <v>449</v>
      </c>
      <c r="AE282" s="180" t="s">
        <v>449</v>
      </c>
      <c r="AF282" s="180" t="s">
        <v>449</v>
      </c>
      <c r="AG282" s="180"/>
      <c r="AH282" s="180" t="s">
        <v>449</v>
      </c>
      <c r="AI282" s="180" t="s">
        <v>449</v>
      </c>
      <c r="AJ282" s="180" t="s">
        <v>449</v>
      </c>
      <c r="AK282" s="184" t="s">
        <v>449</v>
      </c>
      <c r="AL282" s="182" t="s">
        <v>449</v>
      </c>
      <c r="AM282" s="182" t="s">
        <v>449</v>
      </c>
      <c r="AN282" s="182" t="s">
        <v>449</v>
      </c>
      <c r="AO282" s="182"/>
      <c r="AP282" s="182"/>
    </row>
    <row r="283" spans="1:42" s="185" customFormat="1" hidden="1" x14ac:dyDescent="0.2">
      <c r="A283" s="180" t="s">
        <v>449</v>
      </c>
      <c r="B283" s="180" t="s">
        <v>449</v>
      </c>
      <c r="C283" s="180" t="s">
        <v>449</v>
      </c>
      <c r="D283" s="180" t="s">
        <v>449</v>
      </c>
      <c r="E283" s="180" t="s">
        <v>449</v>
      </c>
      <c r="F283" s="180" t="s">
        <v>449</v>
      </c>
      <c r="G283" s="180" t="s">
        <v>449</v>
      </c>
      <c r="H283" s="181" t="s">
        <v>449</v>
      </c>
      <c r="I283" s="180" t="e">
        <f t="shared" ref="I283:I314" si="19">DATEDIF(H283,J283,"m")</f>
        <v>#VALUE!</v>
      </c>
      <c r="J283" s="181" t="s">
        <v>449</v>
      </c>
      <c r="K283" s="180" t="e">
        <f t="shared" ref="K283:K314" si="20">IF(I283&lt;=18,"NUEVO",IF(I283&lt;=36,"INTERMEDIO","ANTIGUO"))</f>
        <v>#VALUE!</v>
      </c>
      <c r="L283" s="180"/>
      <c r="M283" s="180"/>
      <c r="N283" s="180"/>
      <c r="O283" s="180" t="s">
        <v>449</v>
      </c>
      <c r="P283" s="180" t="s">
        <v>449</v>
      </c>
      <c r="Q283" s="180"/>
      <c r="R283" s="182"/>
      <c r="S283" s="180"/>
      <c r="T283" s="180"/>
      <c r="U283" s="180"/>
      <c r="V283" s="180"/>
      <c r="W283" s="180"/>
      <c r="X283" s="180"/>
      <c r="Y283" s="183"/>
      <c r="Z283" s="180"/>
      <c r="AA283" s="180"/>
      <c r="AB283" s="182"/>
      <c r="AC283" s="212"/>
      <c r="AD283" s="180" t="s">
        <v>449</v>
      </c>
      <c r="AE283" s="180" t="s">
        <v>449</v>
      </c>
      <c r="AF283" s="180" t="s">
        <v>449</v>
      </c>
      <c r="AG283" s="180"/>
      <c r="AH283" s="180" t="s">
        <v>449</v>
      </c>
      <c r="AI283" s="180" t="s">
        <v>449</v>
      </c>
      <c r="AJ283" s="180" t="s">
        <v>449</v>
      </c>
      <c r="AK283" s="184" t="s">
        <v>449</v>
      </c>
      <c r="AL283" s="182" t="s">
        <v>449</v>
      </c>
      <c r="AM283" s="182" t="s">
        <v>449</v>
      </c>
      <c r="AN283" s="182" t="s">
        <v>449</v>
      </c>
      <c r="AO283" s="182"/>
      <c r="AP283" s="182"/>
    </row>
    <row r="284" spans="1:42" s="185" customFormat="1" hidden="1" x14ac:dyDescent="0.2">
      <c r="A284" s="180" t="s">
        <v>449</v>
      </c>
      <c r="B284" s="180" t="s">
        <v>449</v>
      </c>
      <c r="C284" s="180" t="s">
        <v>449</v>
      </c>
      <c r="D284" s="180" t="s">
        <v>449</v>
      </c>
      <c r="E284" s="180" t="s">
        <v>449</v>
      </c>
      <c r="F284" s="180" t="s">
        <v>449</v>
      </c>
      <c r="G284" s="180" t="s">
        <v>449</v>
      </c>
      <c r="H284" s="181" t="s">
        <v>449</v>
      </c>
      <c r="I284" s="180" t="e">
        <f t="shared" si="19"/>
        <v>#VALUE!</v>
      </c>
      <c r="J284" s="181" t="s">
        <v>449</v>
      </c>
      <c r="K284" s="180" t="e">
        <f t="shared" si="20"/>
        <v>#VALUE!</v>
      </c>
      <c r="L284" s="180"/>
      <c r="M284" s="180"/>
      <c r="N284" s="180"/>
      <c r="O284" s="180" t="s">
        <v>449</v>
      </c>
      <c r="P284" s="180" t="s">
        <v>449</v>
      </c>
      <c r="Q284" s="180"/>
      <c r="R284" s="182"/>
      <c r="S284" s="180"/>
      <c r="T284" s="180"/>
      <c r="U284" s="180"/>
      <c r="V284" s="180"/>
      <c r="W284" s="180"/>
      <c r="X284" s="180"/>
      <c r="Y284" s="183"/>
      <c r="Z284" s="180"/>
      <c r="AA284" s="180"/>
      <c r="AB284" s="182"/>
      <c r="AC284" s="212"/>
      <c r="AD284" s="180" t="s">
        <v>449</v>
      </c>
      <c r="AE284" s="180" t="s">
        <v>449</v>
      </c>
      <c r="AF284" s="180" t="s">
        <v>449</v>
      </c>
      <c r="AG284" s="180"/>
      <c r="AH284" s="180" t="s">
        <v>449</v>
      </c>
      <c r="AI284" s="180" t="s">
        <v>449</v>
      </c>
      <c r="AJ284" s="180" t="s">
        <v>449</v>
      </c>
      <c r="AK284" s="184" t="s">
        <v>449</v>
      </c>
      <c r="AL284" s="182" t="s">
        <v>449</v>
      </c>
      <c r="AM284" s="182" t="s">
        <v>449</v>
      </c>
      <c r="AN284" s="182" t="s">
        <v>449</v>
      </c>
      <c r="AO284" s="182"/>
      <c r="AP284" s="182"/>
    </row>
    <row r="285" spans="1:42" s="185" customFormat="1" hidden="1" x14ac:dyDescent="0.2">
      <c r="A285" s="180" t="s">
        <v>449</v>
      </c>
      <c r="B285" s="180" t="s">
        <v>449</v>
      </c>
      <c r="C285" s="180" t="s">
        <v>449</v>
      </c>
      <c r="D285" s="180" t="s">
        <v>449</v>
      </c>
      <c r="E285" s="180" t="s">
        <v>449</v>
      </c>
      <c r="F285" s="180" t="s">
        <v>449</v>
      </c>
      <c r="G285" s="180" t="s">
        <v>449</v>
      </c>
      <c r="H285" s="181" t="s">
        <v>449</v>
      </c>
      <c r="I285" s="180" t="e">
        <f t="shared" si="19"/>
        <v>#VALUE!</v>
      </c>
      <c r="J285" s="181" t="s">
        <v>449</v>
      </c>
      <c r="K285" s="180" t="e">
        <f t="shared" si="20"/>
        <v>#VALUE!</v>
      </c>
      <c r="L285" s="180"/>
      <c r="M285" s="180"/>
      <c r="N285" s="180"/>
      <c r="O285" s="180" t="s">
        <v>449</v>
      </c>
      <c r="P285" s="180" t="s">
        <v>449</v>
      </c>
      <c r="Q285" s="180"/>
      <c r="R285" s="182"/>
      <c r="S285" s="180"/>
      <c r="T285" s="180"/>
      <c r="U285" s="180"/>
      <c r="V285" s="180"/>
      <c r="W285" s="180"/>
      <c r="X285" s="180"/>
      <c r="Y285" s="183"/>
      <c r="Z285" s="180"/>
      <c r="AA285" s="180"/>
      <c r="AB285" s="182"/>
      <c r="AC285" s="212"/>
      <c r="AD285" s="180" t="s">
        <v>449</v>
      </c>
      <c r="AE285" s="180" t="s">
        <v>449</v>
      </c>
      <c r="AF285" s="180" t="s">
        <v>449</v>
      </c>
      <c r="AG285" s="180"/>
      <c r="AH285" s="180" t="s">
        <v>449</v>
      </c>
      <c r="AI285" s="180" t="s">
        <v>449</v>
      </c>
      <c r="AJ285" s="180" t="s">
        <v>449</v>
      </c>
      <c r="AK285" s="184" t="s">
        <v>449</v>
      </c>
      <c r="AL285" s="182" t="s">
        <v>449</v>
      </c>
      <c r="AM285" s="182" t="s">
        <v>449</v>
      </c>
      <c r="AN285" s="182" t="s">
        <v>449</v>
      </c>
      <c r="AO285" s="182"/>
      <c r="AP285" s="182"/>
    </row>
    <row r="286" spans="1:42" s="185" customFormat="1" hidden="1" x14ac:dyDescent="0.2">
      <c r="A286" s="180" t="s">
        <v>449</v>
      </c>
      <c r="B286" s="180" t="s">
        <v>449</v>
      </c>
      <c r="C286" s="180" t="s">
        <v>449</v>
      </c>
      <c r="D286" s="180" t="s">
        <v>449</v>
      </c>
      <c r="E286" s="180" t="s">
        <v>449</v>
      </c>
      <c r="F286" s="180" t="s">
        <v>449</v>
      </c>
      <c r="G286" s="180" t="s">
        <v>449</v>
      </c>
      <c r="H286" s="181" t="s">
        <v>449</v>
      </c>
      <c r="I286" s="180" t="e">
        <f t="shared" si="19"/>
        <v>#VALUE!</v>
      </c>
      <c r="J286" s="181" t="s">
        <v>449</v>
      </c>
      <c r="K286" s="180" t="e">
        <f t="shared" si="20"/>
        <v>#VALUE!</v>
      </c>
      <c r="L286" s="180"/>
      <c r="M286" s="180"/>
      <c r="N286" s="180"/>
      <c r="O286" s="180" t="s">
        <v>449</v>
      </c>
      <c r="P286" s="180" t="s">
        <v>449</v>
      </c>
      <c r="Q286" s="180"/>
      <c r="R286" s="182"/>
      <c r="S286" s="180"/>
      <c r="T286" s="180"/>
      <c r="U286" s="180"/>
      <c r="V286" s="180"/>
      <c r="W286" s="180"/>
      <c r="X286" s="180"/>
      <c r="Y286" s="183"/>
      <c r="Z286" s="180"/>
      <c r="AA286" s="180"/>
      <c r="AB286" s="182"/>
      <c r="AC286" s="212"/>
      <c r="AD286" s="180" t="s">
        <v>449</v>
      </c>
      <c r="AE286" s="180" t="s">
        <v>449</v>
      </c>
      <c r="AF286" s="180" t="s">
        <v>449</v>
      </c>
      <c r="AG286" s="180"/>
      <c r="AH286" s="180" t="s">
        <v>449</v>
      </c>
      <c r="AI286" s="180" t="s">
        <v>449</v>
      </c>
      <c r="AJ286" s="180" t="s">
        <v>449</v>
      </c>
      <c r="AK286" s="184" t="s">
        <v>449</v>
      </c>
      <c r="AL286" s="182" t="s">
        <v>449</v>
      </c>
      <c r="AM286" s="182" t="s">
        <v>449</v>
      </c>
      <c r="AN286" s="182" t="s">
        <v>449</v>
      </c>
      <c r="AO286" s="182"/>
      <c r="AP286" s="182"/>
    </row>
    <row r="287" spans="1:42" s="185" customFormat="1" hidden="1" x14ac:dyDescent="0.2">
      <c r="A287" s="180" t="s">
        <v>449</v>
      </c>
      <c r="B287" s="180" t="s">
        <v>449</v>
      </c>
      <c r="C287" s="180" t="s">
        <v>449</v>
      </c>
      <c r="D287" s="180" t="s">
        <v>449</v>
      </c>
      <c r="E287" s="180" t="s">
        <v>449</v>
      </c>
      <c r="F287" s="180" t="s">
        <v>449</v>
      </c>
      <c r="G287" s="180" t="s">
        <v>449</v>
      </c>
      <c r="H287" s="181" t="s">
        <v>449</v>
      </c>
      <c r="I287" s="180" t="e">
        <f t="shared" si="19"/>
        <v>#VALUE!</v>
      </c>
      <c r="J287" s="181" t="s">
        <v>449</v>
      </c>
      <c r="K287" s="180" t="e">
        <f t="shared" si="20"/>
        <v>#VALUE!</v>
      </c>
      <c r="L287" s="180"/>
      <c r="M287" s="180"/>
      <c r="N287" s="180"/>
      <c r="O287" s="180" t="s">
        <v>449</v>
      </c>
      <c r="P287" s="180" t="s">
        <v>449</v>
      </c>
      <c r="Q287" s="180"/>
      <c r="R287" s="182"/>
      <c r="S287" s="180"/>
      <c r="T287" s="180"/>
      <c r="U287" s="180"/>
      <c r="V287" s="180"/>
      <c r="W287" s="180"/>
      <c r="X287" s="180"/>
      <c r="Y287" s="183"/>
      <c r="Z287" s="180"/>
      <c r="AA287" s="180"/>
      <c r="AB287" s="182"/>
      <c r="AC287" s="212"/>
      <c r="AD287" s="180" t="s">
        <v>449</v>
      </c>
      <c r="AE287" s="180" t="s">
        <v>449</v>
      </c>
      <c r="AF287" s="180" t="s">
        <v>449</v>
      </c>
      <c r="AG287" s="180"/>
      <c r="AH287" s="180" t="s">
        <v>449</v>
      </c>
      <c r="AI287" s="180" t="s">
        <v>449</v>
      </c>
      <c r="AJ287" s="180" t="s">
        <v>449</v>
      </c>
      <c r="AK287" s="184" t="s">
        <v>449</v>
      </c>
      <c r="AL287" s="182" t="s">
        <v>449</v>
      </c>
      <c r="AM287" s="182" t="s">
        <v>449</v>
      </c>
      <c r="AN287" s="182" t="s">
        <v>449</v>
      </c>
      <c r="AO287" s="182"/>
      <c r="AP287" s="182"/>
    </row>
    <row r="288" spans="1:42" s="185" customFormat="1" hidden="1" x14ac:dyDescent="0.2">
      <c r="A288" s="180" t="s">
        <v>449</v>
      </c>
      <c r="B288" s="180" t="s">
        <v>449</v>
      </c>
      <c r="C288" s="180" t="s">
        <v>449</v>
      </c>
      <c r="D288" s="180" t="s">
        <v>449</v>
      </c>
      <c r="E288" s="180" t="s">
        <v>449</v>
      </c>
      <c r="F288" s="180" t="s">
        <v>449</v>
      </c>
      <c r="G288" s="180" t="s">
        <v>449</v>
      </c>
      <c r="H288" s="181" t="s">
        <v>449</v>
      </c>
      <c r="I288" s="180" t="e">
        <f t="shared" si="19"/>
        <v>#VALUE!</v>
      </c>
      <c r="J288" s="181" t="s">
        <v>449</v>
      </c>
      <c r="K288" s="180" t="e">
        <f t="shared" si="20"/>
        <v>#VALUE!</v>
      </c>
      <c r="L288" s="180"/>
      <c r="M288" s="180"/>
      <c r="N288" s="180"/>
      <c r="O288" s="180" t="s">
        <v>449</v>
      </c>
      <c r="P288" s="180" t="s">
        <v>449</v>
      </c>
      <c r="Q288" s="180"/>
      <c r="R288" s="182"/>
      <c r="S288" s="180"/>
      <c r="T288" s="180"/>
      <c r="U288" s="180"/>
      <c r="V288" s="180"/>
      <c r="W288" s="180"/>
      <c r="X288" s="180"/>
      <c r="Y288" s="183"/>
      <c r="Z288" s="180"/>
      <c r="AA288" s="180"/>
      <c r="AB288" s="182"/>
      <c r="AC288" s="212"/>
      <c r="AD288" s="180" t="s">
        <v>449</v>
      </c>
      <c r="AE288" s="180" t="s">
        <v>449</v>
      </c>
      <c r="AF288" s="180" t="s">
        <v>449</v>
      </c>
      <c r="AG288" s="180"/>
      <c r="AH288" s="180" t="s">
        <v>449</v>
      </c>
      <c r="AI288" s="180" t="s">
        <v>449</v>
      </c>
      <c r="AJ288" s="180" t="s">
        <v>449</v>
      </c>
      <c r="AK288" s="184" t="s">
        <v>449</v>
      </c>
      <c r="AL288" s="182" t="s">
        <v>449</v>
      </c>
      <c r="AM288" s="182" t="s">
        <v>449</v>
      </c>
      <c r="AN288" s="182" t="s">
        <v>449</v>
      </c>
      <c r="AO288" s="182"/>
      <c r="AP288" s="182"/>
    </row>
    <row r="289" spans="1:42" s="185" customFormat="1" hidden="1" x14ac:dyDescent="0.2">
      <c r="A289" s="180" t="s">
        <v>449</v>
      </c>
      <c r="B289" s="180" t="s">
        <v>449</v>
      </c>
      <c r="C289" s="180" t="s">
        <v>449</v>
      </c>
      <c r="D289" s="180" t="s">
        <v>449</v>
      </c>
      <c r="E289" s="180" t="s">
        <v>449</v>
      </c>
      <c r="F289" s="180" t="s">
        <v>449</v>
      </c>
      <c r="G289" s="180" t="s">
        <v>449</v>
      </c>
      <c r="H289" s="181" t="s">
        <v>449</v>
      </c>
      <c r="I289" s="180" t="e">
        <f t="shared" si="19"/>
        <v>#VALUE!</v>
      </c>
      <c r="J289" s="181" t="s">
        <v>449</v>
      </c>
      <c r="K289" s="180" t="e">
        <f t="shared" si="20"/>
        <v>#VALUE!</v>
      </c>
      <c r="L289" s="180"/>
      <c r="M289" s="180"/>
      <c r="N289" s="180"/>
      <c r="O289" s="180" t="s">
        <v>449</v>
      </c>
      <c r="P289" s="180" t="s">
        <v>449</v>
      </c>
      <c r="Q289" s="180"/>
      <c r="R289" s="182"/>
      <c r="S289" s="180"/>
      <c r="T289" s="180"/>
      <c r="U289" s="180"/>
      <c r="V289" s="180"/>
      <c r="W289" s="180"/>
      <c r="X289" s="180"/>
      <c r="Y289" s="183"/>
      <c r="Z289" s="180"/>
      <c r="AA289" s="180"/>
      <c r="AB289" s="182"/>
      <c r="AC289" s="212"/>
      <c r="AD289" s="180" t="s">
        <v>449</v>
      </c>
      <c r="AE289" s="180" t="s">
        <v>449</v>
      </c>
      <c r="AF289" s="180" t="s">
        <v>449</v>
      </c>
      <c r="AG289" s="180"/>
      <c r="AH289" s="180" t="s">
        <v>449</v>
      </c>
      <c r="AI289" s="180" t="s">
        <v>449</v>
      </c>
      <c r="AJ289" s="180" t="s">
        <v>449</v>
      </c>
      <c r="AK289" s="184" t="s">
        <v>449</v>
      </c>
      <c r="AL289" s="182" t="s">
        <v>449</v>
      </c>
      <c r="AM289" s="182" t="s">
        <v>449</v>
      </c>
      <c r="AN289" s="182" t="s">
        <v>449</v>
      </c>
      <c r="AO289" s="182"/>
      <c r="AP289" s="182"/>
    </row>
    <row r="290" spans="1:42" s="185" customFormat="1" hidden="1" x14ac:dyDescent="0.2">
      <c r="A290" s="180" t="s">
        <v>449</v>
      </c>
      <c r="B290" s="180" t="s">
        <v>449</v>
      </c>
      <c r="C290" s="180" t="s">
        <v>449</v>
      </c>
      <c r="D290" s="180" t="s">
        <v>449</v>
      </c>
      <c r="E290" s="180" t="s">
        <v>449</v>
      </c>
      <c r="F290" s="180" t="s">
        <v>449</v>
      </c>
      <c r="G290" s="180" t="s">
        <v>449</v>
      </c>
      <c r="H290" s="181" t="s">
        <v>449</v>
      </c>
      <c r="I290" s="180" t="e">
        <f t="shared" si="19"/>
        <v>#VALUE!</v>
      </c>
      <c r="J290" s="181" t="s">
        <v>449</v>
      </c>
      <c r="K290" s="180" t="e">
        <f t="shared" si="20"/>
        <v>#VALUE!</v>
      </c>
      <c r="L290" s="180"/>
      <c r="M290" s="180"/>
      <c r="N290" s="180"/>
      <c r="O290" s="180" t="s">
        <v>449</v>
      </c>
      <c r="P290" s="180" t="s">
        <v>449</v>
      </c>
      <c r="Q290" s="180"/>
      <c r="R290" s="182"/>
      <c r="S290" s="180"/>
      <c r="T290" s="180"/>
      <c r="U290" s="180"/>
      <c r="V290" s="180"/>
      <c r="W290" s="180"/>
      <c r="X290" s="180"/>
      <c r="Y290" s="183"/>
      <c r="Z290" s="180"/>
      <c r="AA290" s="180"/>
      <c r="AB290" s="182"/>
      <c r="AC290" s="212"/>
      <c r="AD290" s="180" t="s">
        <v>449</v>
      </c>
      <c r="AE290" s="180" t="s">
        <v>449</v>
      </c>
      <c r="AF290" s="180" t="s">
        <v>449</v>
      </c>
      <c r="AG290" s="180"/>
      <c r="AH290" s="180" t="s">
        <v>449</v>
      </c>
      <c r="AI290" s="180" t="s">
        <v>449</v>
      </c>
      <c r="AJ290" s="180" t="s">
        <v>449</v>
      </c>
      <c r="AK290" s="184" t="s">
        <v>449</v>
      </c>
      <c r="AL290" s="182" t="s">
        <v>449</v>
      </c>
      <c r="AM290" s="182" t="s">
        <v>449</v>
      </c>
      <c r="AN290" s="182" t="s">
        <v>449</v>
      </c>
      <c r="AO290" s="182"/>
      <c r="AP290" s="182"/>
    </row>
    <row r="291" spans="1:42" s="185" customFormat="1" hidden="1" x14ac:dyDescent="0.2">
      <c r="A291" s="180" t="s">
        <v>449</v>
      </c>
      <c r="B291" s="180" t="s">
        <v>449</v>
      </c>
      <c r="C291" s="180" t="s">
        <v>449</v>
      </c>
      <c r="D291" s="180" t="s">
        <v>449</v>
      </c>
      <c r="E291" s="180" t="s">
        <v>449</v>
      </c>
      <c r="F291" s="180" t="s">
        <v>449</v>
      </c>
      <c r="G291" s="180" t="s">
        <v>449</v>
      </c>
      <c r="H291" s="181" t="s">
        <v>449</v>
      </c>
      <c r="I291" s="180" t="e">
        <f t="shared" si="19"/>
        <v>#VALUE!</v>
      </c>
      <c r="J291" s="181" t="s">
        <v>449</v>
      </c>
      <c r="K291" s="180" t="e">
        <f t="shared" si="20"/>
        <v>#VALUE!</v>
      </c>
      <c r="L291" s="180"/>
      <c r="M291" s="180"/>
      <c r="N291" s="180"/>
      <c r="O291" s="180" t="s">
        <v>449</v>
      </c>
      <c r="P291" s="180" t="s">
        <v>449</v>
      </c>
      <c r="Q291" s="180"/>
      <c r="R291" s="182"/>
      <c r="S291" s="180"/>
      <c r="T291" s="180"/>
      <c r="U291" s="180"/>
      <c r="V291" s="180"/>
      <c r="W291" s="180"/>
      <c r="X291" s="180"/>
      <c r="Y291" s="183"/>
      <c r="Z291" s="180"/>
      <c r="AA291" s="180"/>
      <c r="AB291" s="182"/>
      <c r="AC291" s="212"/>
      <c r="AD291" s="180" t="s">
        <v>449</v>
      </c>
      <c r="AE291" s="180" t="s">
        <v>449</v>
      </c>
      <c r="AF291" s="180" t="s">
        <v>449</v>
      </c>
      <c r="AG291" s="180"/>
      <c r="AH291" s="180" t="s">
        <v>449</v>
      </c>
      <c r="AI291" s="180" t="s">
        <v>449</v>
      </c>
      <c r="AJ291" s="180" t="s">
        <v>449</v>
      </c>
      <c r="AK291" s="184" t="s">
        <v>449</v>
      </c>
      <c r="AL291" s="182" t="s">
        <v>449</v>
      </c>
      <c r="AM291" s="182" t="s">
        <v>449</v>
      </c>
      <c r="AN291" s="182" t="s">
        <v>449</v>
      </c>
      <c r="AO291" s="182"/>
      <c r="AP291" s="182"/>
    </row>
    <row r="292" spans="1:42" s="185" customFormat="1" hidden="1" x14ac:dyDescent="0.2">
      <c r="A292" s="180" t="s">
        <v>449</v>
      </c>
      <c r="B292" s="180" t="s">
        <v>449</v>
      </c>
      <c r="C292" s="180" t="s">
        <v>449</v>
      </c>
      <c r="D292" s="180" t="s">
        <v>449</v>
      </c>
      <c r="E292" s="180" t="s">
        <v>449</v>
      </c>
      <c r="F292" s="180" t="s">
        <v>449</v>
      </c>
      <c r="G292" s="180" t="s">
        <v>449</v>
      </c>
      <c r="H292" s="181" t="s">
        <v>449</v>
      </c>
      <c r="I292" s="180" t="e">
        <f t="shared" si="19"/>
        <v>#VALUE!</v>
      </c>
      <c r="J292" s="181" t="s">
        <v>449</v>
      </c>
      <c r="K292" s="180" t="e">
        <f t="shared" si="20"/>
        <v>#VALUE!</v>
      </c>
      <c r="L292" s="180"/>
      <c r="M292" s="180"/>
      <c r="N292" s="180"/>
      <c r="O292" s="180" t="s">
        <v>449</v>
      </c>
      <c r="P292" s="180" t="s">
        <v>449</v>
      </c>
      <c r="Q292" s="180"/>
      <c r="R292" s="182"/>
      <c r="S292" s="180"/>
      <c r="T292" s="180"/>
      <c r="U292" s="180"/>
      <c r="V292" s="180"/>
      <c r="W292" s="180"/>
      <c r="X292" s="180"/>
      <c r="Y292" s="183"/>
      <c r="Z292" s="180"/>
      <c r="AA292" s="180"/>
      <c r="AB292" s="182"/>
      <c r="AC292" s="212"/>
      <c r="AD292" s="180" t="s">
        <v>449</v>
      </c>
      <c r="AE292" s="180" t="s">
        <v>449</v>
      </c>
      <c r="AF292" s="180" t="s">
        <v>449</v>
      </c>
      <c r="AG292" s="180"/>
      <c r="AH292" s="180" t="s">
        <v>449</v>
      </c>
      <c r="AI292" s="180" t="s">
        <v>449</v>
      </c>
      <c r="AJ292" s="180" t="s">
        <v>449</v>
      </c>
      <c r="AK292" s="184" t="s">
        <v>449</v>
      </c>
      <c r="AL292" s="182" t="s">
        <v>449</v>
      </c>
      <c r="AM292" s="182" t="s">
        <v>449</v>
      </c>
      <c r="AN292" s="182" t="s">
        <v>449</v>
      </c>
      <c r="AO292" s="182"/>
      <c r="AP292" s="182"/>
    </row>
    <row r="293" spans="1:42" s="185" customFormat="1" hidden="1" x14ac:dyDescent="0.2">
      <c r="A293" s="180" t="s">
        <v>449</v>
      </c>
      <c r="B293" s="180" t="s">
        <v>449</v>
      </c>
      <c r="C293" s="180" t="s">
        <v>449</v>
      </c>
      <c r="D293" s="180" t="s">
        <v>449</v>
      </c>
      <c r="E293" s="180" t="s">
        <v>449</v>
      </c>
      <c r="F293" s="180" t="s">
        <v>449</v>
      </c>
      <c r="G293" s="180" t="s">
        <v>449</v>
      </c>
      <c r="H293" s="181" t="s">
        <v>449</v>
      </c>
      <c r="I293" s="180" t="e">
        <f t="shared" si="19"/>
        <v>#VALUE!</v>
      </c>
      <c r="J293" s="181" t="s">
        <v>449</v>
      </c>
      <c r="K293" s="180" t="e">
        <f t="shared" si="20"/>
        <v>#VALUE!</v>
      </c>
      <c r="L293" s="180"/>
      <c r="M293" s="180"/>
      <c r="N293" s="180"/>
      <c r="O293" s="180" t="s">
        <v>449</v>
      </c>
      <c r="P293" s="180" t="s">
        <v>449</v>
      </c>
      <c r="Q293" s="180"/>
      <c r="R293" s="182"/>
      <c r="S293" s="180"/>
      <c r="T293" s="180"/>
      <c r="U293" s="180"/>
      <c r="V293" s="180"/>
      <c r="W293" s="180"/>
      <c r="X293" s="180"/>
      <c r="Y293" s="183"/>
      <c r="Z293" s="180"/>
      <c r="AA293" s="180"/>
      <c r="AB293" s="182"/>
      <c r="AC293" s="212"/>
      <c r="AD293" s="180" t="s">
        <v>449</v>
      </c>
      <c r="AE293" s="180" t="s">
        <v>449</v>
      </c>
      <c r="AF293" s="180" t="s">
        <v>449</v>
      </c>
      <c r="AG293" s="180"/>
      <c r="AH293" s="180" t="s">
        <v>449</v>
      </c>
      <c r="AI293" s="180" t="s">
        <v>449</v>
      </c>
      <c r="AJ293" s="180" t="s">
        <v>449</v>
      </c>
      <c r="AK293" s="184" t="s">
        <v>449</v>
      </c>
      <c r="AL293" s="182" t="s">
        <v>449</v>
      </c>
      <c r="AM293" s="182" t="s">
        <v>449</v>
      </c>
      <c r="AN293" s="182" t="s">
        <v>449</v>
      </c>
      <c r="AO293" s="182"/>
      <c r="AP293" s="182"/>
    </row>
    <row r="294" spans="1:42" s="185" customFormat="1" hidden="1" x14ac:dyDescent="0.2">
      <c r="A294" s="180" t="s">
        <v>449</v>
      </c>
      <c r="B294" s="180" t="s">
        <v>449</v>
      </c>
      <c r="C294" s="180" t="s">
        <v>449</v>
      </c>
      <c r="D294" s="180" t="s">
        <v>449</v>
      </c>
      <c r="E294" s="180" t="s">
        <v>449</v>
      </c>
      <c r="F294" s="180" t="s">
        <v>449</v>
      </c>
      <c r="G294" s="180" t="s">
        <v>449</v>
      </c>
      <c r="H294" s="181" t="s">
        <v>449</v>
      </c>
      <c r="I294" s="180" t="e">
        <f t="shared" si="19"/>
        <v>#VALUE!</v>
      </c>
      <c r="J294" s="181" t="s">
        <v>449</v>
      </c>
      <c r="K294" s="180" t="e">
        <f t="shared" si="20"/>
        <v>#VALUE!</v>
      </c>
      <c r="L294" s="180"/>
      <c r="M294" s="180"/>
      <c r="N294" s="180"/>
      <c r="O294" s="180" t="s">
        <v>449</v>
      </c>
      <c r="P294" s="180" t="s">
        <v>449</v>
      </c>
      <c r="Q294" s="180"/>
      <c r="R294" s="182"/>
      <c r="S294" s="180"/>
      <c r="T294" s="180"/>
      <c r="U294" s="180"/>
      <c r="V294" s="180"/>
      <c r="W294" s="180"/>
      <c r="X294" s="180"/>
      <c r="Y294" s="183"/>
      <c r="Z294" s="180"/>
      <c r="AA294" s="180"/>
      <c r="AB294" s="182"/>
      <c r="AC294" s="212"/>
      <c r="AD294" s="180" t="s">
        <v>449</v>
      </c>
      <c r="AE294" s="180" t="s">
        <v>449</v>
      </c>
      <c r="AF294" s="180" t="s">
        <v>449</v>
      </c>
      <c r="AG294" s="180"/>
      <c r="AH294" s="180" t="s">
        <v>449</v>
      </c>
      <c r="AI294" s="180" t="s">
        <v>449</v>
      </c>
      <c r="AJ294" s="180" t="s">
        <v>449</v>
      </c>
      <c r="AK294" s="184" t="s">
        <v>449</v>
      </c>
      <c r="AL294" s="182" t="s">
        <v>449</v>
      </c>
      <c r="AM294" s="182" t="s">
        <v>449</v>
      </c>
      <c r="AN294" s="182" t="s">
        <v>449</v>
      </c>
      <c r="AO294" s="182"/>
      <c r="AP294" s="182"/>
    </row>
    <row r="295" spans="1:42" s="185" customFormat="1" hidden="1" x14ac:dyDescent="0.2">
      <c r="A295" s="180" t="s">
        <v>449</v>
      </c>
      <c r="B295" s="180" t="s">
        <v>449</v>
      </c>
      <c r="C295" s="180" t="s">
        <v>449</v>
      </c>
      <c r="D295" s="180" t="s">
        <v>449</v>
      </c>
      <c r="E295" s="180" t="s">
        <v>449</v>
      </c>
      <c r="F295" s="180" t="s">
        <v>449</v>
      </c>
      <c r="G295" s="180" t="s">
        <v>449</v>
      </c>
      <c r="H295" s="181" t="s">
        <v>449</v>
      </c>
      <c r="I295" s="180" t="e">
        <f t="shared" si="19"/>
        <v>#VALUE!</v>
      </c>
      <c r="J295" s="181" t="s">
        <v>449</v>
      </c>
      <c r="K295" s="180" t="e">
        <f t="shared" si="20"/>
        <v>#VALUE!</v>
      </c>
      <c r="L295" s="180"/>
      <c r="M295" s="180"/>
      <c r="N295" s="180"/>
      <c r="O295" s="180" t="s">
        <v>449</v>
      </c>
      <c r="P295" s="180" t="s">
        <v>449</v>
      </c>
      <c r="Q295" s="180"/>
      <c r="R295" s="182"/>
      <c r="S295" s="180"/>
      <c r="T295" s="180"/>
      <c r="U295" s="180"/>
      <c r="V295" s="180"/>
      <c r="W295" s="180"/>
      <c r="X295" s="180"/>
      <c r="Y295" s="183"/>
      <c r="Z295" s="180"/>
      <c r="AA295" s="180"/>
      <c r="AB295" s="182"/>
      <c r="AC295" s="212"/>
      <c r="AD295" s="180" t="s">
        <v>449</v>
      </c>
      <c r="AE295" s="180" t="s">
        <v>449</v>
      </c>
      <c r="AF295" s="180" t="s">
        <v>449</v>
      </c>
      <c r="AG295" s="180"/>
      <c r="AH295" s="180" t="s">
        <v>449</v>
      </c>
      <c r="AI295" s="180" t="s">
        <v>449</v>
      </c>
      <c r="AJ295" s="180" t="s">
        <v>449</v>
      </c>
      <c r="AK295" s="184" t="s">
        <v>449</v>
      </c>
      <c r="AL295" s="182" t="s">
        <v>449</v>
      </c>
      <c r="AM295" s="182" t="s">
        <v>449</v>
      </c>
      <c r="AN295" s="182" t="s">
        <v>449</v>
      </c>
      <c r="AO295" s="182"/>
      <c r="AP295" s="182"/>
    </row>
    <row r="296" spans="1:42" s="185" customFormat="1" hidden="1" x14ac:dyDescent="0.2">
      <c r="A296" s="180" t="s">
        <v>449</v>
      </c>
      <c r="B296" s="180" t="s">
        <v>449</v>
      </c>
      <c r="C296" s="180" t="s">
        <v>449</v>
      </c>
      <c r="D296" s="180" t="s">
        <v>449</v>
      </c>
      <c r="E296" s="180" t="s">
        <v>449</v>
      </c>
      <c r="F296" s="180" t="s">
        <v>449</v>
      </c>
      <c r="G296" s="180" t="s">
        <v>449</v>
      </c>
      <c r="H296" s="181" t="s">
        <v>449</v>
      </c>
      <c r="I296" s="180" t="e">
        <f t="shared" si="19"/>
        <v>#VALUE!</v>
      </c>
      <c r="J296" s="181" t="s">
        <v>449</v>
      </c>
      <c r="K296" s="180" t="e">
        <f t="shared" si="20"/>
        <v>#VALUE!</v>
      </c>
      <c r="L296" s="180"/>
      <c r="M296" s="180"/>
      <c r="N296" s="180"/>
      <c r="O296" s="180" t="s">
        <v>449</v>
      </c>
      <c r="P296" s="180" t="s">
        <v>449</v>
      </c>
      <c r="Q296" s="180"/>
      <c r="R296" s="182"/>
      <c r="S296" s="180"/>
      <c r="T296" s="180"/>
      <c r="U296" s="180"/>
      <c r="V296" s="180"/>
      <c r="W296" s="180"/>
      <c r="X296" s="180"/>
      <c r="Y296" s="183"/>
      <c r="Z296" s="180"/>
      <c r="AA296" s="180"/>
      <c r="AB296" s="182"/>
      <c r="AC296" s="212"/>
      <c r="AD296" s="180" t="s">
        <v>449</v>
      </c>
      <c r="AE296" s="180" t="s">
        <v>449</v>
      </c>
      <c r="AF296" s="180" t="s">
        <v>449</v>
      </c>
      <c r="AG296" s="180"/>
      <c r="AH296" s="180" t="s">
        <v>449</v>
      </c>
      <c r="AI296" s="180" t="s">
        <v>449</v>
      </c>
      <c r="AJ296" s="180" t="s">
        <v>449</v>
      </c>
      <c r="AK296" s="184" t="s">
        <v>449</v>
      </c>
      <c r="AL296" s="182" t="s">
        <v>449</v>
      </c>
      <c r="AM296" s="182" t="s">
        <v>449</v>
      </c>
      <c r="AN296" s="182" t="s">
        <v>449</v>
      </c>
      <c r="AO296" s="182"/>
      <c r="AP296" s="182"/>
    </row>
    <row r="297" spans="1:42" s="185" customFormat="1" hidden="1" x14ac:dyDescent="0.2">
      <c r="A297" s="180" t="s">
        <v>449</v>
      </c>
      <c r="B297" s="180" t="s">
        <v>449</v>
      </c>
      <c r="C297" s="180" t="s">
        <v>449</v>
      </c>
      <c r="D297" s="180" t="s">
        <v>449</v>
      </c>
      <c r="E297" s="180" t="s">
        <v>449</v>
      </c>
      <c r="F297" s="180" t="s">
        <v>449</v>
      </c>
      <c r="G297" s="180" t="s">
        <v>449</v>
      </c>
      <c r="H297" s="181" t="s">
        <v>449</v>
      </c>
      <c r="I297" s="180" t="e">
        <f t="shared" si="19"/>
        <v>#VALUE!</v>
      </c>
      <c r="J297" s="181" t="s">
        <v>449</v>
      </c>
      <c r="K297" s="180" t="e">
        <f t="shared" si="20"/>
        <v>#VALUE!</v>
      </c>
      <c r="L297" s="180"/>
      <c r="M297" s="180"/>
      <c r="N297" s="180"/>
      <c r="O297" s="180" t="s">
        <v>449</v>
      </c>
      <c r="P297" s="180" t="s">
        <v>449</v>
      </c>
      <c r="Q297" s="180"/>
      <c r="R297" s="182"/>
      <c r="S297" s="180"/>
      <c r="T297" s="180"/>
      <c r="U297" s="180"/>
      <c r="V297" s="180"/>
      <c r="W297" s="180"/>
      <c r="X297" s="180"/>
      <c r="Y297" s="183"/>
      <c r="Z297" s="180"/>
      <c r="AA297" s="180"/>
      <c r="AB297" s="182"/>
      <c r="AC297" s="212"/>
      <c r="AD297" s="180" t="s">
        <v>449</v>
      </c>
      <c r="AE297" s="180" t="s">
        <v>449</v>
      </c>
      <c r="AF297" s="180" t="s">
        <v>449</v>
      </c>
      <c r="AG297" s="180"/>
      <c r="AH297" s="180" t="s">
        <v>449</v>
      </c>
      <c r="AI297" s="180" t="s">
        <v>449</v>
      </c>
      <c r="AJ297" s="180" t="s">
        <v>449</v>
      </c>
      <c r="AK297" s="184" t="s">
        <v>449</v>
      </c>
      <c r="AL297" s="182" t="s">
        <v>449</v>
      </c>
      <c r="AM297" s="182" t="s">
        <v>449</v>
      </c>
      <c r="AN297" s="182" t="s">
        <v>449</v>
      </c>
      <c r="AO297" s="182"/>
      <c r="AP297" s="182"/>
    </row>
    <row r="298" spans="1:42" s="185" customFormat="1" hidden="1" x14ac:dyDescent="0.2">
      <c r="A298" s="180" t="s">
        <v>449</v>
      </c>
      <c r="B298" s="180" t="s">
        <v>449</v>
      </c>
      <c r="C298" s="180" t="s">
        <v>449</v>
      </c>
      <c r="D298" s="180" t="s">
        <v>449</v>
      </c>
      <c r="E298" s="180" t="s">
        <v>449</v>
      </c>
      <c r="F298" s="180" t="s">
        <v>449</v>
      </c>
      <c r="G298" s="180" t="s">
        <v>449</v>
      </c>
      <c r="H298" s="181" t="s">
        <v>449</v>
      </c>
      <c r="I298" s="180" t="e">
        <f t="shared" si="19"/>
        <v>#VALUE!</v>
      </c>
      <c r="J298" s="181" t="s">
        <v>449</v>
      </c>
      <c r="K298" s="180" t="e">
        <f t="shared" si="20"/>
        <v>#VALUE!</v>
      </c>
      <c r="L298" s="180"/>
      <c r="M298" s="180"/>
      <c r="N298" s="180"/>
      <c r="O298" s="180" t="s">
        <v>449</v>
      </c>
      <c r="P298" s="180" t="s">
        <v>449</v>
      </c>
      <c r="Q298" s="180"/>
      <c r="R298" s="182"/>
      <c r="S298" s="180"/>
      <c r="T298" s="180"/>
      <c r="U298" s="180"/>
      <c r="V298" s="180"/>
      <c r="W298" s="180"/>
      <c r="X298" s="180"/>
      <c r="Y298" s="183"/>
      <c r="Z298" s="180"/>
      <c r="AA298" s="180"/>
      <c r="AB298" s="182"/>
      <c r="AC298" s="212"/>
      <c r="AD298" s="180" t="s">
        <v>449</v>
      </c>
      <c r="AE298" s="180" t="s">
        <v>449</v>
      </c>
      <c r="AF298" s="180" t="s">
        <v>449</v>
      </c>
      <c r="AG298" s="180"/>
      <c r="AH298" s="180" t="s">
        <v>449</v>
      </c>
      <c r="AI298" s="180" t="s">
        <v>449</v>
      </c>
      <c r="AJ298" s="180" t="s">
        <v>449</v>
      </c>
      <c r="AK298" s="184" t="s">
        <v>449</v>
      </c>
      <c r="AL298" s="182" t="s">
        <v>449</v>
      </c>
      <c r="AM298" s="182" t="s">
        <v>449</v>
      </c>
      <c r="AN298" s="182" t="s">
        <v>449</v>
      </c>
      <c r="AO298" s="182"/>
      <c r="AP298" s="182"/>
    </row>
    <row r="299" spans="1:42" s="185" customFormat="1" hidden="1" x14ac:dyDescent="0.2">
      <c r="A299" s="180" t="s">
        <v>449</v>
      </c>
      <c r="B299" s="180" t="s">
        <v>449</v>
      </c>
      <c r="C299" s="180" t="s">
        <v>449</v>
      </c>
      <c r="D299" s="180" t="s">
        <v>449</v>
      </c>
      <c r="E299" s="180" t="s">
        <v>449</v>
      </c>
      <c r="F299" s="180" t="s">
        <v>449</v>
      </c>
      <c r="G299" s="180" t="s">
        <v>449</v>
      </c>
      <c r="H299" s="181" t="s">
        <v>449</v>
      </c>
      <c r="I299" s="180" t="e">
        <f t="shared" si="19"/>
        <v>#VALUE!</v>
      </c>
      <c r="J299" s="181" t="s">
        <v>449</v>
      </c>
      <c r="K299" s="180" t="e">
        <f t="shared" si="20"/>
        <v>#VALUE!</v>
      </c>
      <c r="L299" s="180"/>
      <c r="M299" s="180"/>
      <c r="N299" s="180"/>
      <c r="O299" s="180" t="s">
        <v>449</v>
      </c>
      <c r="P299" s="180" t="s">
        <v>449</v>
      </c>
      <c r="Q299" s="180"/>
      <c r="R299" s="182"/>
      <c r="S299" s="180"/>
      <c r="T299" s="180"/>
      <c r="U299" s="180"/>
      <c r="V299" s="180"/>
      <c r="W299" s="180"/>
      <c r="X299" s="180"/>
      <c r="Y299" s="183"/>
      <c r="Z299" s="180"/>
      <c r="AA299" s="180"/>
      <c r="AB299" s="182"/>
      <c r="AC299" s="212"/>
      <c r="AD299" s="180" t="s">
        <v>449</v>
      </c>
      <c r="AE299" s="180" t="s">
        <v>449</v>
      </c>
      <c r="AF299" s="180" t="s">
        <v>449</v>
      </c>
      <c r="AG299" s="180"/>
      <c r="AH299" s="180" t="s">
        <v>449</v>
      </c>
      <c r="AI299" s="180" t="s">
        <v>449</v>
      </c>
      <c r="AJ299" s="180" t="s">
        <v>449</v>
      </c>
      <c r="AK299" s="184" t="s">
        <v>449</v>
      </c>
      <c r="AL299" s="182" t="s">
        <v>449</v>
      </c>
      <c r="AM299" s="182" t="s">
        <v>449</v>
      </c>
      <c r="AN299" s="182" t="s">
        <v>449</v>
      </c>
      <c r="AO299" s="182"/>
      <c r="AP299" s="182"/>
    </row>
    <row r="300" spans="1:42" s="185" customFormat="1" hidden="1" x14ac:dyDescent="0.2">
      <c r="A300" s="180" t="s">
        <v>449</v>
      </c>
      <c r="B300" s="180" t="s">
        <v>449</v>
      </c>
      <c r="C300" s="180" t="s">
        <v>449</v>
      </c>
      <c r="D300" s="180" t="s">
        <v>449</v>
      </c>
      <c r="E300" s="180" t="s">
        <v>449</v>
      </c>
      <c r="F300" s="180" t="s">
        <v>449</v>
      </c>
      <c r="G300" s="180" t="s">
        <v>449</v>
      </c>
      <c r="H300" s="181" t="s">
        <v>449</v>
      </c>
      <c r="I300" s="180" t="e">
        <f t="shared" si="19"/>
        <v>#VALUE!</v>
      </c>
      <c r="J300" s="181" t="s">
        <v>449</v>
      </c>
      <c r="K300" s="180" t="e">
        <f t="shared" si="20"/>
        <v>#VALUE!</v>
      </c>
      <c r="L300" s="180"/>
      <c r="M300" s="180"/>
      <c r="N300" s="180"/>
      <c r="O300" s="180" t="s">
        <v>449</v>
      </c>
      <c r="P300" s="180" t="s">
        <v>449</v>
      </c>
      <c r="Q300" s="180"/>
      <c r="R300" s="182"/>
      <c r="S300" s="180"/>
      <c r="T300" s="180"/>
      <c r="U300" s="180"/>
      <c r="V300" s="180"/>
      <c r="W300" s="180"/>
      <c r="X300" s="180"/>
      <c r="Y300" s="183"/>
      <c r="Z300" s="180"/>
      <c r="AA300" s="180"/>
      <c r="AB300" s="182"/>
      <c r="AC300" s="212"/>
      <c r="AD300" s="180" t="s">
        <v>449</v>
      </c>
      <c r="AE300" s="180" t="s">
        <v>449</v>
      </c>
      <c r="AF300" s="180" t="s">
        <v>449</v>
      </c>
      <c r="AG300" s="180"/>
      <c r="AH300" s="180" t="s">
        <v>449</v>
      </c>
      <c r="AI300" s="180" t="s">
        <v>449</v>
      </c>
      <c r="AJ300" s="180" t="s">
        <v>449</v>
      </c>
      <c r="AK300" s="184" t="s">
        <v>449</v>
      </c>
      <c r="AL300" s="182" t="s">
        <v>449</v>
      </c>
      <c r="AM300" s="182" t="s">
        <v>449</v>
      </c>
      <c r="AN300" s="182" t="s">
        <v>449</v>
      </c>
      <c r="AO300" s="182"/>
      <c r="AP300" s="182"/>
    </row>
    <row r="301" spans="1:42" s="185" customFormat="1" hidden="1" x14ac:dyDescent="0.2">
      <c r="A301" s="180" t="s">
        <v>449</v>
      </c>
      <c r="B301" s="180" t="s">
        <v>449</v>
      </c>
      <c r="C301" s="180" t="s">
        <v>449</v>
      </c>
      <c r="D301" s="180" t="s">
        <v>449</v>
      </c>
      <c r="E301" s="180" t="s">
        <v>449</v>
      </c>
      <c r="F301" s="180" t="s">
        <v>449</v>
      </c>
      <c r="G301" s="180" t="s">
        <v>449</v>
      </c>
      <c r="H301" s="181" t="s">
        <v>449</v>
      </c>
      <c r="I301" s="180" t="e">
        <f t="shared" si="19"/>
        <v>#VALUE!</v>
      </c>
      <c r="J301" s="181" t="s">
        <v>449</v>
      </c>
      <c r="K301" s="180" t="e">
        <f t="shared" si="20"/>
        <v>#VALUE!</v>
      </c>
      <c r="L301" s="180"/>
      <c r="M301" s="180"/>
      <c r="N301" s="180"/>
      <c r="O301" s="180" t="s">
        <v>449</v>
      </c>
      <c r="P301" s="180" t="s">
        <v>449</v>
      </c>
      <c r="Q301" s="180"/>
      <c r="R301" s="182"/>
      <c r="S301" s="180"/>
      <c r="T301" s="180"/>
      <c r="U301" s="180"/>
      <c r="V301" s="180"/>
      <c r="W301" s="180"/>
      <c r="X301" s="180"/>
      <c r="Y301" s="183"/>
      <c r="Z301" s="180"/>
      <c r="AA301" s="180"/>
      <c r="AB301" s="182"/>
      <c r="AC301" s="212"/>
      <c r="AD301" s="180" t="s">
        <v>449</v>
      </c>
      <c r="AE301" s="180" t="s">
        <v>449</v>
      </c>
      <c r="AF301" s="180" t="s">
        <v>449</v>
      </c>
      <c r="AG301" s="180"/>
      <c r="AH301" s="180" t="s">
        <v>449</v>
      </c>
      <c r="AI301" s="180" t="s">
        <v>449</v>
      </c>
      <c r="AJ301" s="180" t="s">
        <v>449</v>
      </c>
      <c r="AK301" s="184" t="s">
        <v>449</v>
      </c>
      <c r="AL301" s="182" t="s">
        <v>449</v>
      </c>
      <c r="AM301" s="182" t="s">
        <v>449</v>
      </c>
      <c r="AN301" s="182" t="s">
        <v>449</v>
      </c>
      <c r="AO301" s="182"/>
      <c r="AP301" s="182"/>
    </row>
    <row r="302" spans="1:42" s="185" customFormat="1" hidden="1" x14ac:dyDescent="0.2">
      <c r="A302" s="180" t="s">
        <v>449</v>
      </c>
      <c r="B302" s="180" t="s">
        <v>449</v>
      </c>
      <c r="C302" s="180" t="s">
        <v>449</v>
      </c>
      <c r="D302" s="180" t="s">
        <v>449</v>
      </c>
      <c r="E302" s="180" t="s">
        <v>449</v>
      </c>
      <c r="F302" s="180" t="s">
        <v>449</v>
      </c>
      <c r="G302" s="180" t="s">
        <v>449</v>
      </c>
      <c r="H302" s="181" t="s">
        <v>449</v>
      </c>
      <c r="I302" s="180" t="e">
        <f t="shared" si="19"/>
        <v>#VALUE!</v>
      </c>
      <c r="J302" s="181" t="s">
        <v>449</v>
      </c>
      <c r="K302" s="180" t="e">
        <f t="shared" si="20"/>
        <v>#VALUE!</v>
      </c>
      <c r="L302" s="180"/>
      <c r="M302" s="180"/>
      <c r="N302" s="180"/>
      <c r="O302" s="180" t="s">
        <v>449</v>
      </c>
      <c r="P302" s="180" t="s">
        <v>449</v>
      </c>
      <c r="Q302" s="180"/>
      <c r="R302" s="182"/>
      <c r="S302" s="180"/>
      <c r="T302" s="180"/>
      <c r="U302" s="180"/>
      <c r="V302" s="180"/>
      <c r="W302" s="180"/>
      <c r="X302" s="180"/>
      <c r="Y302" s="183"/>
      <c r="Z302" s="180"/>
      <c r="AA302" s="180"/>
      <c r="AB302" s="182"/>
      <c r="AC302" s="212"/>
      <c r="AD302" s="180" t="s">
        <v>449</v>
      </c>
      <c r="AE302" s="180" t="s">
        <v>449</v>
      </c>
      <c r="AF302" s="180" t="s">
        <v>449</v>
      </c>
      <c r="AG302" s="180"/>
      <c r="AH302" s="180" t="s">
        <v>449</v>
      </c>
      <c r="AI302" s="180" t="s">
        <v>449</v>
      </c>
      <c r="AJ302" s="180" t="s">
        <v>449</v>
      </c>
      <c r="AK302" s="184" t="s">
        <v>449</v>
      </c>
      <c r="AL302" s="182" t="s">
        <v>449</v>
      </c>
      <c r="AM302" s="182" t="s">
        <v>449</v>
      </c>
      <c r="AN302" s="182" t="s">
        <v>449</v>
      </c>
      <c r="AO302" s="182"/>
      <c r="AP302" s="182"/>
    </row>
    <row r="303" spans="1:42" s="185" customFormat="1" hidden="1" x14ac:dyDescent="0.2">
      <c r="A303" s="180" t="s">
        <v>449</v>
      </c>
      <c r="B303" s="180" t="s">
        <v>449</v>
      </c>
      <c r="C303" s="180" t="s">
        <v>449</v>
      </c>
      <c r="D303" s="180" t="s">
        <v>449</v>
      </c>
      <c r="E303" s="180" t="s">
        <v>449</v>
      </c>
      <c r="F303" s="180" t="s">
        <v>449</v>
      </c>
      <c r="G303" s="180" t="s">
        <v>449</v>
      </c>
      <c r="H303" s="181" t="s">
        <v>449</v>
      </c>
      <c r="I303" s="180" t="e">
        <f t="shared" si="19"/>
        <v>#VALUE!</v>
      </c>
      <c r="J303" s="181" t="s">
        <v>449</v>
      </c>
      <c r="K303" s="180" t="e">
        <f t="shared" si="20"/>
        <v>#VALUE!</v>
      </c>
      <c r="L303" s="180"/>
      <c r="M303" s="180"/>
      <c r="N303" s="180"/>
      <c r="O303" s="180" t="s">
        <v>449</v>
      </c>
      <c r="P303" s="180" t="s">
        <v>449</v>
      </c>
      <c r="Q303" s="180"/>
      <c r="R303" s="182"/>
      <c r="S303" s="180"/>
      <c r="T303" s="180"/>
      <c r="U303" s="180"/>
      <c r="V303" s="180"/>
      <c r="W303" s="180"/>
      <c r="X303" s="180"/>
      <c r="Y303" s="183"/>
      <c r="Z303" s="180"/>
      <c r="AA303" s="180"/>
      <c r="AB303" s="182"/>
      <c r="AC303" s="212"/>
      <c r="AD303" s="180" t="s">
        <v>449</v>
      </c>
      <c r="AE303" s="180" t="s">
        <v>449</v>
      </c>
      <c r="AF303" s="180" t="s">
        <v>449</v>
      </c>
      <c r="AG303" s="180"/>
      <c r="AH303" s="180" t="s">
        <v>449</v>
      </c>
      <c r="AI303" s="180" t="s">
        <v>449</v>
      </c>
      <c r="AJ303" s="180" t="s">
        <v>449</v>
      </c>
      <c r="AK303" s="184" t="s">
        <v>449</v>
      </c>
      <c r="AL303" s="182" t="s">
        <v>449</v>
      </c>
      <c r="AM303" s="182" t="s">
        <v>449</v>
      </c>
      <c r="AN303" s="182" t="s">
        <v>449</v>
      </c>
      <c r="AO303" s="182"/>
      <c r="AP303" s="182"/>
    </row>
    <row r="304" spans="1:42" s="185" customFormat="1" hidden="1" x14ac:dyDescent="0.2">
      <c r="A304" s="180" t="s">
        <v>449</v>
      </c>
      <c r="B304" s="180" t="s">
        <v>449</v>
      </c>
      <c r="C304" s="180" t="s">
        <v>449</v>
      </c>
      <c r="D304" s="180" t="s">
        <v>449</v>
      </c>
      <c r="E304" s="180" t="s">
        <v>449</v>
      </c>
      <c r="F304" s="180" t="s">
        <v>449</v>
      </c>
      <c r="G304" s="180" t="s">
        <v>449</v>
      </c>
      <c r="H304" s="181" t="s">
        <v>449</v>
      </c>
      <c r="I304" s="180" t="e">
        <f t="shared" si="19"/>
        <v>#VALUE!</v>
      </c>
      <c r="J304" s="181" t="s">
        <v>449</v>
      </c>
      <c r="K304" s="180" t="e">
        <f t="shared" si="20"/>
        <v>#VALUE!</v>
      </c>
      <c r="L304" s="180"/>
      <c r="M304" s="180"/>
      <c r="N304" s="180"/>
      <c r="O304" s="180" t="s">
        <v>449</v>
      </c>
      <c r="P304" s="180" t="s">
        <v>449</v>
      </c>
      <c r="Q304" s="180"/>
      <c r="R304" s="182"/>
      <c r="S304" s="180"/>
      <c r="T304" s="180"/>
      <c r="U304" s="180"/>
      <c r="V304" s="180"/>
      <c r="W304" s="180"/>
      <c r="X304" s="180"/>
      <c r="Y304" s="183"/>
      <c r="Z304" s="180"/>
      <c r="AA304" s="180"/>
      <c r="AB304" s="182"/>
      <c r="AC304" s="212"/>
      <c r="AD304" s="180" t="s">
        <v>449</v>
      </c>
      <c r="AE304" s="180" t="s">
        <v>449</v>
      </c>
      <c r="AF304" s="180" t="s">
        <v>449</v>
      </c>
      <c r="AG304" s="180"/>
      <c r="AH304" s="180" t="s">
        <v>449</v>
      </c>
      <c r="AI304" s="180" t="s">
        <v>449</v>
      </c>
      <c r="AJ304" s="180" t="s">
        <v>449</v>
      </c>
      <c r="AK304" s="184" t="s">
        <v>449</v>
      </c>
      <c r="AL304" s="182" t="s">
        <v>449</v>
      </c>
      <c r="AM304" s="182" t="s">
        <v>449</v>
      </c>
      <c r="AN304" s="182" t="s">
        <v>449</v>
      </c>
      <c r="AO304" s="182"/>
      <c r="AP304" s="182"/>
    </row>
    <row r="305" spans="1:42" s="185" customFormat="1" hidden="1" x14ac:dyDescent="0.2">
      <c r="A305" s="180" t="s">
        <v>449</v>
      </c>
      <c r="B305" s="180" t="s">
        <v>449</v>
      </c>
      <c r="C305" s="180" t="s">
        <v>449</v>
      </c>
      <c r="D305" s="180" t="s">
        <v>449</v>
      </c>
      <c r="E305" s="180" t="s">
        <v>449</v>
      </c>
      <c r="F305" s="180" t="s">
        <v>449</v>
      </c>
      <c r="G305" s="180" t="s">
        <v>449</v>
      </c>
      <c r="H305" s="181" t="s">
        <v>449</v>
      </c>
      <c r="I305" s="180" t="e">
        <f t="shared" si="19"/>
        <v>#VALUE!</v>
      </c>
      <c r="J305" s="181" t="s">
        <v>449</v>
      </c>
      <c r="K305" s="180" t="e">
        <f t="shared" si="20"/>
        <v>#VALUE!</v>
      </c>
      <c r="L305" s="180"/>
      <c r="M305" s="180"/>
      <c r="N305" s="180"/>
      <c r="O305" s="180" t="s">
        <v>449</v>
      </c>
      <c r="P305" s="180" t="s">
        <v>449</v>
      </c>
      <c r="Q305" s="180"/>
      <c r="R305" s="182"/>
      <c r="S305" s="180"/>
      <c r="T305" s="180"/>
      <c r="U305" s="180"/>
      <c r="V305" s="180"/>
      <c r="W305" s="180"/>
      <c r="X305" s="180"/>
      <c r="Y305" s="183"/>
      <c r="Z305" s="180"/>
      <c r="AA305" s="180"/>
      <c r="AB305" s="182"/>
      <c r="AC305" s="212"/>
      <c r="AD305" s="180" t="s">
        <v>449</v>
      </c>
      <c r="AE305" s="180" t="s">
        <v>449</v>
      </c>
      <c r="AF305" s="180" t="s">
        <v>449</v>
      </c>
      <c r="AG305" s="180"/>
      <c r="AH305" s="180" t="s">
        <v>449</v>
      </c>
      <c r="AI305" s="180" t="s">
        <v>449</v>
      </c>
      <c r="AJ305" s="180" t="s">
        <v>449</v>
      </c>
      <c r="AK305" s="184" t="s">
        <v>449</v>
      </c>
      <c r="AL305" s="182" t="s">
        <v>449</v>
      </c>
      <c r="AM305" s="182" t="s">
        <v>449</v>
      </c>
      <c r="AN305" s="182" t="s">
        <v>449</v>
      </c>
      <c r="AO305" s="182"/>
      <c r="AP305" s="182"/>
    </row>
    <row r="306" spans="1:42" s="185" customFormat="1" hidden="1" x14ac:dyDescent="0.2">
      <c r="A306" s="180" t="s">
        <v>449</v>
      </c>
      <c r="B306" s="180" t="s">
        <v>449</v>
      </c>
      <c r="C306" s="180" t="s">
        <v>449</v>
      </c>
      <c r="D306" s="180" t="s">
        <v>449</v>
      </c>
      <c r="E306" s="180" t="s">
        <v>449</v>
      </c>
      <c r="F306" s="180" t="s">
        <v>449</v>
      </c>
      <c r="G306" s="180" t="s">
        <v>449</v>
      </c>
      <c r="H306" s="181" t="s">
        <v>449</v>
      </c>
      <c r="I306" s="180" t="e">
        <f t="shared" si="19"/>
        <v>#VALUE!</v>
      </c>
      <c r="J306" s="181" t="s">
        <v>449</v>
      </c>
      <c r="K306" s="180" t="e">
        <f t="shared" si="20"/>
        <v>#VALUE!</v>
      </c>
      <c r="L306" s="180"/>
      <c r="M306" s="180"/>
      <c r="N306" s="180"/>
      <c r="O306" s="180" t="s">
        <v>449</v>
      </c>
      <c r="P306" s="180" t="s">
        <v>449</v>
      </c>
      <c r="Q306" s="180"/>
      <c r="R306" s="182"/>
      <c r="S306" s="180"/>
      <c r="T306" s="180"/>
      <c r="U306" s="180"/>
      <c r="V306" s="180"/>
      <c r="W306" s="180"/>
      <c r="X306" s="180"/>
      <c r="Y306" s="183"/>
      <c r="Z306" s="180"/>
      <c r="AA306" s="180"/>
      <c r="AB306" s="182"/>
      <c r="AC306" s="212"/>
      <c r="AD306" s="180" t="s">
        <v>449</v>
      </c>
      <c r="AE306" s="180" t="s">
        <v>449</v>
      </c>
      <c r="AF306" s="180" t="s">
        <v>449</v>
      </c>
      <c r="AG306" s="180"/>
      <c r="AH306" s="180" t="s">
        <v>449</v>
      </c>
      <c r="AI306" s="180" t="s">
        <v>449</v>
      </c>
      <c r="AJ306" s="180" t="s">
        <v>449</v>
      </c>
      <c r="AK306" s="184" t="s">
        <v>449</v>
      </c>
      <c r="AL306" s="182" t="s">
        <v>449</v>
      </c>
      <c r="AM306" s="182" t="s">
        <v>449</v>
      </c>
      <c r="AN306" s="182" t="s">
        <v>449</v>
      </c>
      <c r="AO306" s="182"/>
      <c r="AP306" s="182"/>
    </row>
    <row r="307" spans="1:42" s="185" customFormat="1" hidden="1" x14ac:dyDescent="0.2">
      <c r="A307" s="180" t="s">
        <v>449</v>
      </c>
      <c r="B307" s="180" t="s">
        <v>449</v>
      </c>
      <c r="C307" s="180" t="s">
        <v>449</v>
      </c>
      <c r="D307" s="180" t="s">
        <v>449</v>
      </c>
      <c r="E307" s="180" t="s">
        <v>449</v>
      </c>
      <c r="F307" s="180" t="s">
        <v>449</v>
      </c>
      <c r="G307" s="180" t="s">
        <v>449</v>
      </c>
      <c r="H307" s="181" t="s">
        <v>449</v>
      </c>
      <c r="I307" s="180" t="e">
        <f t="shared" si="19"/>
        <v>#VALUE!</v>
      </c>
      <c r="J307" s="181" t="s">
        <v>449</v>
      </c>
      <c r="K307" s="180" t="e">
        <f t="shared" si="20"/>
        <v>#VALUE!</v>
      </c>
      <c r="L307" s="180"/>
      <c r="M307" s="180"/>
      <c r="N307" s="180"/>
      <c r="O307" s="180" t="s">
        <v>449</v>
      </c>
      <c r="P307" s="180" t="s">
        <v>449</v>
      </c>
      <c r="Q307" s="180"/>
      <c r="R307" s="182"/>
      <c r="S307" s="180"/>
      <c r="T307" s="180"/>
      <c r="U307" s="180"/>
      <c r="V307" s="180"/>
      <c r="W307" s="180"/>
      <c r="X307" s="180"/>
      <c r="Y307" s="183"/>
      <c r="Z307" s="180"/>
      <c r="AA307" s="180"/>
      <c r="AB307" s="182"/>
      <c r="AC307" s="212"/>
      <c r="AD307" s="180" t="s">
        <v>449</v>
      </c>
      <c r="AE307" s="180" t="s">
        <v>449</v>
      </c>
      <c r="AF307" s="180" t="s">
        <v>449</v>
      </c>
      <c r="AG307" s="180"/>
      <c r="AH307" s="180" t="s">
        <v>449</v>
      </c>
      <c r="AI307" s="180" t="s">
        <v>449</v>
      </c>
      <c r="AJ307" s="180" t="s">
        <v>449</v>
      </c>
      <c r="AK307" s="184" t="s">
        <v>449</v>
      </c>
      <c r="AL307" s="182" t="s">
        <v>449</v>
      </c>
      <c r="AM307" s="182" t="s">
        <v>449</v>
      </c>
      <c r="AN307" s="182" t="s">
        <v>449</v>
      </c>
      <c r="AO307" s="182"/>
      <c r="AP307" s="182"/>
    </row>
    <row r="308" spans="1:42" s="185" customFormat="1" hidden="1" x14ac:dyDescent="0.2">
      <c r="A308" s="180" t="s">
        <v>449</v>
      </c>
      <c r="B308" s="180" t="s">
        <v>449</v>
      </c>
      <c r="C308" s="180" t="s">
        <v>449</v>
      </c>
      <c r="D308" s="180" t="s">
        <v>449</v>
      </c>
      <c r="E308" s="180" t="s">
        <v>449</v>
      </c>
      <c r="F308" s="180" t="s">
        <v>449</v>
      </c>
      <c r="G308" s="180" t="s">
        <v>449</v>
      </c>
      <c r="H308" s="181" t="s">
        <v>449</v>
      </c>
      <c r="I308" s="180" t="e">
        <f t="shared" si="19"/>
        <v>#VALUE!</v>
      </c>
      <c r="J308" s="181" t="s">
        <v>449</v>
      </c>
      <c r="K308" s="180" t="e">
        <f t="shared" si="20"/>
        <v>#VALUE!</v>
      </c>
      <c r="L308" s="180"/>
      <c r="M308" s="180"/>
      <c r="N308" s="180"/>
      <c r="O308" s="180" t="s">
        <v>449</v>
      </c>
      <c r="P308" s="180" t="s">
        <v>449</v>
      </c>
      <c r="Q308" s="180"/>
      <c r="R308" s="182"/>
      <c r="S308" s="180"/>
      <c r="T308" s="180"/>
      <c r="U308" s="180"/>
      <c r="V308" s="180"/>
      <c r="W308" s="180"/>
      <c r="X308" s="180"/>
      <c r="Y308" s="183"/>
      <c r="Z308" s="180"/>
      <c r="AA308" s="180"/>
      <c r="AB308" s="182"/>
      <c r="AC308" s="212"/>
      <c r="AD308" s="180" t="s">
        <v>449</v>
      </c>
      <c r="AE308" s="180" t="s">
        <v>449</v>
      </c>
      <c r="AF308" s="180" t="s">
        <v>449</v>
      </c>
      <c r="AG308" s="180"/>
      <c r="AH308" s="180" t="s">
        <v>449</v>
      </c>
      <c r="AI308" s="180" t="s">
        <v>449</v>
      </c>
      <c r="AJ308" s="180" t="s">
        <v>449</v>
      </c>
      <c r="AK308" s="184" t="s">
        <v>449</v>
      </c>
      <c r="AL308" s="182" t="s">
        <v>449</v>
      </c>
      <c r="AM308" s="182" t="s">
        <v>449</v>
      </c>
      <c r="AN308" s="182" t="s">
        <v>449</v>
      </c>
      <c r="AO308" s="182"/>
      <c r="AP308" s="182"/>
    </row>
    <row r="309" spans="1:42" s="185" customFormat="1" hidden="1" x14ac:dyDescent="0.2">
      <c r="A309" s="180" t="s">
        <v>449</v>
      </c>
      <c r="B309" s="180" t="s">
        <v>449</v>
      </c>
      <c r="C309" s="180" t="s">
        <v>449</v>
      </c>
      <c r="D309" s="180" t="s">
        <v>449</v>
      </c>
      <c r="E309" s="180" t="s">
        <v>449</v>
      </c>
      <c r="F309" s="180" t="s">
        <v>449</v>
      </c>
      <c r="G309" s="180" t="s">
        <v>449</v>
      </c>
      <c r="H309" s="181" t="s">
        <v>449</v>
      </c>
      <c r="I309" s="180" t="e">
        <f t="shared" si="19"/>
        <v>#VALUE!</v>
      </c>
      <c r="J309" s="181" t="s">
        <v>449</v>
      </c>
      <c r="K309" s="180" t="e">
        <f t="shared" si="20"/>
        <v>#VALUE!</v>
      </c>
      <c r="L309" s="180"/>
      <c r="M309" s="180"/>
      <c r="N309" s="180"/>
      <c r="O309" s="180" t="s">
        <v>449</v>
      </c>
      <c r="P309" s="180" t="s">
        <v>449</v>
      </c>
      <c r="Q309" s="180"/>
      <c r="R309" s="182"/>
      <c r="S309" s="180"/>
      <c r="T309" s="180"/>
      <c r="U309" s="180"/>
      <c r="V309" s="180"/>
      <c r="W309" s="180"/>
      <c r="X309" s="180"/>
      <c r="Y309" s="183"/>
      <c r="Z309" s="180"/>
      <c r="AA309" s="180"/>
      <c r="AB309" s="182"/>
      <c r="AC309" s="212"/>
      <c r="AD309" s="180" t="s">
        <v>449</v>
      </c>
      <c r="AE309" s="180" t="s">
        <v>449</v>
      </c>
      <c r="AF309" s="180" t="s">
        <v>449</v>
      </c>
      <c r="AG309" s="180"/>
      <c r="AH309" s="180" t="s">
        <v>449</v>
      </c>
      <c r="AI309" s="180" t="s">
        <v>449</v>
      </c>
      <c r="AJ309" s="180" t="s">
        <v>449</v>
      </c>
      <c r="AK309" s="184" t="s">
        <v>449</v>
      </c>
      <c r="AL309" s="182" t="s">
        <v>449</v>
      </c>
      <c r="AM309" s="182" t="s">
        <v>449</v>
      </c>
      <c r="AN309" s="182" t="s">
        <v>449</v>
      </c>
      <c r="AO309" s="182"/>
      <c r="AP309" s="182"/>
    </row>
    <row r="310" spans="1:42" s="185" customFormat="1" hidden="1" x14ac:dyDescent="0.2">
      <c r="A310" s="180" t="s">
        <v>449</v>
      </c>
      <c r="B310" s="180" t="s">
        <v>449</v>
      </c>
      <c r="C310" s="180" t="s">
        <v>449</v>
      </c>
      <c r="D310" s="180" t="s">
        <v>449</v>
      </c>
      <c r="E310" s="180" t="s">
        <v>449</v>
      </c>
      <c r="F310" s="180" t="s">
        <v>449</v>
      </c>
      <c r="G310" s="180" t="s">
        <v>449</v>
      </c>
      <c r="H310" s="181" t="s">
        <v>449</v>
      </c>
      <c r="I310" s="180" t="e">
        <f t="shared" si="19"/>
        <v>#VALUE!</v>
      </c>
      <c r="J310" s="181" t="s">
        <v>449</v>
      </c>
      <c r="K310" s="180" t="e">
        <f t="shared" si="20"/>
        <v>#VALUE!</v>
      </c>
      <c r="L310" s="180"/>
      <c r="M310" s="180"/>
      <c r="N310" s="180"/>
      <c r="O310" s="180" t="s">
        <v>449</v>
      </c>
      <c r="P310" s="180" t="s">
        <v>449</v>
      </c>
      <c r="Q310" s="180"/>
      <c r="R310" s="182"/>
      <c r="S310" s="180"/>
      <c r="T310" s="180"/>
      <c r="U310" s="180"/>
      <c r="V310" s="180"/>
      <c r="W310" s="180"/>
      <c r="X310" s="180"/>
      <c r="Y310" s="183"/>
      <c r="Z310" s="180"/>
      <c r="AA310" s="180"/>
      <c r="AB310" s="182"/>
      <c r="AC310" s="212"/>
      <c r="AD310" s="180" t="s">
        <v>449</v>
      </c>
      <c r="AE310" s="180" t="s">
        <v>449</v>
      </c>
      <c r="AF310" s="180" t="s">
        <v>449</v>
      </c>
      <c r="AG310" s="180"/>
      <c r="AH310" s="180" t="s">
        <v>449</v>
      </c>
      <c r="AI310" s="180" t="s">
        <v>449</v>
      </c>
      <c r="AJ310" s="180" t="s">
        <v>449</v>
      </c>
      <c r="AK310" s="184" t="s">
        <v>449</v>
      </c>
      <c r="AL310" s="182" t="s">
        <v>449</v>
      </c>
      <c r="AM310" s="182" t="s">
        <v>449</v>
      </c>
      <c r="AN310" s="182" t="s">
        <v>449</v>
      </c>
      <c r="AO310" s="182"/>
      <c r="AP310" s="182"/>
    </row>
    <row r="311" spans="1:42" s="185" customFormat="1" hidden="1" x14ac:dyDescent="0.2">
      <c r="A311" s="180" t="s">
        <v>449</v>
      </c>
      <c r="B311" s="180" t="s">
        <v>449</v>
      </c>
      <c r="C311" s="180" t="s">
        <v>449</v>
      </c>
      <c r="D311" s="180" t="s">
        <v>449</v>
      </c>
      <c r="E311" s="180" t="s">
        <v>449</v>
      </c>
      <c r="F311" s="180" t="s">
        <v>449</v>
      </c>
      <c r="G311" s="180" t="s">
        <v>449</v>
      </c>
      <c r="H311" s="181" t="s">
        <v>449</v>
      </c>
      <c r="I311" s="180" t="e">
        <f t="shared" si="19"/>
        <v>#VALUE!</v>
      </c>
      <c r="J311" s="181" t="s">
        <v>449</v>
      </c>
      <c r="K311" s="180" t="e">
        <f t="shared" si="20"/>
        <v>#VALUE!</v>
      </c>
      <c r="L311" s="180"/>
      <c r="M311" s="180"/>
      <c r="N311" s="180"/>
      <c r="O311" s="180" t="s">
        <v>449</v>
      </c>
      <c r="P311" s="180" t="s">
        <v>449</v>
      </c>
      <c r="Q311" s="180"/>
      <c r="R311" s="182"/>
      <c r="S311" s="180"/>
      <c r="T311" s="180"/>
      <c r="U311" s="180"/>
      <c r="V311" s="180"/>
      <c r="W311" s="180"/>
      <c r="X311" s="180"/>
      <c r="Y311" s="183"/>
      <c r="Z311" s="180"/>
      <c r="AA311" s="180"/>
      <c r="AB311" s="182"/>
      <c r="AC311" s="212"/>
      <c r="AD311" s="180" t="s">
        <v>449</v>
      </c>
      <c r="AE311" s="180" t="s">
        <v>449</v>
      </c>
      <c r="AF311" s="180" t="s">
        <v>449</v>
      </c>
      <c r="AG311" s="180"/>
      <c r="AH311" s="180" t="s">
        <v>449</v>
      </c>
      <c r="AI311" s="180" t="s">
        <v>449</v>
      </c>
      <c r="AJ311" s="180" t="s">
        <v>449</v>
      </c>
      <c r="AK311" s="184" t="s">
        <v>449</v>
      </c>
      <c r="AL311" s="182" t="s">
        <v>449</v>
      </c>
      <c r="AM311" s="182" t="s">
        <v>449</v>
      </c>
      <c r="AN311" s="182" t="s">
        <v>449</v>
      </c>
      <c r="AO311" s="182"/>
      <c r="AP311" s="182"/>
    </row>
    <row r="312" spans="1:42" s="185" customFormat="1" hidden="1" x14ac:dyDescent="0.2">
      <c r="A312" s="180" t="s">
        <v>449</v>
      </c>
      <c r="B312" s="180" t="s">
        <v>449</v>
      </c>
      <c r="C312" s="180" t="s">
        <v>449</v>
      </c>
      <c r="D312" s="180" t="s">
        <v>449</v>
      </c>
      <c r="E312" s="180" t="s">
        <v>449</v>
      </c>
      <c r="F312" s="180" t="s">
        <v>449</v>
      </c>
      <c r="G312" s="180" t="s">
        <v>449</v>
      </c>
      <c r="H312" s="181" t="s">
        <v>449</v>
      </c>
      <c r="I312" s="180" t="e">
        <f t="shared" si="19"/>
        <v>#VALUE!</v>
      </c>
      <c r="J312" s="181" t="s">
        <v>449</v>
      </c>
      <c r="K312" s="180" t="e">
        <f t="shared" si="20"/>
        <v>#VALUE!</v>
      </c>
      <c r="L312" s="180"/>
      <c r="M312" s="180"/>
      <c r="N312" s="180"/>
      <c r="O312" s="180" t="s">
        <v>449</v>
      </c>
      <c r="P312" s="180" t="s">
        <v>449</v>
      </c>
      <c r="Q312" s="180"/>
      <c r="R312" s="182"/>
      <c r="S312" s="180"/>
      <c r="T312" s="180"/>
      <c r="U312" s="180"/>
      <c r="V312" s="180"/>
      <c r="W312" s="180"/>
      <c r="X312" s="180"/>
      <c r="Y312" s="183"/>
      <c r="Z312" s="180"/>
      <c r="AA312" s="180"/>
      <c r="AB312" s="182"/>
      <c r="AC312" s="212"/>
      <c r="AD312" s="180" t="s">
        <v>449</v>
      </c>
      <c r="AE312" s="180" t="s">
        <v>449</v>
      </c>
      <c r="AF312" s="180" t="s">
        <v>449</v>
      </c>
      <c r="AG312" s="180"/>
      <c r="AH312" s="180" t="s">
        <v>449</v>
      </c>
      <c r="AI312" s="180" t="s">
        <v>449</v>
      </c>
      <c r="AJ312" s="180" t="s">
        <v>449</v>
      </c>
      <c r="AK312" s="184" t="s">
        <v>449</v>
      </c>
      <c r="AL312" s="182" t="s">
        <v>449</v>
      </c>
      <c r="AM312" s="182" t="s">
        <v>449</v>
      </c>
      <c r="AN312" s="182" t="s">
        <v>449</v>
      </c>
      <c r="AO312" s="182"/>
      <c r="AP312" s="182"/>
    </row>
    <row r="313" spans="1:42" s="185" customFormat="1" hidden="1" x14ac:dyDescent="0.2">
      <c r="A313" s="180" t="s">
        <v>449</v>
      </c>
      <c r="B313" s="180" t="s">
        <v>449</v>
      </c>
      <c r="C313" s="180" t="s">
        <v>449</v>
      </c>
      <c r="D313" s="180" t="s">
        <v>449</v>
      </c>
      <c r="E313" s="180" t="s">
        <v>449</v>
      </c>
      <c r="F313" s="180" t="s">
        <v>449</v>
      </c>
      <c r="G313" s="180" t="s">
        <v>449</v>
      </c>
      <c r="H313" s="181" t="s">
        <v>449</v>
      </c>
      <c r="I313" s="180" t="e">
        <f t="shared" si="19"/>
        <v>#VALUE!</v>
      </c>
      <c r="J313" s="181" t="s">
        <v>449</v>
      </c>
      <c r="K313" s="180" t="e">
        <f t="shared" si="20"/>
        <v>#VALUE!</v>
      </c>
      <c r="L313" s="180"/>
      <c r="M313" s="180"/>
      <c r="N313" s="180"/>
      <c r="O313" s="180" t="s">
        <v>449</v>
      </c>
      <c r="P313" s="180" t="s">
        <v>449</v>
      </c>
      <c r="Q313" s="180"/>
      <c r="R313" s="182"/>
      <c r="S313" s="180"/>
      <c r="T313" s="180"/>
      <c r="U313" s="180"/>
      <c r="V313" s="180"/>
      <c r="W313" s="180"/>
      <c r="X313" s="180"/>
      <c r="Y313" s="183"/>
      <c r="Z313" s="180"/>
      <c r="AA313" s="180"/>
      <c r="AB313" s="182"/>
      <c r="AC313" s="212"/>
      <c r="AD313" s="180" t="s">
        <v>449</v>
      </c>
      <c r="AE313" s="180" t="s">
        <v>449</v>
      </c>
      <c r="AF313" s="180" t="s">
        <v>449</v>
      </c>
      <c r="AG313" s="180"/>
      <c r="AH313" s="180" t="s">
        <v>449</v>
      </c>
      <c r="AI313" s="180" t="s">
        <v>449</v>
      </c>
      <c r="AJ313" s="180" t="s">
        <v>449</v>
      </c>
      <c r="AK313" s="184" t="s">
        <v>449</v>
      </c>
      <c r="AL313" s="182" t="s">
        <v>449</v>
      </c>
      <c r="AM313" s="182" t="s">
        <v>449</v>
      </c>
      <c r="AN313" s="182" t="s">
        <v>449</v>
      </c>
      <c r="AO313" s="182"/>
      <c r="AP313" s="182"/>
    </row>
    <row r="314" spans="1:42" s="185" customFormat="1" hidden="1" x14ac:dyDescent="0.2">
      <c r="A314" s="180" t="s">
        <v>449</v>
      </c>
      <c r="B314" s="180" t="s">
        <v>449</v>
      </c>
      <c r="C314" s="180" t="s">
        <v>449</v>
      </c>
      <c r="D314" s="180" t="s">
        <v>449</v>
      </c>
      <c r="E314" s="180" t="s">
        <v>449</v>
      </c>
      <c r="F314" s="180" t="s">
        <v>449</v>
      </c>
      <c r="G314" s="180" t="s">
        <v>449</v>
      </c>
      <c r="H314" s="181" t="s">
        <v>449</v>
      </c>
      <c r="I314" s="180" t="e">
        <f t="shared" si="19"/>
        <v>#VALUE!</v>
      </c>
      <c r="J314" s="181" t="s">
        <v>449</v>
      </c>
      <c r="K314" s="180" t="e">
        <f t="shared" si="20"/>
        <v>#VALUE!</v>
      </c>
      <c r="L314" s="180"/>
      <c r="M314" s="180"/>
      <c r="N314" s="180"/>
      <c r="O314" s="180" t="s">
        <v>449</v>
      </c>
      <c r="P314" s="180" t="s">
        <v>449</v>
      </c>
      <c r="Q314" s="180"/>
      <c r="R314" s="182"/>
      <c r="S314" s="180"/>
      <c r="T314" s="180"/>
      <c r="U314" s="180"/>
      <c r="V314" s="180"/>
      <c r="W314" s="180"/>
      <c r="X314" s="180"/>
      <c r="Y314" s="183"/>
      <c r="Z314" s="180"/>
      <c r="AA314" s="180"/>
      <c r="AB314" s="182"/>
      <c r="AC314" s="212"/>
      <c r="AD314" s="180" t="s">
        <v>449</v>
      </c>
      <c r="AE314" s="180" t="s">
        <v>449</v>
      </c>
      <c r="AF314" s="180" t="s">
        <v>449</v>
      </c>
      <c r="AG314" s="180"/>
      <c r="AH314" s="180" t="s">
        <v>449</v>
      </c>
      <c r="AI314" s="180" t="s">
        <v>449</v>
      </c>
      <c r="AJ314" s="180" t="s">
        <v>449</v>
      </c>
      <c r="AK314" s="184" t="s">
        <v>449</v>
      </c>
      <c r="AL314" s="182" t="s">
        <v>449</v>
      </c>
      <c r="AM314" s="182" t="s">
        <v>449</v>
      </c>
      <c r="AN314" s="182" t="s">
        <v>449</v>
      </c>
      <c r="AO314" s="182"/>
      <c r="AP314" s="182"/>
    </row>
    <row r="315" spans="1:42" s="185" customFormat="1" hidden="1" x14ac:dyDescent="0.2">
      <c r="A315" s="180" t="s">
        <v>449</v>
      </c>
      <c r="B315" s="180" t="s">
        <v>449</v>
      </c>
      <c r="C315" s="180" t="s">
        <v>449</v>
      </c>
      <c r="D315" s="180" t="s">
        <v>449</v>
      </c>
      <c r="E315" s="180" t="s">
        <v>449</v>
      </c>
      <c r="F315" s="180" t="s">
        <v>449</v>
      </c>
      <c r="G315" s="180" t="s">
        <v>449</v>
      </c>
      <c r="H315" s="181" t="s">
        <v>449</v>
      </c>
      <c r="I315" s="180" t="e">
        <f t="shared" ref="I315:I346" si="21">DATEDIF(H315,J315,"m")</f>
        <v>#VALUE!</v>
      </c>
      <c r="J315" s="181" t="s">
        <v>449</v>
      </c>
      <c r="K315" s="180" t="e">
        <f t="shared" ref="K315:K349" si="22">IF(I315&lt;=18,"NUEVO",IF(I315&lt;=36,"INTERMEDIO","ANTIGUO"))</f>
        <v>#VALUE!</v>
      </c>
      <c r="L315" s="180"/>
      <c r="M315" s="180"/>
      <c r="N315" s="180"/>
      <c r="O315" s="180" t="s">
        <v>449</v>
      </c>
      <c r="P315" s="180" t="s">
        <v>449</v>
      </c>
      <c r="Q315" s="180"/>
      <c r="R315" s="182"/>
      <c r="S315" s="180"/>
      <c r="T315" s="180"/>
      <c r="U315" s="180"/>
      <c r="V315" s="180"/>
      <c r="W315" s="180"/>
      <c r="X315" s="180"/>
      <c r="Y315" s="183"/>
      <c r="Z315" s="180"/>
      <c r="AA315" s="180"/>
      <c r="AB315" s="182"/>
      <c r="AC315" s="212"/>
      <c r="AD315" s="180" t="s">
        <v>449</v>
      </c>
      <c r="AE315" s="180" t="s">
        <v>449</v>
      </c>
      <c r="AF315" s="180" t="s">
        <v>449</v>
      </c>
      <c r="AG315" s="180"/>
      <c r="AH315" s="180" t="s">
        <v>449</v>
      </c>
      <c r="AI315" s="180" t="s">
        <v>449</v>
      </c>
      <c r="AJ315" s="180" t="s">
        <v>449</v>
      </c>
      <c r="AK315" s="184" t="s">
        <v>449</v>
      </c>
      <c r="AL315" s="182" t="s">
        <v>449</v>
      </c>
      <c r="AM315" s="182" t="s">
        <v>449</v>
      </c>
      <c r="AN315" s="182" t="s">
        <v>449</v>
      </c>
      <c r="AO315" s="182"/>
      <c r="AP315" s="182"/>
    </row>
    <row r="316" spans="1:42" s="185" customFormat="1" hidden="1" x14ac:dyDescent="0.2">
      <c r="A316" s="180" t="s">
        <v>449</v>
      </c>
      <c r="B316" s="180" t="s">
        <v>449</v>
      </c>
      <c r="C316" s="180" t="s">
        <v>449</v>
      </c>
      <c r="D316" s="180" t="s">
        <v>449</v>
      </c>
      <c r="E316" s="180" t="s">
        <v>449</v>
      </c>
      <c r="F316" s="180" t="s">
        <v>449</v>
      </c>
      <c r="G316" s="180" t="s">
        <v>449</v>
      </c>
      <c r="H316" s="181" t="s">
        <v>449</v>
      </c>
      <c r="I316" s="180" t="e">
        <f t="shared" si="21"/>
        <v>#VALUE!</v>
      </c>
      <c r="J316" s="181" t="s">
        <v>449</v>
      </c>
      <c r="K316" s="180" t="e">
        <f t="shared" si="22"/>
        <v>#VALUE!</v>
      </c>
      <c r="L316" s="180"/>
      <c r="M316" s="180"/>
      <c r="N316" s="180"/>
      <c r="O316" s="180" t="s">
        <v>449</v>
      </c>
      <c r="P316" s="180" t="s">
        <v>449</v>
      </c>
      <c r="Q316" s="180"/>
      <c r="R316" s="182"/>
      <c r="S316" s="180"/>
      <c r="T316" s="180"/>
      <c r="U316" s="180"/>
      <c r="V316" s="180"/>
      <c r="W316" s="180"/>
      <c r="X316" s="180"/>
      <c r="Y316" s="183"/>
      <c r="Z316" s="180"/>
      <c r="AA316" s="180"/>
      <c r="AB316" s="182"/>
      <c r="AC316" s="212"/>
      <c r="AD316" s="180" t="s">
        <v>449</v>
      </c>
      <c r="AE316" s="180" t="s">
        <v>449</v>
      </c>
      <c r="AF316" s="180" t="s">
        <v>449</v>
      </c>
      <c r="AG316" s="180"/>
      <c r="AH316" s="180" t="s">
        <v>449</v>
      </c>
      <c r="AI316" s="180" t="s">
        <v>449</v>
      </c>
      <c r="AJ316" s="180" t="s">
        <v>449</v>
      </c>
      <c r="AK316" s="184" t="s">
        <v>449</v>
      </c>
      <c r="AL316" s="182" t="s">
        <v>449</v>
      </c>
      <c r="AM316" s="182" t="s">
        <v>449</v>
      </c>
      <c r="AN316" s="182" t="s">
        <v>449</v>
      </c>
      <c r="AO316" s="182"/>
      <c r="AP316" s="182"/>
    </row>
    <row r="317" spans="1:42" s="185" customFormat="1" hidden="1" x14ac:dyDescent="0.2">
      <c r="A317" s="180" t="s">
        <v>449</v>
      </c>
      <c r="B317" s="180" t="s">
        <v>449</v>
      </c>
      <c r="C317" s="180" t="s">
        <v>449</v>
      </c>
      <c r="D317" s="180" t="s">
        <v>449</v>
      </c>
      <c r="E317" s="180" t="s">
        <v>449</v>
      </c>
      <c r="F317" s="180" t="s">
        <v>449</v>
      </c>
      <c r="G317" s="180" t="s">
        <v>449</v>
      </c>
      <c r="H317" s="181" t="s">
        <v>449</v>
      </c>
      <c r="I317" s="180" t="e">
        <f t="shared" si="21"/>
        <v>#VALUE!</v>
      </c>
      <c r="J317" s="181" t="s">
        <v>449</v>
      </c>
      <c r="K317" s="180" t="e">
        <f t="shared" si="22"/>
        <v>#VALUE!</v>
      </c>
      <c r="L317" s="180"/>
      <c r="M317" s="180"/>
      <c r="N317" s="180"/>
      <c r="O317" s="180" t="s">
        <v>449</v>
      </c>
      <c r="P317" s="180" t="s">
        <v>449</v>
      </c>
      <c r="Q317" s="180"/>
      <c r="R317" s="182"/>
      <c r="S317" s="180"/>
      <c r="T317" s="180"/>
      <c r="U317" s="180"/>
      <c r="V317" s="180"/>
      <c r="W317" s="180"/>
      <c r="X317" s="180"/>
      <c r="Y317" s="183"/>
      <c r="Z317" s="180"/>
      <c r="AA317" s="180"/>
      <c r="AB317" s="182"/>
      <c r="AC317" s="212"/>
      <c r="AD317" s="180" t="s">
        <v>449</v>
      </c>
      <c r="AE317" s="180" t="s">
        <v>449</v>
      </c>
      <c r="AF317" s="180" t="s">
        <v>449</v>
      </c>
      <c r="AG317" s="180"/>
      <c r="AH317" s="180" t="s">
        <v>449</v>
      </c>
      <c r="AI317" s="180" t="s">
        <v>449</v>
      </c>
      <c r="AJ317" s="180" t="s">
        <v>449</v>
      </c>
      <c r="AK317" s="184" t="s">
        <v>449</v>
      </c>
      <c r="AL317" s="182" t="s">
        <v>449</v>
      </c>
      <c r="AM317" s="182" t="s">
        <v>449</v>
      </c>
      <c r="AN317" s="182" t="s">
        <v>449</v>
      </c>
      <c r="AO317" s="182"/>
      <c r="AP317" s="182"/>
    </row>
    <row r="318" spans="1:42" s="185" customFormat="1" hidden="1" x14ac:dyDescent="0.2">
      <c r="A318" s="180" t="s">
        <v>449</v>
      </c>
      <c r="B318" s="180" t="s">
        <v>449</v>
      </c>
      <c r="C318" s="180" t="s">
        <v>449</v>
      </c>
      <c r="D318" s="180" t="s">
        <v>449</v>
      </c>
      <c r="E318" s="180" t="s">
        <v>449</v>
      </c>
      <c r="F318" s="180" t="s">
        <v>449</v>
      </c>
      <c r="G318" s="180" t="s">
        <v>449</v>
      </c>
      <c r="H318" s="181" t="s">
        <v>449</v>
      </c>
      <c r="I318" s="180" t="e">
        <f t="shared" si="21"/>
        <v>#VALUE!</v>
      </c>
      <c r="J318" s="181" t="s">
        <v>449</v>
      </c>
      <c r="K318" s="180" t="e">
        <f t="shared" si="22"/>
        <v>#VALUE!</v>
      </c>
      <c r="L318" s="180"/>
      <c r="M318" s="180"/>
      <c r="N318" s="180"/>
      <c r="O318" s="180" t="s">
        <v>449</v>
      </c>
      <c r="P318" s="180" t="s">
        <v>449</v>
      </c>
      <c r="Q318" s="180"/>
      <c r="R318" s="182"/>
      <c r="S318" s="180"/>
      <c r="T318" s="180"/>
      <c r="U318" s="180"/>
      <c r="V318" s="180"/>
      <c r="W318" s="180"/>
      <c r="X318" s="180"/>
      <c r="Y318" s="183"/>
      <c r="Z318" s="180"/>
      <c r="AA318" s="180"/>
      <c r="AB318" s="182"/>
      <c r="AC318" s="212"/>
      <c r="AD318" s="180" t="s">
        <v>449</v>
      </c>
      <c r="AE318" s="180" t="s">
        <v>449</v>
      </c>
      <c r="AF318" s="180" t="s">
        <v>449</v>
      </c>
      <c r="AG318" s="180"/>
      <c r="AH318" s="180" t="s">
        <v>449</v>
      </c>
      <c r="AI318" s="180" t="s">
        <v>449</v>
      </c>
      <c r="AJ318" s="180" t="s">
        <v>449</v>
      </c>
      <c r="AK318" s="184" t="s">
        <v>449</v>
      </c>
      <c r="AL318" s="182" t="s">
        <v>449</v>
      </c>
      <c r="AM318" s="182" t="s">
        <v>449</v>
      </c>
      <c r="AN318" s="182" t="s">
        <v>449</v>
      </c>
      <c r="AO318" s="182"/>
      <c r="AP318" s="182"/>
    </row>
    <row r="319" spans="1:42" s="185" customFormat="1" hidden="1" x14ac:dyDescent="0.2">
      <c r="A319" s="180" t="s">
        <v>449</v>
      </c>
      <c r="B319" s="180" t="s">
        <v>449</v>
      </c>
      <c r="C319" s="180" t="s">
        <v>449</v>
      </c>
      <c r="D319" s="180" t="s">
        <v>449</v>
      </c>
      <c r="E319" s="180" t="s">
        <v>449</v>
      </c>
      <c r="F319" s="180" t="s">
        <v>449</v>
      </c>
      <c r="G319" s="180" t="s">
        <v>449</v>
      </c>
      <c r="H319" s="181" t="s">
        <v>449</v>
      </c>
      <c r="I319" s="180" t="e">
        <f t="shared" si="21"/>
        <v>#VALUE!</v>
      </c>
      <c r="J319" s="181" t="s">
        <v>449</v>
      </c>
      <c r="K319" s="180" t="e">
        <f t="shared" si="22"/>
        <v>#VALUE!</v>
      </c>
      <c r="L319" s="180"/>
      <c r="M319" s="180"/>
      <c r="N319" s="180"/>
      <c r="O319" s="180" t="s">
        <v>449</v>
      </c>
      <c r="P319" s="180" t="s">
        <v>449</v>
      </c>
      <c r="Q319" s="180"/>
      <c r="R319" s="182"/>
      <c r="S319" s="180"/>
      <c r="T319" s="180"/>
      <c r="U319" s="180"/>
      <c r="V319" s="180"/>
      <c r="W319" s="180"/>
      <c r="X319" s="180"/>
      <c r="Y319" s="183"/>
      <c r="Z319" s="180"/>
      <c r="AA319" s="180"/>
      <c r="AB319" s="182"/>
      <c r="AC319" s="212"/>
      <c r="AD319" s="180" t="s">
        <v>449</v>
      </c>
      <c r="AE319" s="180" t="s">
        <v>449</v>
      </c>
      <c r="AF319" s="180" t="s">
        <v>449</v>
      </c>
      <c r="AG319" s="180"/>
      <c r="AH319" s="180" t="s">
        <v>449</v>
      </c>
      <c r="AI319" s="180" t="s">
        <v>449</v>
      </c>
      <c r="AJ319" s="180" t="s">
        <v>449</v>
      </c>
      <c r="AK319" s="184" t="s">
        <v>449</v>
      </c>
      <c r="AL319" s="182" t="s">
        <v>449</v>
      </c>
      <c r="AM319" s="182" t="s">
        <v>449</v>
      </c>
      <c r="AN319" s="182" t="s">
        <v>449</v>
      </c>
      <c r="AO319" s="182"/>
      <c r="AP319" s="182"/>
    </row>
    <row r="320" spans="1:42" s="185" customFormat="1" hidden="1" x14ac:dyDescent="0.2">
      <c r="A320" s="180" t="s">
        <v>449</v>
      </c>
      <c r="B320" s="180" t="s">
        <v>449</v>
      </c>
      <c r="C320" s="180" t="s">
        <v>449</v>
      </c>
      <c r="D320" s="180" t="s">
        <v>449</v>
      </c>
      <c r="E320" s="180" t="s">
        <v>449</v>
      </c>
      <c r="F320" s="180" t="s">
        <v>449</v>
      </c>
      <c r="G320" s="180" t="s">
        <v>449</v>
      </c>
      <c r="H320" s="181" t="s">
        <v>449</v>
      </c>
      <c r="I320" s="180" t="e">
        <f t="shared" si="21"/>
        <v>#VALUE!</v>
      </c>
      <c r="J320" s="181" t="s">
        <v>449</v>
      </c>
      <c r="K320" s="180" t="e">
        <f t="shared" si="22"/>
        <v>#VALUE!</v>
      </c>
      <c r="L320" s="180"/>
      <c r="M320" s="180"/>
      <c r="N320" s="180"/>
      <c r="O320" s="180" t="s">
        <v>449</v>
      </c>
      <c r="P320" s="180" t="s">
        <v>449</v>
      </c>
      <c r="Q320" s="180"/>
      <c r="R320" s="182"/>
      <c r="S320" s="180"/>
      <c r="T320" s="180"/>
      <c r="U320" s="180"/>
      <c r="V320" s="180"/>
      <c r="W320" s="180"/>
      <c r="X320" s="180"/>
      <c r="Y320" s="183"/>
      <c r="Z320" s="180"/>
      <c r="AA320" s="180"/>
      <c r="AB320" s="182"/>
      <c r="AC320" s="212"/>
      <c r="AD320" s="180" t="s">
        <v>449</v>
      </c>
      <c r="AE320" s="180" t="s">
        <v>449</v>
      </c>
      <c r="AF320" s="180" t="s">
        <v>449</v>
      </c>
      <c r="AG320" s="180"/>
      <c r="AH320" s="180" t="s">
        <v>449</v>
      </c>
      <c r="AI320" s="180" t="s">
        <v>449</v>
      </c>
      <c r="AJ320" s="180" t="s">
        <v>449</v>
      </c>
      <c r="AK320" s="184" t="s">
        <v>449</v>
      </c>
      <c r="AL320" s="182" t="s">
        <v>449</v>
      </c>
      <c r="AM320" s="182" t="s">
        <v>449</v>
      </c>
      <c r="AN320" s="182" t="s">
        <v>449</v>
      </c>
      <c r="AO320" s="182"/>
      <c r="AP320" s="182"/>
    </row>
    <row r="321" spans="1:42" s="185" customFormat="1" hidden="1" x14ac:dyDescent="0.2">
      <c r="A321" s="180" t="s">
        <v>449</v>
      </c>
      <c r="B321" s="180" t="s">
        <v>449</v>
      </c>
      <c r="C321" s="180" t="s">
        <v>449</v>
      </c>
      <c r="D321" s="180" t="s">
        <v>449</v>
      </c>
      <c r="E321" s="180" t="s">
        <v>449</v>
      </c>
      <c r="F321" s="180" t="s">
        <v>449</v>
      </c>
      <c r="G321" s="180" t="s">
        <v>449</v>
      </c>
      <c r="H321" s="181" t="s">
        <v>449</v>
      </c>
      <c r="I321" s="180" t="e">
        <f t="shared" si="21"/>
        <v>#VALUE!</v>
      </c>
      <c r="J321" s="181" t="s">
        <v>449</v>
      </c>
      <c r="K321" s="180" t="e">
        <f t="shared" si="22"/>
        <v>#VALUE!</v>
      </c>
      <c r="L321" s="180"/>
      <c r="M321" s="180"/>
      <c r="N321" s="180"/>
      <c r="O321" s="180" t="s">
        <v>449</v>
      </c>
      <c r="P321" s="180" t="s">
        <v>449</v>
      </c>
      <c r="Q321" s="180"/>
      <c r="R321" s="182"/>
      <c r="S321" s="180"/>
      <c r="T321" s="180"/>
      <c r="U321" s="180"/>
      <c r="V321" s="180"/>
      <c r="W321" s="180"/>
      <c r="X321" s="180"/>
      <c r="Y321" s="183"/>
      <c r="Z321" s="180"/>
      <c r="AA321" s="180"/>
      <c r="AB321" s="182"/>
      <c r="AC321" s="212"/>
      <c r="AD321" s="180" t="s">
        <v>449</v>
      </c>
      <c r="AE321" s="180" t="s">
        <v>449</v>
      </c>
      <c r="AF321" s="180" t="s">
        <v>449</v>
      </c>
      <c r="AG321" s="180"/>
      <c r="AH321" s="180" t="s">
        <v>449</v>
      </c>
      <c r="AI321" s="180" t="s">
        <v>449</v>
      </c>
      <c r="AJ321" s="180" t="s">
        <v>449</v>
      </c>
      <c r="AK321" s="184" t="s">
        <v>449</v>
      </c>
      <c r="AL321" s="182" t="s">
        <v>449</v>
      </c>
      <c r="AM321" s="182" t="s">
        <v>449</v>
      </c>
      <c r="AN321" s="182" t="s">
        <v>449</v>
      </c>
      <c r="AO321" s="182"/>
      <c r="AP321" s="182"/>
    </row>
    <row r="322" spans="1:42" s="185" customFormat="1" hidden="1" x14ac:dyDescent="0.2">
      <c r="A322" s="180" t="s">
        <v>449</v>
      </c>
      <c r="B322" s="180" t="s">
        <v>449</v>
      </c>
      <c r="C322" s="180" t="s">
        <v>449</v>
      </c>
      <c r="D322" s="180" t="s">
        <v>449</v>
      </c>
      <c r="E322" s="180" t="s">
        <v>449</v>
      </c>
      <c r="F322" s="180" t="s">
        <v>449</v>
      </c>
      <c r="G322" s="180" t="s">
        <v>449</v>
      </c>
      <c r="H322" s="181" t="s">
        <v>449</v>
      </c>
      <c r="I322" s="180" t="e">
        <f t="shared" si="21"/>
        <v>#VALUE!</v>
      </c>
      <c r="J322" s="181" t="s">
        <v>449</v>
      </c>
      <c r="K322" s="180" t="e">
        <f t="shared" si="22"/>
        <v>#VALUE!</v>
      </c>
      <c r="L322" s="180"/>
      <c r="M322" s="180"/>
      <c r="N322" s="180"/>
      <c r="O322" s="180" t="s">
        <v>449</v>
      </c>
      <c r="P322" s="180" t="s">
        <v>449</v>
      </c>
      <c r="Q322" s="180"/>
      <c r="R322" s="182"/>
      <c r="S322" s="180"/>
      <c r="T322" s="180"/>
      <c r="U322" s="180"/>
      <c r="V322" s="180"/>
      <c r="W322" s="180"/>
      <c r="X322" s="180"/>
      <c r="Y322" s="183"/>
      <c r="Z322" s="180"/>
      <c r="AA322" s="180"/>
      <c r="AB322" s="182"/>
      <c r="AC322" s="212"/>
      <c r="AD322" s="180" t="s">
        <v>449</v>
      </c>
      <c r="AE322" s="180" t="s">
        <v>449</v>
      </c>
      <c r="AF322" s="180" t="s">
        <v>449</v>
      </c>
      <c r="AG322" s="180"/>
      <c r="AH322" s="180" t="s">
        <v>449</v>
      </c>
      <c r="AI322" s="180" t="s">
        <v>449</v>
      </c>
      <c r="AJ322" s="180" t="s">
        <v>449</v>
      </c>
      <c r="AK322" s="184" t="s">
        <v>449</v>
      </c>
      <c r="AL322" s="182" t="s">
        <v>449</v>
      </c>
      <c r="AM322" s="182" t="s">
        <v>449</v>
      </c>
      <c r="AN322" s="182" t="s">
        <v>449</v>
      </c>
      <c r="AO322" s="182"/>
      <c r="AP322" s="182"/>
    </row>
    <row r="323" spans="1:42" s="185" customFormat="1" hidden="1" x14ac:dyDescent="0.2">
      <c r="A323" s="180" t="s">
        <v>449</v>
      </c>
      <c r="B323" s="180" t="s">
        <v>449</v>
      </c>
      <c r="C323" s="180" t="s">
        <v>449</v>
      </c>
      <c r="D323" s="180" t="s">
        <v>449</v>
      </c>
      <c r="E323" s="180" t="s">
        <v>449</v>
      </c>
      <c r="F323" s="180" t="s">
        <v>449</v>
      </c>
      <c r="G323" s="180" t="s">
        <v>449</v>
      </c>
      <c r="H323" s="181" t="s">
        <v>449</v>
      </c>
      <c r="I323" s="180" t="e">
        <f t="shared" si="21"/>
        <v>#VALUE!</v>
      </c>
      <c r="J323" s="181" t="s">
        <v>449</v>
      </c>
      <c r="K323" s="180" t="e">
        <f t="shared" si="22"/>
        <v>#VALUE!</v>
      </c>
      <c r="L323" s="180"/>
      <c r="M323" s="180"/>
      <c r="N323" s="180"/>
      <c r="O323" s="180" t="s">
        <v>449</v>
      </c>
      <c r="P323" s="180" t="s">
        <v>449</v>
      </c>
      <c r="Q323" s="180"/>
      <c r="R323" s="182"/>
      <c r="S323" s="180"/>
      <c r="T323" s="180"/>
      <c r="U323" s="180"/>
      <c r="V323" s="180"/>
      <c r="W323" s="180"/>
      <c r="X323" s="180"/>
      <c r="Y323" s="183"/>
      <c r="Z323" s="180"/>
      <c r="AA323" s="180"/>
      <c r="AB323" s="182"/>
      <c r="AC323" s="212"/>
      <c r="AD323" s="180" t="s">
        <v>449</v>
      </c>
      <c r="AE323" s="180" t="s">
        <v>449</v>
      </c>
      <c r="AF323" s="180" t="s">
        <v>449</v>
      </c>
      <c r="AG323" s="180"/>
      <c r="AH323" s="180" t="s">
        <v>449</v>
      </c>
      <c r="AI323" s="180" t="s">
        <v>449</v>
      </c>
      <c r="AJ323" s="180" t="s">
        <v>449</v>
      </c>
      <c r="AK323" s="184" t="s">
        <v>449</v>
      </c>
      <c r="AL323" s="182" t="s">
        <v>449</v>
      </c>
      <c r="AM323" s="182" t="s">
        <v>449</v>
      </c>
      <c r="AN323" s="182" t="s">
        <v>449</v>
      </c>
      <c r="AO323" s="182"/>
      <c r="AP323" s="182"/>
    </row>
    <row r="324" spans="1:42" s="185" customFormat="1" hidden="1" x14ac:dyDescent="0.2">
      <c r="A324" s="180" t="s">
        <v>449</v>
      </c>
      <c r="B324" s="180" t="s">
        <v>449</v>
      </c>
      <c r="C324" s="180" t="s">
        <v>449</v>
      </c>
      <c r="D324" s="180" t="s">
        <v>449</v>
      </c>
      <c r="E324" s="180" t="s">
        <v>449</v>
      </c>
      <c r="F324" s="180" t="s">
        <v>449</v>
      </c>
      <c r="G324" s="180" t="s">
        <v>449</v>
      </c>
      <c r="H324" s="181" t="s">
        <v>449</v>
      </c>
      <c r="I324" s="180" t="e">
        <f t="shared" si="21"/>
        <v>#VALUE!</v>
      </c>
      <c r="J324" s="181" t="s">
        <v>449</v>
      </c>
      <c r="K324" s="180" t="e">
        <f t="shared" si="22"/>
        <v>#VALUE!</v>
      </c>
      <c r="L324" s="180"/>
      <c r="M324" s="180"/>
      <c r="N324" s="180"/>
      <c r="O324" s="180" t="s">
        <v>449</v>
      </c>
      <c r="P324" s="180" t="s">
        <v>449</v>
      </c>
      <c r="Q324" s="180"/>
      <c r="R324" s="182"/>
      <c r="S324" s="180"/>
      <c r="T324" s="180"/>
      <c r="U324" s="180"/>
      <c r="V324" s="180"/>
      <c r="W324" s="180"/>
      <c r="X324" s="180"/>
      <c r="Y324" s="183"/>
      <c r="Z324" s="180"/>
      <c r="AA324" s="180"/>
      <c r="AB324" s="182"/>
      <c r="AC324" s="212"/>
      <c r="AD324" s="180" t="s">
        <v>449</v>
      </c>
      <c r="AE324" s="180" t="s">
        <v>449</v>
      </c>
      <c r="AF324" s="180" t="s">
        <v>449</v>
      </c>
      <c r="AG324" s="180"/>
      <c r="AH324" s="180" t="s">
        <v>449</v>
      </c>
      <c r="AI324" s="180" t="s">
        <v>449</v>
      </c>
      <c r="AJ324" s="180" t="s">
        <v>449</v>
      </c>
      <c r="AK324" s="184" t="s">
        <v>449</v>
      </c>
      <c r="AL324" s="182" t="s">
        <v>449</v>
      </c>
      <c r="AM324" s="182" t="s">
        <v>449</v>
      </c>
      <c r="AN324" s="182" t="s">
        <v>449</v>
      </c>
      <c r="AO324" s="182"/>
      <c r="AP324" s="182"/>
    </row>
    <row r="325" spans="1:42" s="185" customFormat="1" hidden="1" x14ac:dyDescent="0.2">
      <c r="A325" s="180" t="s">
        <v>449</v>
      </c>
      <c r="B325" s="180" t="s">
        <v>449</v>
      </c>
      <c r="C325" s="180" t="s">
        <v>449</v>
      </c>
      <c r="D325" s="180" t="s">
        <v>449</v>
      </c>
      <c r="E325" s="180" t="s">
        <v>449</v>
      </c>
      <c r="F325" s="180" t="s">
        <v>449</v>
      </c>
      <c r="G325" s="180" t="s">
        <v>449</v>
      </c>
      <c r="H325" s="181" t="s">
        <v>449</v>
      </c>
      <c r="I325" s="180" t="e">
        <f t="shared" si="21"/>
        <v>#VALUE!</v>
      </c>
      <c r="J325" s="181" t="s">
        <v>449</v>
      </c>
      <c r="K325" s="180" t="e">
        <f t="shared" si="22"/>
        <v>#VALUE!</v>
      </c>
      <c r="L325" s="180"/>
      <c r="M325" s="180"/>
      <c r="N325" s="180"/>
      <c r="O325" s="180" t="s">
        <v>449</v>
      </c>
      <c r="P325" s="180" t="s">
        <v>449</v>
      </c>
      <c r="Q325" s="180"/>
      <c r="R325" s="182"/>
      <c r="S325" s="180"/>
      <c r="T325" s="180"/>
      <c r="U325" s="180"/>
      <c r="V325" s="180"/>
      <c r="W325" s="180"/>
      <c r="X325" s="180"/>
      <c r="Y325" s="183"/>
      <c r="Z325" s="180"/>
      <c r="AA325" s="180"/>
      <c r="AB325" s="182"/>
      <c r="AC325" s="212"/>
      <c r="AD325" s="180" t="s">
        <v>449</v>
      </c>
      <c r="AE325" s="180" t="s">
        <v>449</v>
      </c>
      <c r="AF325" s="180" t="s">
        <v>449</v>
      </c>
      <c r="AG325" s="180"/>
      <c r="AH325" s="180" t="s">
        <v>449</v>
      </c>
      <c r="AI325" s="180" t="s">
        <v>449</v>
      </c>
      <c r="AJ325" s="180" t="s">
        <v>449</v>
      </c>
      <c r="AK325" s="184" t="s">
        <v>449</v>
      </c>
      <c r="AL325" s="182" t="s">
        <v>449</v>
      </c>
      <c r="AM325" s="182" t="s">
        <v>449</v>
      </c>
      <c r="AN325" s="182" t="s">
        <v>449</v>
      </c>
      <c r="AO325" s="182"/>
      <c r="AP325" s="182"/>
    </row>
    <row r="326" spans="1:42" s="185" customFormat="1" hidden="1" x14ac:dyDescent="0.2">
      <c r="A326" s="180" t="s">
        <v>449</v>
      </c>
      <c r="B326" s="180" t="s">
        <v>449</v>
      </c>
      <c r="C326" s="180" t="s">
        <v>449</v>
      </c>
      <c r="D326" s="180" t="s">
        <v>449</v>
      </c>
      <c r="E326" s="180" t="s">
        <v>449</v>
      </c>
      <c r="F326" s="180" t="s">
        <v>449</v>
      </c>
      <c r="G326" s="180" t="s">
        <v>449</v>
      </c>
      <c r="H326" s="181" t="s">
        <v>449</v>
      </c>
      <c r="I326" s="180" t="e">
        <f t="shared" si="21"/>
        <v>#VALUE!</v>
      </c>
      <c r="J326" s="181" t="s">
        <v>449</v>
      </c>
      <c r="K326" s="180" t="e">
        <f t="shared" si="22"/>
        <v>#VALUE!</v>
      </c>
      <c r="L326" s="180"/>
      <c r="M326" s="180"/>
      <c r="N326" s="180"/>
      <c r="O326" s="180" t="s">
        <v>449</v>
      </c>
      <c r="P326" s="180" t="s">
        <v>449</v>
      </c>
      <c r="Q326" s="180"/>
      <c r="R326" s="182"/>
      <c r="S326" s="180"/>
      <c r="T326" s="180"/>
      <c r="U326" s="180"/>
      <c r="V326" s="180"/>
      <c r="W326" s="180"/>
      <c r="X326" s="180"/>
      <c r="Y326" s="183"/>
      <c r="Z326" s="180"/>
      <c r="AA326" s="180"/>
      <c r="AB326" s="182"/>
      <c r="AC326" s="212"/>
      <c r="AD326" s="180" t="s">
        <v>449</v>
      </c>
      <c r="AE326" s="180" t="s">
        <v>449</v>
      </c>
      <c r="AF326" s="180" t="s">
        <v>449</v>
      </c>
      <c r="AG326" s="180"/>
      <c r="AH326" s="180" t="s">
        <v>449</v>
      </c>
      <c r="AI326" s="180" t="s">
        <v>449</v>
      </c>
      <c r="AJ326" s="180" t="s">
        <v>449</v>
      </c>
      <c r="AK326" s="184" t="s">
        <v>449</v>
      </c>
      <c r="AL326" s="182" t="s">
        <v>449</v>
      </c>
      <c r="AM326" s="182" t="s">
        <v>449</v>
      </c>
      <c r="AN326" s="182" t="s">
        <v>449</v>
      </c>
      <c r="AO326" s="182"/>
      <c r="AP326" s="182"/>
    </row>
    <row r="327" spans="1:42" s="185" customFormat="1" hidden="1" x14ac:dyDescent="0.2">
      <c r="A327" s="180" t="s">
        <v>449</v>
      </c>
      <c r="B327" s="180" t="s">
        <v>449</v>
      </c>
      <c r="C327" s="180" t="s">
        <v>449</v>
      </c>
      <c r="D327" s="180" t="s">
        <v>449</v>
      </c>
      <c r="E327" s="180" t="s">
        <v>449</v>
      </c>
      <c r="F327" s="180" t="s">
        <v>449</v>
      </c>
      <c r="G327" s="180" t="s">
        <v>449</v>
      </c>
      <c r="H327" s="181" t="s">
        <v>449</v>
      </c>
      <c r="I327" s="180" t="e">
        <f t="shared" si="21"/>
        <v>#VALUE!</v>
      </c>
      <c r="J327" s="181" t="s">
        <v>449</v>
      </c>
      <c r="K327" s="180" t="e">
        <f t="shared" si="22"/>
        <v>#VALUE!</v>
      </c>
      <c r="L327" s="180"/>
      <c r="M327" s="180"/>
      <c r="N327" s="180"/>
      <c r="O327" s="180" t="s">
        <v>449</v>
      </c>
      <c r="P327" s="180" t="s">
        <v>449</v>
      </c>
      <c r="Q327" s="180"/>
      <c r="R327" s="182"/>
      <c r="S327" s="180"/>
      <c r="T327" s="180"/>
      <c r="U327" s="180"/>
      <c r="V327" s="180"/>
      <c r="W327" s="180"/>
      <c r="X327" s="180"/>
      <c r="Y327" s="183"/>
      <c r="Z327" s="180"/>
      <c r="AA327" s="180"/>
      <c r="AB327" s="182"/>
      <c r="AC327" s="212"/>
      <c r="AD327" s="180" t="s">
        <v>449</v>
      </c>
      <c r="AE327" s="180" t="s">
        <v>449</v>
      </c>
      <c r="AF327" s="180" t="s">
        <v>449</v>
      </c>
      <c r="AG327" s="180"/>
      <c r="AH327" s="180" t="s">
        <v>449</v>
      </c>
      <c r="AI327" s="180" t="s">
        <v>449</v>
      </c>
      <c r="AJ327" s="180" t="s">
        <v>449</v>
      </c>
      <c r="AK327" s="184" t="s">
        <v>449</v>
      </c>
      <c r="AL327" s="182" t="s">
        <v>449</v>
      </c>
      <c r="AM327" s="182" t="s">
        <v>449</v>
      </c>
      <c r="AN327" s="182" t="s">
        <v>449</v>
      </c>
      <c r="AO327" s="182"/>
      <c r="AP327" s="182"/>
    </row>
    <row r="328" spans="1:42" s="185" customFormat="1" hidden="1" x14ac:dyDescent="0.2">
      <c r="A328" s="180" t="s">
        <v>449</v>
      </c>
      <c r="B328" s="180" t="s">
        <v>449</v>
      </c>
      <c r="C328" s="180" t="s">
        <v>449</v>
      </c>
      <c r="D328" s="180" t="s">
        <v>449</v>
      </c>
      <c r="E328" s="180" t="s">
        <v>449</v>
      </c>
      <c r="F328" s="180" t="s">
        <v>449</v>
      </c>
      <c r="G328" s="180" t="s">
        <v>449</v>
      </c>
      <c r="H328" s="181" t="s">
        <v>449</v>
      </c>
      <c r="I328" s="180" t="e">
        <f t="shared" si="21"/>
        <v>#VALUE!</v>
      </c>
      <c r="J328" s="181" t="s">
        <v>449</v>
      </c>
      <c r="K328" s="180" t="e">
        <f t="shared" si="22"/>
        <v>#VALUE!</v>
      </c>
      <c r="L328" s="180"/>
      <c r="M328" s="180"/>
      <c r="N328" s="180"/>
      <c r="O328" s="180" t="s">
        <v>449</v>
      </c>
      <c r="P328" s="180" t="s">
        <v>449</v>
      </c>
      <c r="Q328" s="180"/>
      <c r="R328" s="182"/>
      <c r="S328" s="180"/>
      <c r="T328" s="180"/>
      <c r="U328" s="180"/>
      <c r="V328" s="180"/>
      <c r="W328" s="180"/>
      <c r="X328" s="180"/>
      <c r="Y328" s="183"/>
      <c r="Z328" s="180"/>
      <c r="AA328" s="180"/>
      <c r="AB328" s="182"/>
      <c r="AC328" s="212"/>
      <c r="AD328" s="180" t="s">
        <v>449</v>
      </c>
      <c r="AE328" s="180" t="s">
        <v>449</v>
      </c>
      <c r="AF328" s="180" t="s">
        <v>449</v>
      </c>
      <c r="AG328" s="180"/>
      <c r="AH328" s="180" t="s">
        <v>449</v>
      </c>
      <c r="AI328" s="180" t="s">
        <v>449</v>
      </c>
      <c r="AJ328" s="180" t="s">
        <v>449</v>
      </c>
      <c r="AK328" s="184" t="s">
        <v>449</v>
      </c>
      <c r="AL328" s="182" t="s">
        <v>449</v>
      </c>
      <c r="AM328" s="182" t="s">
        <v>449</v>
      </c>
      <c r="AN328" s="182" t="s">
        <v>449</v>
      </c>
      <c r="AO328" s="182"/>
      <c r="AP328" s="182"/>
    </row>
    <row r="329" spans="1:42" s="185" customFormat="1" hidden="1" x14ac:dyDescent="0.2">
      <c r="A329" s="180" t="s">
        <v>449</v>
      </c>
      <c r="B329" s="180" t="s">
        <v>449</v>
      </c>
      <c r="C329" s="180" t="s">
        <v>449</v>
      </c>
      <c r="D329" s="180" t="s">
        <v>449</v>
      </c>
      <c r="E329" s="180" t="s">
        <v>449</v>
      </c>
      <c r="F329" s="180" t="s">
        <v>449</v>
      </c>
      <c r="G329" s="180" t="s">
        <v>449</v>
      </c>
      <c r="H329" s="181" t="s">
        <v>449</v>
      </c>
      <c r="I329" s="180" t="e">
        <f t="shared" si="21"/>
        <v>#VALUE!</v>
      </c>
      <c r="J329" s="181" t="s">
        <v>449</v>
      </c>
      <c r="K329" s="180" t="e">
        <f t="shared" si="22"/>
        <v>#VALUE!</v>
      </c>
      <c r="L329" s="180"/>
      <c r="M329" s="180"/>
      <c r="N329" s="180"/>
      <c r="O329" s="180" t="s">
        <v>449</v>
      </c>
      <c r="P329" s="180" t="s">
        <v>449</v>
      </c>
      <c r="Q329" s="180"/>
      <c r="R329" s="182"/>
      <c r="S329" s="180"/>
      <c r="T329" s="180"/>
      <c r="U329" s="180"/>
      <c r="V329" s="180"/>
      <c r="W329" s="180"/>
      <c r="X329" s="180"/>
      <c r="Y329" s="183"/>
      <c r="Z329" s="180"/>
      <c r="AA329" s="180"/>
      <c r="AB329" s="182"/>
      <c r="AC329" s="212"/>
      <c r="AD329" s="180" t="s">
        <v>449</v>
      </c>
      <c r="AE329" s="180" t="s">
        <v>449</v>
      </c>
      <c r="AF329" s="180" t="s">
        <v>449</v>
      </c>
      <c r="AG329" s="180"/>
      <c r="AH329" s="180" t="s">
        <v>449</v>
      </c>
      <c r="AI329" s="180" t="s">
        <v>449</v>
      </c>
      <c r="AJ329" s="180" t="s">
        <v>449</v>
      </c>
      <c r="AK329" s="184" t="s">
        <v>449</v>
      </c>
      <c r="AL329" s="182" t="s">
        <v>449</v>
      </c>
      <c r="AM329" s="182" t="s">
        <v>449</v>
      </c>
      <c r="AN329" s="182" t="s">
        <v>449</v>
      </c>
      <c r="AO329" s="182"/>
      <c r="AP329" s="182"/>
    </row>
    <row r="330" spans="1:42" s="185" customFormat="1" hidden="1" x14ac:dyDescent="0.2">
      <c r="A330" s="180" t="s">
        <v>449</v>
      </c>
      <c r="B330" s="180" t="s">
        <v>449</v>
      </c>
      <c r="C330" s="180" t="s">
        <v>449</v>
      </c>
      <c r="D330" s="180" t="s">
        <v>449</v>
      </c>
      <c r="E330" s="180" t="s">
        <v>449</v>
      </c>
      <c r="F330" s="180" t="s">
        <v>449</v>
      </c>
      <c r="G330" s="180" t="s">
        <v>449</v>
      </c>
      <c r="H330" s="181" t="s">
        <v>449</v>
      </c>
      <c r="I330" s="180" t="e">
        <f t="shared" si="21"/>
        <v>#VALUE!</v>
      </c>
      <c r="J330" s="181" t="s">
        <v>449</v>
      </c>
      <c r="K330" s="180" t="e">
        <f t="shared" si="22"/>
        <v>#VALUE!</v>
      </c>
      <c r="L330" s="180"/>
      <c r="M330" s="180"/>
      <c r="N330" s="180"/>
      <c r="O330" s="180" t="s">
        <v>449</v>
      </c>
      <c r="P330" s="180" t="s">
        <v>449</v>
      </c>
      <c r="Q330" s="180"/>
      <c r="R330" s="182"/>
      <c r="S330" s="180"/>
      <c r="T330" s="180"/>
      <c r="U330" s="180"/>
      <c r="V330" s="180"/>
      <c r="W330" s="180"/>
      <c r="X330" s="180"/>
      <c r="Y330" s="183"/>
      <c r="Z330" s="180"/>
      <c r="AA330" s="180"/>
      <c r="AB330" s="182"/>
      <c r="AC330" s="212"/>
      <c r="AD330" s="180" t="s">
        <v>449</v>
      </c>
      <c r="AE330" s="180" t="s">
        <v>449</v>
      </c>
      <c r="AF330" s="180" t="s">
        <v>449</v>
      </c>
      <c r="AG330" s="180"/>
      <c r="AH330" s="180" t="s">
        <v>449</v>
      </c>
      <c r="AI330" s="180" t="s">
        <v>449</v>
      </c>
      <c r="AJ330" s="180" t="s">
        <v>449</v>
      </c>
      <c r="AK330" s="184" t="s">
        <v>449</v>
      </c>
      <c r="AL330" s="182" t="s">
        <v>449</v>
      </c>
      <c r="AM330" s="182" t="s">
        <v>449</v>
      </c>
      <c r="AN330" s="182" t="s">
        <v>449</v>
      </c>
      <c r="AO330" s="182"/>
      <c r="AP330" s="182"/>
    </row>
    <row r="331" spans="1:42" s="185" customFormat="1" hidden="1" x14ac:dyDescent="0.2">
      <c r="A331" s="180" t="s">
        <v>449</v>
      </c>
      <c r="B331" s="180" t="s">
        <v>449</v>
      </c>
      <c r="C331" s="180" t="s">
        <v>449</v>
      </c>
      <c r="D331" s="180" t="s">
        <v>449</v>
      </c>
      <c r="E331" s="180" t="s">
        <v>449</v>
      </c>
      <c r="F331" s="180" t="s">
        <v>449</v>
      </c>
      <c r="G331" s="180" t="s">
        <v>449</v>
      </c>
      <c r="H331" s="181" t="s">
        <v>449</v>
      </c>
      <c r="I331" s="180" t="e">
        <f t="shared" si="21"/>
        <v>#VALUE!</v>
      </c>
      <c r="J331" s="181" t="s">
        <v>449</v>
      </c>
      <c r="K331" s="180" t="e">
        <f t="shared" si="22"/>
        <v>#VALUE!</v>
      </c>
      <c r="L331" s="180"/>
      <c r="M331" s="180"/>
      <c r="N331" s="180"/>
      <c r="O331" s="180" t="s">
        <v>449</v>
      </c>
      <c r="P331" s="180" t="s">
        <v>449</v>
      </c>
      <c r="Q331" s="180"/>
      <c r="R331" s="182"/>
      <c r="S331" s="180"/>
      <c r="T331" s="180"/>
      <c r="U331" s="180"/>
      <c r="V331" s="180"/>
      <c r="W331" s="180"/>
      <c r="X331" s="180"/>
      <c r="Y331" s="183"/>
      <c r="Z331" s="180"/>
      <c r="AA331" s="180"/>
      <c r="AB331" s="182"/>
      <c r="AC331" s="212"/>
      <c r="AD331" s="180" t="s">
        <v>449</v>
      </c>
      <c r="AE331" s="180" t="s">
        <v>449</v>
      </c>
      <c r="AF331" s="180" t="s">
        <v>449</v>
      </c>
      <c r="AG331" s="180"/>
      <c r="AH331" s="180" t="s">
        <v>449</v>
      </c>
      <c r="AI331" s="180" t="s">
        <v>449</v>
      </c>
      <c r="AJ331" s="180" t="s">
        <v>449</v>
      </c>
      <c r="AK331" s="184" t="s">
        <v>449</v>
      </c>
      <c r="AL331" s="182" t="s">
        <v>449</v>
      </c>
      <c r="AM331" s="182" t="s">
        <v>449</v>
      </c>
      <c r="AN331" s="182" t="s">
        <v>449</v>
      </c>
      <c r="AO331" s="182"/>
      <c r="AP331" s="182"/>
    </row>
    <row r="332" spans="1:42" s="185" customFormat="1" hidden="1" x14ac:dyDescent="0.2">
      <c r="A332" s="180" t="s">
        <v>449</v>
      </c>
      <c r="B332" s="180" t="s">
        <v>449</v>
      </c>
      <c r="C332" s="180" t="s">
        <v>449</v>
      </c>
      <c r="D332" s="180" t="s">
        <v>449</v>
      </c>
      <c r="E332" s="180" t="s">
        <v>449</v>
      </c>
      <c r="F332" s="180" t="s">
        <v>449</v>
      </c>
      <c r="G332" s="180" t="s">
        <v>449</v>
      </c>
      <c r="H332" s="181" t="s">
        <v>449</v>
      </c>
      <c r="I332" s="180" t="e">
        <f t="shared" si="21"/>
        <v>#VALUE!</v>
      </c>
      <c r="J332" s="181" t="s">
        <v>449</v>
      </c>
      <c r="K332" s="180" t="e">
        <f t="shared" si="22"/>
        <v>#VALUE!</v>
      </c>
      <c r="L332" s="180"/>
      <c r="M332" s="180"/>
      <c r="N332" s="180"/>
      <c r="O332" s="180" t="s">
        <v>449</v>
      </c>
      <c r="P332" s="180" t="s">
        <v>449</v>
      </c>
      <c r="Q332" s="180"/>
      <c r="R332" s="182"/>
      <c r="S332" s="180"/>
      <c r="T332" s="180"/>
      <c r="U332" s="180"/>
      <c r="V332" s="180"/>
      <c r="W332" s="180"/>
      <c r="X332" s="180"/>
      <c r="Y332" s="183"/>
      <c r="Z332" s="180"/>
      <c r="AA332" s="180"/>
      <c r="AB332" s="182"/>
      <c r="AC332" s="212"/>
      <c r="AD332" s="180" t="s">
        <v>449</v>
      </c>
      <c r="AE332" s="180" t="s">
        <v>449</v>
      </c>
      <c r="AF332" s="180" t="s">
        <v>449</v>
      </c>
      <c r="AG332" s="180"/>
      <c r="AH332" s="180" t="s">
        <v>449</v>
      </c>
      <c r="AI332" s="180" t="s">
        <v>449</v>
      </c>
      <c r="AJ332" s="180" t="s">
        <v>449</v>
      </c>
      <c r="AK332" s="184" t="s">
        <v>449</v>
      </c>
      <c r="AL332" s="182" t="s">
        <v>449</v>
      </c>
      <c r="AM332" s="182" t="s">
        <v>449</v>
      </c>
      <c r="AN332" s="182" t="s">
        <v>449</v>
      </c>
      <c r="AO332" s="182"/>
      <c r="AP332" s="182"/>
    </row>
    <row r="333" spans="1:42" s="185" customFormat="1" hidden="1" x14ac:dyDescent="0.2">
      <c r="A333" s="180" t="s">
        <v>449</v>
      </c>
      <c r="B333" s="180" t="s">
        <v>449</v>
      </c>
      <c r="C333" s="180" t="s">
        <v>449</v>
      </c>
      <c r="D333" s="180" t="s">
        <v>449</v>
      </c>
      <c r="E333" s="180" t="s">
        <v>449</v>
      </c>
      <c r="F333" s="180" t="s">
        <v>449</v>
      </c>
      <c r="G333" s="180" t="s">
        <v>449</v>
      </c>
      <c r="H333" s="181" t="s">
        <v>449</v>
      </c>
      <c r="I333" s="180" t="e">
        <f t="shared" si="21"/>
        <v>#VALUE!</v>
      </c>
      <c r="J333" s="181" t="s">
        <v>449</v>
      </c>
      <c r="K333" s="180" t="e">
        <f t="shared" si="22"/>
        <v>#VALUE!</v>
      </c>
      <c r="L333" s="180"/>
      <c r="M333" s="180"/>
      <c r="N333" s="180"/>
      <c r="O333" s="180" t="s">
        <v>449</v>
      </c>
      <c r="P333" s="180" t="s">
        <v>449</v>
      </c>
      <c r="Q333" s="180"/>
      <c r="R333" s="182"/>
      <c r="S333" s="180"/>
      <c r="T333" s="180"/>
      <c r="U333" s="180"/>
      <c r="V333" s="180"/>
      <c r="W333" s="180"/>
      <c r="X333" s="180"/>
      <c r="Y333" s="183"/>
      <c r="Z333" s="180"/>
      <c r="AA333" s="180"/>
      <c r="AB333" s="182"/>
      <c r="AC333" s="212"/>
      <c r="AD333" s="180" t="s">
        <v>449</v>
      </c>
      <c r="AE333" s="180" t="s">
        <v>449</v>
      </c>
      <c r="AF333" s="180" t="s">
        <v>449</v>
      </c>
      <c r="AG333" s="180"/>
      <c r="AH333" s="180" t="s">
        <v>449</v>
      </c>
      <c r="AI333" s="180" t="s">
        <v>449</v>
      </c>
      <c r="AJ333" s="180" t="s">
        <v>449</v>
      </c>
      <c r="AK333" s="184" t="s">
        <v>449</v>
      </c>
      <c r="AL333" s="182" t="s">
        <v>449</v>
      </c>
      <c r="AM333" s="182" t="s">
        <v>449</v>
      </c>
      <c r="AN333" s="182" t="s">
        <v>449</v>
      </c>
      <c r="AO333" s="182"/>
      <c r="AP333" s="182"/>
    </row>
    <row r="334" spans="1:42" s="185" customFormat="1" hidden="1" x14ac:dyDescent="0.2">
      <c r="A334" s="180" t="s">
        <v>449</v>
      </c>
      <c r="B334" s="180" t="s">
        <v>449</v>
      </c>
      <c r="C334" s="180" t="s">
        <v>449</v>
      </c>
      <c r="D334" s="180" t="s">
        <v>449</v>
      </c>
      <c r="E334" s="180" t="s">
        <v>449</v>
      </c>
      <c r="F334" s="180" t="s">
        <v>449</v>
      </c>
      <c r="G334" s="180" t="s">
        <v>449</v>
      </c>
      <c r="H334" s="181" t="s">
        <v>449</v>
      </c>
      <c r="I334" s="180" t="e">
        <f t="shared" si="21"/>
        <v>#VALUE!</v>
      </c>
      <c r="J334" s="181" t="s">
        <v>449</v>
      </c>
      <c r="K334" s="180" t="e">
        <f t="shared" si="22"/>
        <v>#VALUE!</v>
      </c>
      <c r="L334" s="180"/>
      <c r="M334" s="180"/>
      <c r="N334" s="180"/>
      <c r="O334" s="180" t="s">
        <v>449</v>
      </c>
      <c r="P334" s="180" t="s">
        <v>449</v>
      </c>
      <c r="Q334" s="180"/>
      <c r="R334" s="182"/>
      <c r="S334" s="180"/>
      <c r="T334" s="180"/>
      <c r="U334" s="180"/>
      <c r="V334" s="180"/>
      <c r="W334" s="180"/>
      <c r="X334" s="180"/>
      <c r="Y334" s="183"/>
      <c r="Z334" s="180"/>
      <c r="AA334" s="180"/>
      <c r="AB334" s="182"/>
      <c r="AC334" s="212"/>
      <c r="AD334" s="180" t="s">
        <v>449</v>
      </c>
      <c r="AE334" s="180" t="s">
        <v>449</v>
      </c>
      <c r="AF334" s="180" t="s">
        <v>449</v>
      </c>
      <c r="AG334" s="180"/>
      <c r="AH334" s="180" t="s">
        <v>449</v>
      </c>
      <c r="AI334" s="180" t="s">
        <v>449</v>
      </c>
      <c r="AJ334" s="180" t="s">
        <v>449</v>
      </c>
      <c r="AK334" s="184" t="s">
        <v>449</v>
      </c>
      <c r="AL334" s="182" t="s">
        <v>449</v>
      </c>
      <c r="AM334" s="182" t="s">
        <v>449</v>
      </c>
      <c r="AN334" s="182" t="s">
        <v>449</v>
      </c>
      <c r="AO334" s="182"/>
      <c r="AP334" s="182"/>
    </row>
    <row r="335" spans="1:42" s="185" customFormat="1" hidden="1" x14ac:dyDescent="0.2">
      <c r="A335" s="180" t="s">
        <v>449</v>
      </c>
      <c r="B335" s="180" t="s">
        <v>449</v>
      </c>
      <c r="C335" s="180" t="s">
        <v>449</v>
      </c>
      <c r="D335" s="180" t="s">
        <v>449</v>
      </c>
      <c r="E335" s="180" t="s">
        <v>449</v>
      </c>
      <c r="F335" s="180" t="s">
        <v>449</v>
      </c>
      <c r="G335" s="180" t="s">
        <v>449</v>
      </c>
      <c r="H335" s="181" t="s">
        <v>449</v>
      </c>
      <c r="I335" s="180" t="e">
        <f t="shared" si="21"/>
        <v>#VALUE!</v>
      </c>
      <c r="J335" s="181" t="s">
        <v>449</v>
      </c>
      <c r="K335" s="180" t="e">
        <f t="shared" si="22"/>
        <v>#VALUE!</v>
      </c>
      <c r="L335" s="180"/>
      <c r="M335" s="180"/>
      <c r="N335" s="180"/>
      <c r="O335" s="180" t="s">
        <v>449</v>
      </c>
      <c r="P335" s="180" t="s">
        <v>449</v>
      </c>
      <c r="Q335" s="180"/>
      <c r="R335" s="182"/>
      <c r="S335" s="180"/>
      <c r="T335" s="180"/>
      <c r="U335" s="180"/>
      <c r="V335" s="180"/>
      <c r="W335" s="180"/>
      <c r="X335" s="180"/>
      <c r="Y335" s="183"/>
      <c r="Z335" s="180"/>
      <c r="AA335" s="180"/>
      <c r="AB335" s="182"/>
      <c r="AC335" s="212"/>
      <c r="AD335" s="180" t="s">
        <v>449</v>
      </c>
      <c r="AE335" s="180" t="s">
        <v>449</v>
      </c>
      <c r="AF335" s="180" t="s">
        <v>449</v>
      </c>
      <c r="AG335" s="180"/>
      <c r="AH335" s="180" t="s">
        <v>449</v>
      </c>
      <c r="AI335" s="180" t="s">
        <v>449</v>
      </c>
      <c r="AJ335" s="180" t="s">
        <v>449</v>
      </c>
      <c r="AK335" s="184" t="s">
        <v>449</v>
      </c>
      <c r="AL335" s="182" t="s">
        <v>449</v>
      </c>
      <c r="AM335" s="182" t="s">
        <v>449</v>
      </c>
      <c r="AN335" s="182" t="s">
        <v>449</v>
      </c>
      <c r="AO335" s="182"/>
      <c r="AP335" s="182"/>
    </row>
    <row r="336" spans="1:42" s="185" customFormat="1" hidden="1" x14ac:dyDescent="0.2">
      <c r="A336" s="180" t="s">
        <v>449</v>
      </c>
      <c r="B336" s="180" t="s">
        <v>449</v>
      </c>
      <c r="C336" s="180" t="s">
        <v>449</v>
      </c>
      <c r="D336" s="180" t="s">
        <v>449</v>
      </c>
      <c r="E336" s="180" t="s">
        <v>449</v>
      </c>
      <c r="F336" s="180" t="s">
        <v>449</v>
      </c>
      <c r="G336" s="180" t="s">
        <v>449</v>
      </c>
      <c r="H336" s="181" t="s">
        <v>449</v>
      </c>
      <c r="I336" s="180" t="e">
        <f t="shared" si="21"/>
        <v>#VALUE!</v>
      </c>
      <c r="J336" s="181" t="s">
        <v>449</v>
      </c>
      <c r="K336" s="180" t="e">
        <f t="shared" si="22"/>
        <v>#VALUE!</v>
      </c>
      <c r="L336" s="180"/>
      <c r="M336" s="180"/>
      <c r="N336" s="180"/>
      <c r="O336" s="180" t="s">
        <v>449</v>
      </c>
      <c r="P336" s="180" t="s">
        <v>449</v>
      </c>
      <c r="Q336" s="180"/>
      <c r="R336" s="182"/>
      <c r="S336" s="180"/>
      <c r="T336" s="180"/>
      <c r="U336" s="180"/>
      <c r="V336" s="180"/>
      <c r="W336" s="180"/>
      <c r="X336" s="180"/>
      <c r="Y336" s="183"/>
      <c r="Z336" s="180"/>
      <c r="AA336" s="180"/>
      <c r="AB336" s="182"/>
      <c r="AC336" s="212"/>
      <c r="AD336" s="180" t="s">
        <v>449</v>
      </c>
      <c r="AE336" s="180" t="s">
        <v>449</v>
      </c>
      <c r="AF336" s="180" t="s">
        <v>449</v>
      </c>
      <c r="AG336" s="180"/>
      <c r="AH336" s="180" t="s">
        <v>449</v>
      </c>
      <c r="AI336" s="180" t="s">
        <v>449</v>
      </c>
      <c r="AJ336" s="180" t="s">
        <v>449</v>
      </c>
      <c r="AK336" s="184" t="s">
        <v>449</v>
      </c>
      <c r="AL336" s="182" t="s">
        <v>449</v>
      </c>
      <c r="AM336" s="182" t="s">
        <v>449</v>
      </c>
      <c r="AN336" s="182" t="s">
        <v>449</v>
      </c>
      <c r="AO336" s="182"/>
      <c r="AP336" s="182"/>
    </row>
    <row r="337" spans="1:42" s="185" customFormat="1" hidden="1" x14ac:dyDescent="0.2">
      <c r="A337" s="180" t="s">
        <v>449</v>
      </c>
      <c r="B337" s="180" t="s">
        <v>449</v>
      </c>
      <c r="C337" s="180" t="s">
        <v>449</v>
      </c>
      <c r="D337" s="180" t="s">
        <v>449</v>
      </c>
      <c r="E337" s="180" t="s">
        <v>449</v>
      </c>
      <c r="F337" s="180" t="s">
        <v>449</v>
      </c>
      <c r="G337" s="180" t="s">
        <v>449</v>
      </c>
      <c r="H337" s="181" t="s">
        <v>449</v>
      </c>
      <c r="I337" s="180" t="e">
        <f t="shared" si="21"/>
        <v>#VALUE!</v>
      </c>
      <c r="J337" s="181" t="s">
        <v>449</v>
      </c>
      <c r="K337" s="180" t="e">
        <f t="shared" si="22"/>
        <v>#VALUE!</v>
      </c>
      <c r="L337" s="180"/>
      <c r="M337" s="180"/>
      <c r="N337" s="180"/>
      <c r="O337" s="180" t="s">
        <v>449</v>
      </c>
      <c r="P337" s="180" t="s">
        <v>449</v>
      </c>
      <c r="Q337" s="180"/>
      <c r="R337" s="182"/>
      <c r="S337" s="180"/>
      <c r="T337" s="180"/>
      <c r="U337" s="180"/>
      <c r="V337" s="180"/>
      <c r="W337" s="180"/>
      <c r="X337" s="180"/>
      <c r="Y337" s="183"/>
      <c r="Z337" s="180"/>
      <c r="AA337" s="180"/>
      <c r="AB337" s="182"/>
      <c r="AC337" s="212"/>
      <c r="AD337" s="180" t="s">
        <v>449</v>
      </c>
      <c r="AE337" s="180" t="s">
        <v>449</v>
      </c>
      <c r="AF337" s="180" t="s">
        <v>449</v>
      </c>
      <c r="AG337" s="180"/>
      <c r="AH337" s="180" t="s">
        <v>449</v>
      </c>
      <c r="AI337" s="180" t="s">
        <v>449</v>
      </c>
      <c r="AJ337" s="180" t="s">
        <v>449</v>
      </c>
      <c r="AK337" s="184" t="s">
        <v>449</v>
      </c>
      <c r="AL337" s="182" t="s">
        <v>449</v>
      </c>
      <c r="AM337" s="182" t="s">
        <v>449</v>
      </c>
      <c r="AN337" s="182" t="s">
        <v>449</v>
      </c>
      <c r="AO337" s="182"/>
      <c r="AP337" s="182"/>
    </row>
    <row r="338" spans="1:42" s="185" customFormat="1" hidden="1" x14ac:dyDescent="0.2">
      <c r="A338" s="180" t="s">
        <v>449</v>
      </c>
      <c r="B338" s="180" t="s">
        <v>449</v>
      </c>
      <c r="C338" s="180" t="s">
        <v>449</v>
      </c>
      <c r="D338" s="180" t="s">
        <v>449</v>
      </c>
      <c r="E338" s="180" t="s">
        <v>449</v>
      </c>
      <c r="F338" s="180" t="s">
        <v>449</v>
      </c>
      <c r="G338" s="180" t="s">
        <v>449</v>
      </c>
      <c r="H338" s="181" t="s">
        <v>449</v>
      </c>
      <c r="I338" s="180" t="e">
        <f t="shared" si="21"/>
        <v>#VALUE!</v>
      </c>
      <c r="J338" s="181" t="s">
        <v>449</v>
      </c>
      <c r="K338" s="180" t="e">
        <f t="shared" si="22"/>
        <v>#VALUE!</v>
      </c>
      <c r="L338" s="180"/>
      <c r="M338" s="180"/>
      <c r="N338" s="180"/>
      <c r="O338" s="180" t="s">
        <v>449</v>
      </c>
      <c r="P338" s="180" t="s">
        <v>449</v>
      </c>
      <c r="Q338" s="180"/>
      <c r="R338" s="182"/>
      <c r="S338" s="180"/>
      <c r="T338" s="180"/>
      <c r="U338" s="180"/>
      <c r="V338" s="180"/>
      <c r="W338" s="180"/>
      <c r="X338" s="180"/>
      <c r="Y338" s="183"/>
      <c r="Z338" s="180"/>
      <c r="AA338" s="180"/>
      <c r="AB338" s="182"/>
      <c r="AC338" s="212"/>
      <c r="AD338" s="180" t="s">
        <v>449</v>
      </c>
      <c r="AE338" s="180" t="s">
        <v>449</v>
      </c>
      <c r="AF338" s="180" t="s">
        <v>449</v>
      </c>
      <c r="AG338" s="180"/>
      <c r="AH338" s="180" t="s">
        <v>449</v>
      </c>
      <c r="AI338" s="180" t="s">
        <v>449</v>
      </c>
      <c r="AJ338" s="180" t="s">
        <v>449</v>
      </c>
      <c r="AK338" s="184" t="s">
        <v>449</v>
      </c>
      <c r="AL338" s="182" t="s">
        <v>449</v>
      </c>
      <c r="AM338" s="182" t="s">
        <v>449</v>
      </c>
      <c r="AN338" s="182" t="s">
        <v>449</v>
      </c>
      <c r="AO338" s="182"/>
      <c r="AP338" s="182"/>
    </row>
    <row r="339" spans="1:42" s="185" customFormat="1" hidden="1" x14ac:dyDescent="0.2">
      <c r="A339" s="180" t="s">
        <v>449</v>
      </c>
      <c r="B339" s="180" t="s">
        <v>449</v>
      </c>
      <c r="C339" s="180" t="s">
        <v>449</v>
      </c>
      <c r="D339" s="180" t="s">
        <v>449</v>
      </c>
      <c r="E339" s="180" t="s">
        <v>449</v>
      </c>
      <c r="F339" s="180" t="s">
        <v>449</v>
      </c>
      <c r="G339" s="180" t="s">
        <v>449</v>
      </c>
      <c r="H339" s="181" t="s">
        <v>449</v>
      </c>
      <c r="I339" s="180" t="e">
        <f t="shared" si="21"/>
        <v>#VALUE!</v>
      </c>
      <c r="J339" s="181" t="s">
        <v>449</v>
      </c>
      <c r="K339" s="180" t="e">
        <f t="shared" si="22"/>
        <v>#VALUE!</v>
      </c>
      <c r="L339" s="180"/>
      <c r="M339" s="180"/>
      <c r="N339" s="180"/>
      <c r="O339" s="180" t="s">
        <v>449</v>
      </c>
      <c r="P339" s="180" t="s">
        <v>449</v>
      </c>
      <c r="Q339" s="180"/>
      <c r="R339" s="182"/>
      <c r="S339" s="180"/>
      <c r="T339" s="180"/>
      <c r="U339" s="180"/>
      <c r="V339" s="180"/>
      <c r="W339" s="180"/>
      <c r="X339" s="180"/>
      <c r="Y339" s="183"/>
      <c r="Z339" s="180"/>
      <c r="AA339" s="180"/>
      <c r="AB339" s="182"/>
      <c r="AC339" s="212"/>
      <c r="AD339" s="180" t="s">
        <v>449</v>
      </c>
      <c r="AE339" s="180" t="s">
        <v>449</v>
      </c>
      <c r="AF339" s="180" t="s">
        <v>449</v>
      </c>
      <c r="AG339" s="180"/>
      <c r="AH339" s="180" t="s">
        <v>449</v>
      </c>
      <c r="AI339" s="180" t="s">
        <v>449</v>
      </c>
      <c r="AJ339" s="180" t="s">
        <v>449</v>
      </c>
      <c r="AK339" s="184" t="s">
        <v>449</v>
      </c>
      <c r="AL339" s="182" t="s">
        <v>449</v>
      </c>
      <c r="AM339" s="182" t="s">
        <v>449</v>
      </c>
      <c r="AN339" s="182" t="s">
        <v>449</v>
      </c>
      <c r="AO339" s="182"/>
      <c r="AP339" s="182"/>
    </row>
    <row r="340" spans="1:42" s="185" customFormat="1" hidden="1" x14ac:dyDescent="0.2">
      <c r="A340" s="180" t="s">
        <v>449</v>
      </c>
      <c r="B340" s="180" t="s">
        <v>449</v>
      </c>
      <c r="C340" s="180" t="s">
        <v>449</v>
      </c>
      <c r="D340" s="180" t="s">
        <v>449</v>
      </c>
      <c r="E340" s="180" t="s">
        <v>449</v>
      </c>
      <c r="F340" s="180" t="s">
        <v>449</v>
      </c>
      <c r="G340" s="180" t="s">
        <v>449</v>
      </c>
      <c r="H340" s="181" t="s">
        <v>449</v>
      </c>
      <c r="I340" s="180" t="e">
        <f t="shared" si="21"/>
        <v>#VALUE!</v>
      </c>
      <c r="J340" s="181" t="s">
        <v>449</v>
      </c>
      <c r="K340" s="180" t="e">
        <f t="shared" si="22"/>
        <v>#VALUE!</v>
      </c>
      <c r="L340" s="180"/>
      <c r="M340" s="180"/>
      <c r="N340" s="180"/>
      <c r="O340" s="180" t="s">
        <v>449</v>
      </c>
      <c r="P340" s="180" t="s">
        <v>449</v>
      </c>
      <c r="Q340" s="180"/>
      <c r="R340" s="182"/>
      <c r="S340" s="180"/>
      <c r="T340" s="180"/>
      <c r="U340" s="180"/>
      <c r="V340" s="180"/>
      <c r="W340" s="180"/>
      <c r="X340" s="180"/>
      <c r="Y340" s="183"/>
      <c r="Z340" s="180"/>
      <c r="AA340" s="180"/>
      <c r="AB340" s="182"/>
      <c r="AC340" s="212"/>
      <c r="AD340" s="180" t="s">
        <v>449</v>
      </c>
      <c r="AE340" s="180" t="s">
        <v>449</v>
      </c>
      <c r="AF340" s="180" t="s">
        <v>449</v>
      </c>
      <c r="AG340" s="180"/>
      <c r="AH340" s="180" t="s">
        <v>449</v>
      </c>
      <c r="AI340" s="180" t="s">
        <v>449</v>
      </c>
      <c r="AJ340" s="180" t="s">
        <v>449</v>
      </c>
      <c r="AK340" s="184" t="s">
        <v>449</v>
      </c>
      <c r="AL340" s="182" t="s">
        <v>449</v>
      </c>
      <c r="AM340" s="182" t="s">
        <v>449</v>
      </c>
      <c r="AN340" s="182" t="s">
        <v>449</v>
      </c>
      <c r="AO340" s="182"/>
      <c r="AP340" s="182"/>
    </row>
    <row r="341" spans="1:42" s="185" customFormat="1" hidden="1" x14ac:dyDescent="0.2">
      <c r="A341" s="180" t="s">
        <v>449</v>
      </c>
      <c r="B341" s="180" t="s">
        <v>449</v>
      </c>
      <c r="C341" s="180" t="s">
        <v>449</v>
      </c>
      <c r="D341" s="180" t="s">
        <v>449</v>
      </c>
      <c r="E341" s="180" t="s">
        <v>449</v>
      </c>
      <c r="F341" s="180" t="s">
        <v>449</v>
      </c>
      <c r="G341" s="180" t="s">
        <v>449</v>
      </c>
      <c r="H341" s="181" t="s">
        <v>449</v>
      </c>
      <c r="I341" s="180" t="e">
        <f t="shared" si="21"/>
        <v>#VALUE!</v>
      </c>
      <c r="J341" s="181" t="s">
        <v>449</v>
      </c>
      <c r="K341" s="180" t="e">
        <f t="shared" si="22"/>
        <v>#VALUE!</v>
      </c>
      <c r="L341" s="180"/>
      <c r="M341" s="180"/>
      <c r="N341" s="180"/>
      <c r="O341" s="180" t="s">
        <v>449</v>
      </c>
      <c r="P341" s="180" t="s">
        <v>449</v>
      </c>
      <c r="Q341" s="180"/>
      <c r="R341" s="182"/>
      <c r="S341" s="180"/>
      <c r="T341" s="180"/>
      <c r="U341" s="180"/>
      <c r="V341" s="180"/>
      <c r="W341" s="180"/>
      <c r="X341" s="180"/>
      <c r="Y341" s="183"/>
      <c r="Z341" s="180"/>
      <c r="AA341" s="180"/>
      <c r="AB341" s="182"/>
      <c r="AC341" s="212"/>
      <c r="AD341" s="180" t="s">
        <v>449</v>
      </c>
      <c r="AE341" s="180" t="s">
        <v>449</v>
      </c>
      <c r="AF341" s="180" t="s">
        <v>449</v>
      </c>
      <c r="AG341" s="180"/>
      <c r="AH341" s="180" t="s">
        <v>449</v>
      </c>
      <c r="AI341" s="180" t="s">
        <v>449</v>
      </c>
      <c r="AJ341" s="180" t="s">
        <v>449</v>
      </c>
      <c r="AK341" s="184" t="s">
        <v>449</v>
      </c>
      <c r="AL341" s="182" t="s">
        <v>449</v>
      </c>
      <c r="AM341" s="182" t="s">
        <v>449</v>
      </c>
      <c r="AN341" s="182" t="s">
        <v>449</v>
      </c>
      <c r="AO341" s="182"/>
      <c r="AP341" s="182"/>
    </row>
    <row r="342" spans="1:42" s="185" customFormat="1" hidden="1" x14ac:dyDescent="0.2">
      <c r="A342" s="180" t="s">
        <v>449</v>
      </c>
      <c r="B342" s="180" t="s">
        <v>449</v>
      </c>
      <c r="C342" s="180" t="s">
        <v>449</v>
      </c>
      <c r="D342" s="180" t="s">
        <v>449</v>
      </c>
      <c r="E342" s="180" t="s">
        <v>449</v>
      </c>
      <c r="F342" s="180" t="s">
        <v>449</v>
      </c>
      <c r="G342" s="180" t="s">
        <v>449</v>
      </c>
      <c r="H342" s="181" t="s">
        <v>449</v>
      </c>
      <c r="I342" s="180" t="e">
        <f t="shared" si="21"/>
        <v>#VALUE!</v>
      </c>
      <c r="J342" s="181" t="s">
        <v>449</v>
      </c>
      <c r="K342" s="180" t="e">
        <f t="shared" si="22"/>
        <v>#VALUE!</v>
      </c>
      <c r="L342" s="180"/>
      <c r="M342" s="180"/>
      <c r="N342" s="180"/>
      <c r="O342" s="180" t="s">
        <v>449</v>
      </c>
      <c r="P342" s="180" t="s">
        <v>449</v>
      </c>
      <c r="Q342" s="180"/>
      <c r="R342" s="182"/>
      <c r="S342" s="180"/>
      <c r="T342" s="180"/>
      <c r="U342" s="180"/>
      <c r="V342" s="180"/>
      <c r="W342" s="180"/>
      <c r="X342" s="180"/>
      <c r="Y342" s="183"/>
      <c r="Z342" s="180"/>
      <c r="AA342" s="180"/>
      <c r="AB342" s="182"/>
      <c r="AC342" s="212"/>
      <c r="AD342" s="180" t="s">
        <v>449</v>
      </c>
      <c r="AE342" s="180" t="s">
        <v>449</v>
      </c>
      <c r="AF342" s="180" t="s">
        <v>449</v>
      </c>
      <c r="AG342" s="180"/>
      <c r="AH342" s="180" t="s">
        <v>449</v>
      </c>
      <c r="AI342" s="180" t="s">
        <v>449</v>
      </c>
      <c r="AJ342" s="180" t="s">
        <v>449</v>
      </c>
      <c r="AK342" s="184" t="s">
        <v>449</v>
      </c>
      <c r="AL342" s="182" t="s">
        <v>449</v>
      </c>
      <c r="AM342" s="182" t="s">
        <v>449</v>
      </c>
      <c r="AN342" s="182" t="s">
        <v>449</v>
      </c>
      <c r="AO342" s="182"/>
      <c r="AP342" s="182"/>
    </row>
    <row r="343" spans="1:42" s="185" customFormat="1" hidden="1" x14ac:dyDescent="0.2">
      <c r="A343" s="180" t="s">
        <v>449</v>
      </c>
      <c r="B343" s="180" t="s">
        <v>449</v>
      </c>
      <c r="C343" s="180" t="s">
        <v>449</v>
      </c>
      <c r="D343" s="180" t="s">
        <v>449</v>
      </c>
      <c r="E343" s="180" t="s">
        <v>449</v>
      </c>
      <c r="F343" s="180" t="s">
        <v>449</v>
      </c>
      <c r="G343" s="180" t="s">
        <v>449</v>
      </c>
      <c r="H343" s="181" t="s">
        <v>449</v>
      </c>
      <c r="I343" s="180" t="e">
        <f t="shared" si="21"/>
        <v>#VALUE!</v>
      </c>
      <c r="J343" s="181" t="s">
        <v>449</v>
      </c>
      <c r="K343" s="180" t="e">
        <f t="shared" si="22"/>
        <v>#VALUE!</v>
      </c>
      <c r="L343" s="180"/>
      <c r="M343" s="180"/>
      <c r="N343" s="180"/>
      <c r="O343" s="180" t="s">
        <v>449</v>
      </c>
      <c r="P343" s="180" t="s">
        <v>449</v>
      </c>
      <c r="Q343" s="180"/>
      <c r="R343" s="182"/>
      <c r="S343" s="180"/>
      <c r="T343" s="180"/>
      <c r="U343" s="180"/>
      <c r="V343" s="180"/>
      <c r="W343" s="180"/>
      <c r="X343" s="180"/>
      <c r="Y343" s="183"/>
      <c r="Z343" s="180"/>
      <c r="AA343" s="180"/>
      <c r="AB343" s="182"/>
      <c r="AC343" s="212"/>
      <c r="AD343" s="180" t="s">
        <v>449</v>
      </c>
      <c r="AE343" s="180" t="s">
        <v>449</v>
      </c>
      <c r="AF343" s="180" t="s">
        <v>449</v>
      </c>
      <c r="AG343" s="180"/>
      <c r="AH343" s="180" t="s">
        <v>449</v>
      </c>
      <c r="AI343" s="180" t="s">
        <v>449</v>
      </c>
      <c r="AJ343" s="180" t="s">
        <v>449</v>
      </c>
      <c r="AK343" s="184" t="s">
        <v>449</v>
      </c>
      <c r="AL343" s="182" t="s">
        <v>449</v>
      </c>
      <c r="AM343" s="182" t="s">
        <v>449</v>
      </c>
      <c r="AN343" s="182" t="s">
        <v>449</v>
      </c>
      <c r="AO343" s="182"/>
      <c r="AP343" s="182"/>
    </row>
    <row r="344" spans="1:42" s="185" customFormat="1" hidden="1" x14ac:dyDescent="0.2">
      <c r="A344" s="180" t="s">
        <v>449</v>
      </c>
      <c r="B344" s="180" t="s">
        <v>449</v>
      </c>
      <c r="C344" s="180" t="s">
        <v>449</v>
      </c>
      <c r="D344" s="180" t="s">
        <v>449</v>
      </c>
      <c r="E344" s="180" t="s">
        <v>449</v>
      </c>
      <c r="F344" s="180" t="s">
        <v>449</v>
      </c>
      <c r="G344" s="180" t="s">
        <v>449</v>
      </c>
      <c r="H344" s="181" t="s">
        <v>449</v>
      </c>
      <c r="I344" s="180" t="e">
        <f t="shared" si="21"/>
        <v>#VALUE!</v>
      </c>
      <c r="J344" s="181" t="s">
        <v>449</v>
      </c>
      <c r="K344" s="180" t="e">
        <f t="shared" si="22"/>
        <v>#VALUE!</v>
      </c>
      <c r="L344" s="180"/>
      <c r="M344" s="180"/>
      <c r="N344" s="180"/>
      <c r="O344" s="180" t="s">
        <v>449</v>
      </c>
      <c r="P344" s="180" t="s">
        <v>449</v>
      </c>
      <c r="Q344" s="180"/>
      <c r="R344" s="182"/>
      <c r="S344" s="180"/>
      <c r="T344" s="180"/>
      <c r="U344" s="180"/>
      <c r="V344" s="180"/>
      <c r="W344" s="180"/>
      <c r="X344" s="180"/>
      <c r="Y344" s="183"/>
      <c r="Z344" s="180"/>
      <c r="AA344" s="180"/>
      <c r="AB344" s="182"/>
      <c r="AC344" s="212"/>
      <c r="AD344" s="180" t="s">
        <v>449</v>
      </c>
      <c r="AE344" s="180" t="s">
        <v>449</v>
      </c>
      <c r="AF344" s="180" t="s">
        <v>449</v>
      </c>
      <c r="AG344" s="180"/>
      <c r="AH344" s="180" t="s">
        <v>449</v>
      </c>
      <c r="AI344" s="180" t="s">
        <v>449</v>
      </c>
      <c r="AJ344" s="180" t="s">
        <v>449</v>
      </c>
      <c r="AK344" s="184" t="s">
        <v>449</v>
      </c>
      <c r="AL344" s="182" t="s">
        <v>449</v>
      </c>
      <c r="AM344" s="182" t="s">
        <v>449</v>
      </c>
      <c r="AN344" s="182" t="s">
        <v>449</v>
      </c>
      <c r="AO344" s="182"/>
      <c r="AP344" s="182"/>
    </row>
    <row r="345" spans="1:42" s="185" customFormat="1" hidden="1" x14ac:dyDescent="0.2">
      <c r="A345" s="180" t="s">
        <v>449</v>
      </c>
      <c r="B345" s="180" t="s">
        <v>449</v>
      </c>
      <c r="C345" s="180" t="s">
        <v>449</v>
      </c>
      <c r="D345" s="180" t="s">
        <v>449</v>
      </c>
      <c r="E345" s="180" t="s">
        <v>449</v>
      </c>
      <c r="F345" s="180" t="s">
        <v>449</v>
      </c>
      <c r="G345" s="180" t="s">
        <v>449</v>
      </c>
      <c r="H345" s="181" t="s">
        <v>449</v>
      </c>
      <c r="I345" s="180" t="e">
        <f t="shared" si="21"/>
        <v>#VALUE!</v>
      </c>
      <c r="J345" s="181" t="s">
        <v>449</v>
      </c>
      <c r="K345" s="180" t="e">
        <f t="shared" si="22"/>
        <v>#VALUE!</v>
      </c>
      <c r="L345" s="180"/>
      <c r="M345" s="180"/>
      <c r="N345" s="180"/>
      <c r="O345" s="180" t="s">
        <v>449</v>
      </c>
      <c r="P345" s="180" t="s">
        <v>449</v>
      </c>
      <c r="Q345" s="180"/>
      <c r="R345" s="182"/>
      <c r="S345" s="180"/>
      <c r="T345" s="180"/>
      <c r="U345" s="180"/>
      <c r="V345" s="180"/>
      <c r="W345" s="180"/>
      <c r="X345" s="180"/>
      <c r="Y345" s="183"/>
      <c r="Z345" s="180"/>
      <c r="AA345" s="180"/>
      <c r="AB345" s="182"/>
      <c r="AC345" s="212"/>
      <c r="AD345" s="180" t="s">
        <v>449</v>
      </c>
      <c r="AE345" s="180" t="s">
        <v>449</v>
      </c>
      <c r="AF345" s="180" t="s">
        <v>449</v>
      </c>
      <c r="AG345" s="180"/>
      <c r="AH345" s="180" t="s">
        <v>449</v>
      </c>
      <c r="AI345" s="180" t="s">
        <v>449</v>
      </c>
      <c r="AJ345" s="180" t="s">
        <v>449</v>
      </c>
      <c r="AK345" s="184" t="s">
        <v>449</v>
      </c>
      <c r="AL345" s="182" t="s">
        <v>449</v>
      </c>
      <c r="AM345" s="182" t="s">
        <v>449</v>
      </c>
      <c r="AN345" s="182" t="s">
        <v>449</v>
      </c>
      <c r="AO345" s="182"/>
      <c r="AP345" s="182"/>
    </row>
    <row r="346" spans="1:42" s="185" customFormat="1" hidden="1" x14ac:dyDescent="0.2">
      <c r="A346" s="180" t="s">
        <v>449</v>
      </c>
      <c r="B346" s="180" t="s">
        <v>449</v>
      </c>
      <c r="C346" s="180" t="s">
        <v>449</v>
      </c>
      <c r="D346" s="180" t="s">
        <v>449</v>
      </c>
      <c r="E346" s="180" t="s">
        <v>449</v>
      </c>
      <c r="F346" s="180" t="s">
        <v>449</v>
      </c>
      <c r="G346" s="180" t="s">
        <v>449</v>
      </c>
      <c r="H346" s="181" t="s">
        <v>449</v>
      </c>
      <c r="I346" s="180" t="e">
        <f t="shared" si="21"/>
        <v>#VALUE!</v>
      </c>
      <c r="J346" s="181" t="s">
        <v>449</v>
      </c>
      <c r="K346" s="180" t="e">
        <f t="shared" si="22"/>
        <v>#VALUE!</v>
      </c>
      <c r="L346" s="180"/>
      <c r="M346" s="180"/>
      <c r="N346" s="180"/>
      <c r="O346" s="180" t="s">
        <v>449</v>
      </c>
      <c r="P346" s="180" t="s">
        <v>449</v>
      </c>
      <c r="Q346" s="180"/>
      <c r="R346" s="182"/>
      <c r="S346" s="180"/>
      <c r="T346" s="180"/>
      <c r="U346" s="180"/>
      <c r="V346" s="180"/>
      <c r="W346" s="180"/>
      <c r="X346" s="180"/>
      <c r="Y346" s="183"/>
      <c r="Z346" s="180"/>
      <c r="AA346" s="180"/>
      <c r="AB346" s="182"/>
      <c r="AC346" s="212"/>
      <c r="AD346" s="180" t="s">
        <v>449</v>
      </c>
      <c r="AE346" s="180" t="s">
        <v>449</v>
      </c>
      <c r="AF346" s="180" t="s">
        <v>449</v>
      </c>
      <c r="AG346" s="180"/>
      <c r="AH346" s="180" t="s">
        <v>449</v>
      </c>
      <c r="AI346" s="180" t="s">
        <v>449</v>
      </c>
      <c r="AJ346" s="180" t="s">
        <v>449</v>
      </c>
      <c r="AK346" s="184" t="s">
        <v>449</v>
      </c>
      <c r="AL346" s="182" t="s">
        <v>449</v>
      </c>
      <c r="AM346" s="182" t="s">
        <v>449</v>
      </c>
      <c r="AN346" s="182" t="s">
        <v>449</v>
      </c>
      <c r="AO346" s="182"/>
      <c r="AP346" s="182"/>
    </row>
    <row r="347" spans="1:42" s="185" customFormat="1" hidden="1" x14ac:dyDescent="0.2">
      <c r="A347" s="180" t="s">
        <v>449</v>
      </c>
      <c r="B347" s="180" t="s">
        <v>449</v>
      </c>
      <c r="C347" s="180" t="s">
        <v>449</v>
      </c>
      <c r="D347" s="180" t="s">
        <v>449</v>
      </c>
      <c r="E347" s="180" t="s">
        <v>449</v>
      </c>
      <c r="F347" s="180" t="s">
        <v>449</v>
      </c>
      <c r="G347" s="180" t="s">
        <v>449</v>
      </c>
      <c r="H347" s="181" t="s">
        <v>449</v>
      </c>
      <c r="I347" s="180" t="e">
        <f t="shared" ref="I347:I349" si="23">DATEDIF(H347,J347,"m")</f>
        <v>#VALUE!</v>
      </c>
      <c r="J347" s="181" t="s">
        <v>449</v>
      </c>
      <c r="K347" s="180" t="e">
        <f t="shared" si="22"/>
        <v>#VALUE!</v>
      </c>
      <c r="L347" s="180"/>
      <c r="M347" s="180"/>
      <c r="N347" s="180"/>
      <c r="O347" s="180" t="s">
        <v>449</v>
      </c>
      <c r="P347" s="180" t="s">
        <v>449</v>
      </c>
      <c r="Q347" s="180"/>
      <c r="R347" s="182"/>
      <c r="S347" s="180"/>
      <c r="T347" s="180"/>
      <c r="U347" s="180"/>
      <c r="V347" s="180"/>
      <c r="W347" s="180"/>
      <c r="X347" s="180"/>
      <c r="Y347" s="183"/>
      <c r="Z347" s="180"/>
      <c r="AA347" s="180"/>
      <c r="AB347" s="182"/>
      <c r="AC347" s="212"/>
      <c r="AD347" s="180" t="s">
        <v>449</v>
      </c>
      <c r="AE347" s="180" t="s">
        <v>449</v>
      </c>
      <c r="AF347" s="180" t="s">
        <v>449</v>
      </c>
      <c r="AG347" s="180"/>
      <c r="AH347" s="180" t="s">
        <v>449</v>
      </c>
      <c r="AI347" s="180" t="s">
        <v>449</v>
      </c>
      <c r="AJ347" s="180" t="s">
        <v>449</v>
      </c>
      <c r="AK347" s="184" t="s">
        <v>449</v>
      </c>
      <c r="AL347" s="182" t="s">
        <v>449</v>
      </c>
      <c r="AM347" s="182" t="s">
        <v>449</v>
      </c>
      <c r="AN347" s="182" t="s">
        <v>449</v>
      </c>
      <c r="AO347" s="182"/>
      <c r="AP347" s="182"/>
    </row>
    <row r="348" spans="1:42" s="185" customFormat="1" hidden="1" x14ac:dyDescent="0.2">
      <c r="A348" s="180" t="s">
        <v>449</v>
      </c>
      <c r="B348" s="180" t="s">
        <v>449</v>
      </c>
      <c r="C348" s="180" t="s">
        <v>449</v>
      </c>
      <c r="D348" s="180" t="s">
        <v>449</v>
      </c>
      <c r="E348" s="180" t="s">
        <v>449</v>
      </c>
      <c r="F348" s="180" t="s">
        <v>449</v>
      </c>
      <c r="G348" s="180" t="s">
        <v>449</v>
      </c>
      <c r="H348" s="181" t="s">
        <v>449</v>
      </c>
      <c r="I348" s="180" t="e">
        <f t="shared" si="23"/>
        <v>#VALUE!</v>
      </c>
      <c r="J348" s="181" t="s">
        <v>449</v>
      </c>
      <c r="K348" s="180" t="e">
        <f t="shared" si="22"/>
        <v>#VALUE!</v>
      </c>
      <c r="L348" s="180"/>
      <c r="M348" s="180"/>
      <c r="N348" s="180"/>
      <c r="O348" s="180" t="s">
        <v>449</v>
      </c>
      <c r="P348" s="180" t="s">
        <v>449</v>
      </c>
      <c r="Q348" s="180"/>
      <c r="R348" s="182"/>
      <c r="S348" s="180"/>
      <c r="T348" s="180"/>
      <c r="U348" s="180"/>
      <c r="V348" s="180"/>
      <c r="W348" s="180"/>
      <c r="X348" s="180"/>
      <c r="Y348" s="183"/>
      <c r="Z348" s="180"/>
      <c r="AA348" s="180"/>
      <c r="AB348" s="182"/>
      <c r="AC348" s="212"/>
      <c r="AD348" s="180" t="s">
        <v>449</v>
      </c>
      <c r="AE348" s="180" t="s">
        <v>449</v>
      </c>
      <c r="AF348" s="180" t="s">
        <v>449</v>
      </c>
      <c r="AG348" s="180"/>
      <c r="AH348" s="180" t="s">
        <v>449</v>
      </c>
      <c r="AI348" s="180" t="s">
        <v>449</v>
      </c>
      <c r="AJ348" s="180" t="s">
        <v>449</v>
      </c>
      <c r="AK348" s="184" t="s">
        <v>449</v>
      </c>
      <c r="AL348" s="182" t="s">
        <v>449</v>
      </c>
      <c r="AM348" s="182" t="s">
        <v>449</v>
      </c>
      <c r="AN348" s="182" t="s">
        <v>449</v>
      </c>
      <c r="AO348" s="182"/>
      <c r="AP348" s="182"/>
    </row>
    <row r="349" spans="1:42" s="185" customFormat="1" hidden="1" x14ac:dyDescent="0.2">
      <c r="A349" s="180" t="s">
        <v>449</v>
      </c>
      <c r="B349" s="180" t="s">
        <v>449</v>
      </c>
      <c r="C349" s="180" t="s">
        <v>449</v>
      </c>
      <c r="D349" s="180" t="s">
        <v>449</v>
      </c>
      <c r="E349" s="180" t="s">
        <v>449</v>
      </c>
      <c r="F349" s="180" t="s">
        <v>449</v>
      </c>
      <c r="G349" s="180" t="s">
        <v>449</v>
      </c>
      <c r="H349" s="181" t="s">
        <v>449</v>
      </c>
      <c r="I349" s="180" t="e">
        <f t="shared" si="23"/>
        <v>#VALUE!</v>
      </c>
      <c r="J349" s="181" t="s">
        <v>449</v>
      </c>
      <c r="K349" s="180" t="e">
        <f t="shared" si="22"/>
        <v>#VALUE!</v>
      </c>
      <c r="L349" s="180"/>
      <c r="M349" s="180"/>
      <c r="N349" s="180"/>
      <c r="O349" s="180" t="s">
        <v>449</v>
      </c>
      <c r="P349" s="180" t="s">
        <v>449</v>
      </c>
      <c r="Q349" s="180"/>
      <c r="R349" s="182"/>
      <c r="S349" s="180"/>
      <c r="T349" s="180"/>
      <c r="U349" s="180"/>
      <c r="V349" s="180"/>
      <c r="W349" s="180"/>
      <c r="X349" s="180"/>
      <c r="Y349" s="183"/>
      <c r="Z349" s="180"/>
      <c r="AA349" s="180"/>
      <c r="AB349" s="182"/>
      <c r="AC349" s="212"/>
      <c r="AD349" s="180" t="s">
        <v>449</v>
      </c>
      <c r="AE349" s="180" t="s">
        <v>449</v>
      </c>
      <c r="AF349" s="180" t="s">
        <v>449</v>
      </c>
      <c r="AG349" s="180"/>
      <c r="AH349" s="180" t="s">
        <v>449</v>
      </c>
      <c r="AI349" s="180" t="s">
        <v>449</v>
      </c>
      <c r="AJ349" s="180" t="s">
        <v>449</v>
      </c>
      <c r="AK349" s="184" t="s">
        <v>449</v>
      </c>
      <c r="AL349" s="182" t="s">
        <v>449</v>
      </c>
      <c r="AM349" s="182" t="s">
        <v>449</v>
      </c>
      <c r="AN349" s="182" t="s">
        <v>449</v>
      </c>
      <c r="AO349" s="182"/>
      <c r="AP349" s="182"/>
    </row>
    <row r="350" spans="1:42" s="185" customFormat="1" ht="15" hidden="1" x14ac:dyDescent="0.25">
      <c r="A350" s="180">
        <v>2022</v>
      </c>
      <c r="B350" s="180" t="s">
        <v>767</v>
      </c>
      <c r="C350" s="180" t="s">
        <v>44</v>
      </c>
      <c r="D350" s="180" t="s">
        <v>1197</v>
      </c>
      <c r="E350" s="180" t="s">
        <v>1198</v>
      </c>
      <c r="F350" s="180" t="s">
        <v>73</v>
      </c>
      <c r="G350" s="9" t="s">
        <v>1199</v>
      </c>
      <c r="H350" s="10">
        <v>43430</v>
      </c>
      <c r="I350" s="180"/>
      <c r="J350" s="9" t="s">
        <v>1200</v>
      </c>
      <c r="K350" s="180" t="s">
        <v>896</v>
      </c>
      <c r="L350" s="9" t="s">
        <v>1201</v>
      </c>
      <c r="M350" s="9" t="s">
        <v>1201</v>
      </c>
      <c r="N350" s="180"/>
      <c r="O350" s="180"/>
      <c r="P350" s="180" t="s">
        <v>49</v>
      </c>
      <c r="Q350" s="180"/>
      <c r="R350" s="182"/>
      <c r="S350" s="180" t="s">
        <v>423</v>
      </c>
      <c r="T350" s="180" t="s">
        <v>423</v>
      </c>
      <c r="U350" s="180" t="s">
        <v>637</v>
      </c>
      <c r="V350" s="180" t="s">
        <v>405</v>
      </c>
      <c r="W350" s="180" t="s">
        <v>54</v>
      </c>
      <c r="X350" s="180" t="s">
        <v>78</v>
      </c>
      <c r="Y350" s="183">
        <v>0.3125</v>
      </c>
      <c r="Z350" s="180" t="s">
        <v>164</v>
      </c>
      <c r="AA350" s="180" t="s">
        <v>772</v>
      </c>
      <c r="AB350" s="182"/>
      <c r="AC350" s="212"/>
      <c r="AD350" s="180" t="s">
        <v>426</v>
      </c>
      <c r="AE350" s="180" t="s">
        <v>427</v>
      </c>
      <c r="AF350" s="180">
        <v>33</v>
      </c>
      <c r="AG350" s="180"/>
      <c r="AH350" s="180" t="s">
        <v>414</v>
      </c>
      <c r="AI350" s="180" t="s">
        <v>62</v>
      </c>
      <c r="AJ350" s="180"/>
      <c r="AK350" s="1" t="s">
        <v>1202</v>
      </c>
      <c r="AL350" s="182"/>
      <c r="AM350" s="182"/>
      <c r="AN350" s="182" t="s">
        <v>67</v>
      </c>
      <c r="AO350" s="182" t="s">
        <v>68</v>
      </c>
      <c r="AP350" s="182"/>
    </row>
    <row r="351" spans="1:42" s="185" customFormat="1" ht="15" hidden="1" x14ac:dyDescent="0.25">
      <c r="A351" s="180">
        <v>2022</v>
      </c>
      <c r="B351" s="180" t="s">
        <v>767</v>
      </c>
      <c r="C351" s="180" t="s">
        <v>44</v>
      </c>
      <c r="D351" s="180" t="s">
        <v>1203</v>
      </c>
      <c r="E351" s="180" t="s">
        <v>1204</v>
      </c>
      <c r="F351" s="180" t="s">
        <v>47</v>
      </c>
      <c r="G351" s="180" t="s">
        <v>1205</v>
      </c>
      <c r="H351" s="10">
        <v>44502</v>
      </c>
      <c r="I351" s="180"/>
      <c r="J351" s="9" t="s">
        <v>1201</v>
      </c>
      <c r="K351" s="180" t="s">
        <v>827</v>
      </c>
      <c r="L351" s="9" t="s">
        <v>1201</v>
      </c>
      <c r="M351" s="9" t="s">
        <v>1201</v>
      </c>
      <c r="N351" s="180"/>
      <c r="O351" s="180"/>
      <c r="P351" s="180" t="s">
        <v>49</v>
      </c>
      <c r="Q351" s="180"/>
      <c r="R351" s="182"/>
      <c r="S351" s="180" t="s">
        <v>271</v>
      </c>
      <c r="T351" s="180" t="s">
        <v>1206</v>
      </c>
      <c r="U351" s="180" t="s">
        <v>52</v>
      </c>
      <c r="V351" s="180" t="s">
        <v>1206</v>
      </c>
      <c r="W351" s="180" t="s">
        <v>54</v>
      </c>
      <c r="X351" s="180" t="s">
        <v>78</v>
      </c>
      <c r="Y351" s="183">
        <v>0.28125</v>
      </c>
      <c r="Z351" s="180" t="s">
        <v>164</v>
      </c>
      <c r="AA351" s="180" t="s">
        <v>772</v>
      </c>
      <c r="AB351" s="182"/>
      <c r="AC351" s="212"/>
      <c r="AD351" s="180" t="s">
        <v>275</v>
      </c>
      <c r="AE351" s="180" t="s">
        <v>632</v>
      </c>
      <c r="AF351" s="180">
        <v>43</v>
      </c>
      <c r="AG351" s="180" t="s">
        <v>237</v>
      </c>
      <c r="AH351" s="180" t="s">
        <v>414</v>
      </c>
      <c r="AI351" s="180" t="s">
        <v>408</v>
      </c>
      <c r="AJ351" s="180" t="s">
        <v>237</v>
      </c>
      <c r="AK351" s="248" t="s">
        <v>1207</v>
      </c>
      <c r="AL351" s="182" t="s">
        <v>65</v>
      </c>
      <c r="AM351" s="182" t="s">
        <v>66</v>
      </c>
      <c r="AN351" s="182" t="s">
        <v>67</v>
      </c>
      <c r="AO351" s="182" t="s">
        <v>68</v>
      </c>
      <c r="AP351" s="182"/>
    </row>
    <row r="352" spans="1:42" s="185" customFormat="1" ht="15" hidden="1" x14ac:dyDescent="0.25">
      <c r="A352" s="180">
        <v>2022</v>
      </c>
      <c r="B352" s="180" t="s">
        <v>816</v>
      </c>
      <c r="C352" s="180" t="s">
        <v>44</v>
      </c>
      <c r="D352" s="180" t="s">
        <v>1208</v>
      </c>
      <c r="E352" s="180" t="s">
        <v>1209</v>
      </c>
      <c r="F352" s="180" t="s">
        <v>73</v>
      </c>
      <c r="G352" s="1" t="s">
        <v>1210</v>
      </c>
      <c r="H352" s="10">
        <v>42700</v>
      </c>
      <c r="I352" s="180">
        <f>DATEDIF(H352,J352,"m")</f>
        <v>70</v>
      </c>
      <c r="J352" s="9" t="s">
        <v>1211</v>
      </c>
      <c r="K352" s="180" t="s">
        <v>896</v>
      </c>
      <c r="L352" s="10">
        <v>44841</v>
      </c>
      <c r="M352" s="9" t="s">
        <v>1211</v>
      </c>
      <c r="N352" s="180"/>
      <c r="O352" s="180"/>
      <c r="P352" s="180" t="s">
        <v>49</v>
      </c>
      <c r="Q352" s="180" t="s">
        <v>107</v>
      </c>
      <c r="R352" s="182" t="s">
        <v>108</v>
      </c>
      <c r="S352" s="180" t="s">
        <v>93</v>
      </c>
      <c r="T352" s="1" t="s">
        <v>1212</v>
      </c>
      <c r="U352" s="180" t="s">
        <v>52</v>
      </c>
      <c r="V352" s="180" t="s">
        <v>1213</v>
      </c>
      <c r="W352" s="180" t="s">
        <v>54</v>
      </c>
      <c r="X352" s="180" t="s">
        <v>55</v>
      </c>
      <c r="Y352" s="183">
        <v>0.6875</v>
      </c>
      <c r="Z352" s="180" t="s">
        <v>183</v>
      </c>
      <c r="AA352" s="180" t="s">
        <v>821</v>
      </c>
      <c r="AB352" s="182"/>
      <c r="AC352" s="212"/>
      <c r="AD352" s="180" t="s">
        <v>97</v>
      </c>
      <c r="AE352" s="180" t="s">
        <v>98</v>
      </c>
      <c r="AF352" s="180">
        <v>40</v>
      </c>
      <c r="AG352" s="180" t="s">
        <v>237</v>
      </c>
      <c r="AH352" s="180" t="s">
        <v>113</v>
      </c>
      <c r="AI352" s="180" t="s">
        <v>114</v>
      </c>
      <c r="AJ352" s="180" t="s">
        <v>237</v>
      </c>
      <c r="AK352" s="248" t="s">
        <v>1214</v>
      </c>
      <c r="AL352" s="182"/>
      <c r="AM352" s="182"/>
      <c r="AN352" s="182"/>
      <c r="AO352" s="182"/>
      <c r="AP352" s="182"/>
    </row>
    <row r="353" spans="1:42" s="185" customFormat="1" ht="15" hidden="1" x14ac:dyDescent="0.25">
      <c r="A353" s="180">
        <v>2022</v>
      </c>
      <c r="B353" s="180" t="s">
        <v>816</v>
      </c>
      <c r="C353" s="180" t="s">
        <v>44</v>
      </c>
      <c r="D353" s="180" t="s">
        <v>451</v>
      </c>
      <c r="E353" s="180" t="s">
        <v>452</v>
      </c>
      <c r="F353" s="180" t="s">
        <v>47</v>
      </c>
      <c r="G353" s="180" t="s">
        <v>1215</v>
      </c>
      <c r="H353" s="10">
        <v>41493</v>
      </c>
      <c r="I353" s="180">
        <f>DATEDIF(H353,J353,"m")</f>
        <v>110</v>
      </c>
      <c r="J353" s="9" t="s">
        <v>848</v>
      </c>
      <c r="K353" s="180" t="s">
        <v>896</v>
      </c>
      <c r="L353" s="9" t="s">
        <v>848</v>
      </c>
      <c r="M353" s="9" t="s">
        <v>848</v>
      </c>
      <c r="N353" s="180"/>
      <c r="O353" s="180"/>
      <c r="P353" s="180" t="s">
        <v>49</v>
      </c>
      <c r="Q353" s="180"/>
      <c r="R353" s="182"/>
      <c r="S353" s="180" t="s">
        <v>50</v>
      </c>
      <c r="T353" s="180" t="s">
        <v>135</v>
      </c>
      <c r="U353" s="180" t="s">
        <v>52</v>
      </c>
      <c r="V353" s="180" t="s">
        <v>135</v>
      </c>
      <c r="W353" s="180" t="s">
        <v>54</v>
      </c>
      <c r="X353" s="180" t="s">
        <v>55</v>
      </c>
      <c r="Y353" s="183">
        <v>0.57291666666666663</v>
      </c>
      <c r="Z353" s="180" t="s">
        <v>79</v>
      </c>
      <c r="AA353" s="180" t="s">
        <v>850</v>
      </c>
      <c r="AB353" s="182"/>
      <c r="AC353" s="212"/>
      <c r="AD353" s="180" t="s">
        <v>58</v>
      </c>
      <c r="AE353" s="180" t="s">
        <v>212</v>
      </c>
      <c r="AF353" s="180">
        <v>40</v>
      </c>
      <c r="AG353" s="180" t="s">
        <v>237</v>
      </c>
      <c r="AH353" s="180" t="s">
        <v>414</v>
      </c>
      <c r="AI353" s="180" t="s">
        <v>62</v>
      </c>
      <c r="AJ353" s="180" t="s">
        <v>148</v>
      </c>
      <c r="AK353" s="248" t="s">
        <v>1216</v>
      </c>
      <c r="AL353" s="182"/>
      <c r="AM353" s="182" t="s">
        <v>66</v>
      </c>
      <c r="AN353" s="182" t="s">
        <v>67</v>
      </c>
      <c r="AO353" s="182" t="s">
        <v>68</v>
      </c>
      <c r="AP353" s="182"/>
    </row>
    <row r="354" spans="1:42" s="185" customFormat="1" ht="15" hidden="1" x14ac:dyDescent="0.25">
      <c r="A354" s="180">
        <v>2022</v>
      </c>
      <c r="B354" s="180" t="s">
        <v>767</v>
      </c>
      <c r="C354" s="180" t="s">
        <v>44</v>
      </c>
      <c r="D354" s="180" t="s">
        <v>1217</v>
      </c>
      <c r="E354" s="180" t="s">
        <v>599</v>
      </c>
      <c r="F354" s="180" t="s">
        <v>73</v>
      </c>
      <c r="G354" s="180" t="s">
        <v>1218</v>
      </c>
      <c r="H354" s="10">
        <v>44453</v>
      </c>
      <c r="I354" s="180"/>
      <c r="J354" s="9" t="s">
        <v>1219</v>
      </c>
      <c r="K354" s="180" t="s">
        <v>827</v>
      </c>
      <c r="L354" s="9" t="s">
        <v>1219</v>
      </c>
      <c r="M354" s="9" t="s">
        <v>1219</v>
      </c>
      <c r="N354" s="180"/>
      <c r="O354" s="180">
        <v>0</v>
      </c>
      <c r="P354" s="180" t="s">
        <v>49</v>
      </c>
      <c r="Q354" s="180"/>
      <c r="R354" s="182"/>
      <c r="S354" s="180" t="s">
        <v>142</v>
      </c>
      <c r="T354" s="180" t="s">
        <v>559</v>
      </c>
      <c r="U354" s="180" t="s">
        <v>52</v>
      </c>
      <c r="V354" s="180" t="s">
        <v>559</v>
      </c>
      <c r="W354" s="180" t="s">
        <v>601</v>
      </c>
      <c r="X354" s="180" t="s">
        <v>55</v>
      </c>
      <c r="Y354" s="9" t="s">
        <v>1220</v>
      </c>
      <c r="Z354" s="180" t="s">
        <v>183</v>
      </c>
      <c r="AA354" s="180" t="s">
        <v>803</v>
      </c>
      <c r="AB354" s="182"/>
      <c r="AC354" s="212"/>
      <c r="AD354" s="180" t="s">
        <v>126</v>
      </c>
      <c r="AE354" s="180" t="s">
        <v>146</v>
      </c>
      <c r="AF354" s="180">
        <v>19</v>
      </c>
      <c r="AG354" s="180" t="s">
        <v>1221</v>
      </c>
      <c r="AH354" s="180" t="s">
        <v>61</v>
      </c>
      <c r="AI354" s="180" t="s">
        <v>62</v>
      </c>
      <c r="AJ354" s="180" t="s">
        <v>148</v>
      </c>
      <c r="AK354" s="248" t="s">
        <v>1222</v>
      </c>
      <c r="AL354" s="182"/>
      <c r="AM354" s="182"/>
      <c r="AN354" s="182" t="s">
        <v>67</v>
      </c>
      <c r="AO354" s="182" t="s">
        <v>68</v>
      </c>
      <c r="AP354" s="182"/>
    </row>
    <row r="355" spans="1:42" s="185" customFormat="1" ht="15" hidden="1" x14ac:dyDescent="0.25">
      <c r="A355" s="180">
        <v>2022</v>
      </c>
      <c r="B355" s="180" t="s">
        <v>767</v>
      </c>
      <c r="C355" s="180" t="s">
        <v>44</v>
      </c>
      <c r="D355" s="180" t="s">
        <v>1223</v>
      </c>
      <c r="E355" s="180" t="s">
        <v>1224</v>
      </c>
      <c r="F355" s="180" t="s">
        <v>73</v>
      </c>
      <c r="G355" s="180" t="s">
        <v>1225</v>
      </c>
      <c r="H355" s="10">
        <v>43374</v>
      </c>
      <c r="I355" s="180"/>
      <c r="J355" s="9" t="s">
        <v>1226</v>
      </c>
      <c r="K355" s="180" t="s">
        <v>896</v>
      </c>
      <c r="L355" s="9" t="s">
        <v>1226</v>
      </c>
      <c r="M355" s="9" t="s">
        <v>1226</v>
      </c>
      <c r="N355" s="180"/>
      <c r="O355" s="180"/>
      <c r="P355" s="180" t="s">
        <v>49</v>
      </c>
      <c r="Q355" s="180"/>
      <c r="R355" s="182"/>
      <c r="S355" s="180" t="s">
        <v>121</v>
      </c>
      <c r="T355" s="180" t="s">
        <v>121</v>
      </c>
      <c r="U355" s="180" t="s">
        <v>1227</v>
      </c>
      <c r="V355" s="180" t="s">
        <v>121</v>
      </c>
      <c r="W355" s="180" t="s">
        <v>693</v>
      </c>
      <c r="X355" s="180" t="s">
        <v>78</v>
      </c>
      <c r="Y355" s="183">
        <v>0.25694444444444448</v>
      </c>
      <c r="Z355" s="180" t="s">
        <v>164</v>
      </c>
      <c r="AA355" s="180" t="s">
        <v>1228</v>
      </c>
      <c r="AB355" s="182"/>
      <c r="AC355" s="259"/>
      <c r="AD355" s="180" t="s">
        <v>126</v>
      </c>
      <c r="AE355" s="180" t="s">
        <v>127</v>
      </c>
      <c r="AF355" s="180">
        <v>39</v>
      </c>
      <c r="AG355" s="180" t="s">
        <v>175</v>
      </c>
      <c r="AH355" s="180" t="s">
        <v>61</v>
      </c>
      <c r="AI355" s="180" t="s">
        <v>100</v>
      </c>
      <c r="AJ355" s="180" t="s">
        <v>130</v>
      </c>
      <c r="AK355" s="248" t="s">
        <v>1229</v>
      </c>
      <c r="AL355" s="182"/>
      <c r="AM355" s="182" t="s">
        <v>66</v>
      </c>
      <c r="AN355" s="182" t="s">
        <v>67</v>
      </c>
      <c r="AO355" s="182" t="s">
        <v>68</v>
      </c>
      <c r="AP355" s="182"/>
    </row>
    <row r="356" spans="1:42" s="185" customFormat="1" ht="15" hidden="1" x14ac:dyDescent="0.25">
      <c r="A356" s="180">
        <v>2022</v>
      </c>
      <c r="B356" s="180" t="s">
        <v>767</v>
      </c>
      <c r="C356" s="180" t="s">
        <v>44</v>
      </c>
      <c r="D356" s="180" t="s">
        <v>1230</v>
      </c>
      <c r="E356" s="180" t="s">
        <v>1231</v>
      </c>
      <c r="F356" s="180" t="s">
        <v>73</v>
      </c>
      <c r="G356" s="9" t="s">
        <v>1232</v>
      </c>
      <c r="H356" s="10">
        <v>44621</v>
      </c>
      <c r="I356" s="180">
        <f>DATEDIF(H356,J356,"m")</f>
        <v>6</v>
      </c>
      <c r="J356" s="9" t="s">
        <v>1226</v>
      </c>
      <c r="K356" s="180" t="s">
        <v>827</v>
      </c>
      <c r="L356" s="181">
        <v>44833</v>
      </c>
      <c r="M356" s="181">
        <v>44833</v>
      </c>
      <c r="N356" s="180"/>
      <c r="O356" s="180"/>
      <c r="P356" s="180" t="s">
        <v>49</v>
      </c>
      <c r="Q356" s="180"/>
      <c r="R356" s="182"/>
      <c r="S356" s="180" t="s">
        <v>93</v>
      </c>
      <c r="T356" s="180" t="s">
        <v>549</v>
      </c>
      <c r="U356" s="180" t="s">
        <v>52</v>
      </c>
      <c r="V356" s="180" t="s">
        <v>1233</v>
      </c>
      <c r="W356" s="180" t="s">
        <v>54</v>
      </c>
      <c r="X356" s="180" t="s">
        <v>55</v>
      </c>
      <c r="Y356" s="183">
        <v>0.56597222222222221</v>
      </c>
      <c r="Z356" s="180" t="s">
        <v>164</v>
      </c>
      <c r="AA356" s="180" t="s">
        <v>1228</v>
      </c>
      <c r="AB356" s="182"/>
      <c r="AC356" s="212"/>
      <c r="AD356" s="180" t="s">
        <v>97</v>
      </c>
      <c r="AE356" s="180" t="s">
        <v>314</v>
      </c>
      <c r="AF356" s="180">
        <v>39</v>
      </c>
      <c r="AG356" s="180" t="s">
        <v>237</v>
      </c>
      <c r="AH356" s="180" t="s">
        <v>454</v>
      </c>
      <c r="AI356" s="180" t="s">
        <v>237</v>
      </c>
      <c r="AJ356" s="180" t="s">
        <v>85</v>
      </c>
      <c r="AK356" s="248" t="s">
        <v>1234</v>
      </c>
      <c r="AL356" s="182"/>
      <c r="AM356" s="182" t="s">
        <v>66</v>
      </c>
      <c r="AN356" s="182" t="s">
        <v>67</v>
      </c>
      <c r="AO356" s="182" t="s">
        <v>68</v>
      </c>
      <c r="AP356" s="182"/>
    </row>
    <row r="357" spans="1:42" s="185" customFormat="1" ht="15" hidden="1" x14ac:dyDescent="0.25">
      <c r="A357" s="180">
        <v>2022</v>
      </c>
      <c r="B357" s="180" t="s">
        <v>767</v>
      </c>
      <c r="C357" s="180" t="s">
        <v>44</v>
      </c>
      <c r="D357" s="180" t="s">
        <v>1235</v>
      </c>
      <c r="E357" s="180" t="s">
        <v>1236</v>
      </c>
      <c r="F357" s="180" t="s">
        <v>47</v>
      </c>
      <c r="G357" s="180" t="str">
        <f>[2]Simple!$K$2</f>
        <v>14092659-0</v>
      </c>
      <c r="H357" s="10">
        <v>44734</v>
      </c>
      <c r="I357" s="180">
        <f>DATEDIF(H357,J357,"m")</f>
        <v>3</v>
      </c>
      <c r="J357" s="181" t="str">
        <f>[2]Simple!$C$2</f>
        <v>30-09-2022</v>
      </c>
      <c r="K357" s="180" t="s">
        <v>1237</v>
      </c>
      <c r="L357" s="40" t="s">
        <v>1238</v>
      </c>
      <c r="M357" s="9" t="s">
        <v>1239</v>
      </c>
      <c r="N357" s="180"/>
      <c r="O357" s="180">
        <v>0</v>
      </c>
      <c r="P357" s="180" t="s">
        <v>49</v>
      </c>
      <c r="Q357" s="180"/>
      <c r="R357" s="182"/>
      <c r="S357" s="180" t="s">
        <v>142</v>
      </c>
      <c r="T357" s="180" t="s">
        <v>559</v>
      </c>
      <c r="U357" s="180" t="s">
        <v>52</v>
      </c>
      <c r="V357" s="180" t="s">
        <v>143</v>
      </c>
      <c r="W357" s="180" t="s">
        <v>54</v>
      </c>
      <c r="X357" s="180" t="s">
        <v>78</v>
      </c>
      <c r="Y357" s="183">
        <v>0.34375</v>
      </c>
      <c r="Z357" s="180" t="s">
        <v>183</v>
      </c>
      <c r="AA357" s="180" t="s">
        <v>1228</v>
      </c>
      <c r="AB357" s="182"/>
      <c r="AC357" s="212"/>
      <c r="AD357" s="180" t="s">
        <v>126</v>
      </c>
      <c r="AE357" s="180" t="s">
        <v>146</v>
      </c>
      <c r="AF357" s="180">
        <v>41</v>
      </c>
      <c r="AG357" s="180" t="s">
        <v>254</v>
      </c>
      <c r="AH357" s="180" t="s">
        <v>113</v>
      </c>
      <c r="AI357" s="180" t="s">
        <v>62</v>
      </c>
      <c r="AJ357" s="180" t="s">
        <v>148</v>
      </c>
      <c r="AK357" s="258" t="s">
        <v>1240</v>
      </c>
      <c r="AL357" s="182" t="s">
        <v>87</v>
      </c>
      <c r="AM357" s="182" t="s">
        <v>66</v>
      </c>
      <c r="AN357" s="182" t="s">
        <v>67</v>
      </c>
      <c r="AO357" s="182" t="s">
        <v>68</v>
      </c>
      <c r="AP357" s="182"/>
    </row>
    <row r="360" spans="1:42" s="185" customFormat="1" x14ac:dyDescent="0.2">
      <c r="A360" s="180"/>
      <c r="B360" s="180"/>
      <c r="C360" s="180"/>
      <c r="D360" s="180"/>
      <c r="E360" s="180"/>
      <c r="F360" s="180"/>
      <c r="G360" s="180"/>
      <c r="H360" s="180"/>
      <c r="I360" s="180"/>
      <c r="J360" s="180"/>
      <c r="K360" s="180"/>
      <c r="L360" s="180"/>
      <c r="M360" s="180"/>
      <c r="N360" s="180"/>
      <c r="O360" s="180"/>
      <c r="P360" s="180"/>
      <c r="Q360" s="180"/>
      <c r="R360" s="182"/>
      <c r="S360" s="180"/>
      <c r="T360" s="180"/>
      <c r="U360" s="180"/>
      <c r="V360" s="180"/>
      <c r="W360" s="180"/>
      <c r="X360" s="180"/>
      <c r="Y360" s="180"/>
      <c r="Z360" s="180"/>
      <c r="AA360" s="180"/>
      <c r="AB360" s="182"/>
      <c r="AC360" s="212"/>
      <c r="AD360" s="180"/>
      <c r="AE360" s="180"/>
      <c r="AF360" s="180"/>
      <c r="AG360" s="180"/>
      <c r="AH360" s="180"/>
      <c r="AI360" s="180"/>
      <c r="AJ360" s="180"/>
      <c r="AK360" s="184">
        <v>0</v>
      </c>
      <c r="AL360" s="182"/>
      <c r="AM360" s="182"/>
      <c r="AN360" s="182"/>
      <c r="AO360" s="186"/>
      <c r="AP360" s="186"/>
    </row>
    <row r="361" spans="1:42" s="185" customFormat="1" x14ac:dyDescent="0.2">
      <c r="A361" s="180"/>
      <c r="B361" s="180"/>
      <c r="C361" s="180"/>
      <c r="D361" s="180"/>
      <c r="E361" s="180"/>
      <c r="F361" s="180"/>
      <c r="G361" s="180"/>
      <c r="H361" s="180"/>
      <c r="I361" s="180"/>
      <c r="J361" s="180"/>
      <c r="K361" s="180"/>
      <c r="L361" s="180"/>
      <c r="M361" s="180"/>
      <c r="N361" s="180"/>
      <c r="O361" s="180"/>
      <c r="P361" s="180"/>
      <c r="Q361" s="180"/>
      <c r="R361" s="182"/>
      <c r="S361" s="180"/>
      <c r="T361" s="180"/>
      <c r="U361" s="180"/>
      <c r="V361" s="180"/>
      <c r="W361" s="180"/>
      <c r="X361" s="180"/>
      <c r="Y361" s="180"/>
      <c r="Z361" s="180"/>
      <c r="AA361" s="180"/>
      <c r="AB361" s="182"/>
      <c r="AC361" s="212"/>
      <c r="AD361" s="180"/>
      <c r="AE361" s="180"/>
      <c r="AF361" s="180"/>
      <c r="AG361" s="180"/>
      <c r="AH361" s="180"/>
      <c r="AI361" s="180"/>
      <c r="AJ361" s="180"/>
      <c r="AK361" s="184"/>
      <c r="AL361" s="182"/>
      <c r="AM361" s="182"/>
      <c r="AN361" s="182"/>
      <c r="AO361" s="186"/>
      <c r="AP361" s="186"/>
    </row>
    <row r="362" spans="1:42" s="185" customFormat="1" x14ac:dyDescent="0.2">
      <c r="A362" s="180"/>
      <c r="B362" s="180"/>
      <c r="C362" s="180"/>
      <c r="D362" s="180"/>
      <c r="E362" s="180"/>
      <c r="F362" s="180"/>
      <c r="G362" s="180"/>
      <c r="H362" s="180"/>
      <c r="I362" s="180"/>
      <c r="J362" s="180"/>
      <c r="K362" s="180"/>
      <c r="L362" s="180"/>
      <c r="M362" s="180"/>
      <c r="N362" s="180"/>
      <c r="O362" s="180"/>
      <c r="P362" s="180"/>
      <c r="Q362" s="180"/>
      <c r="R362" s="182"/>
      <c r="S362" s="180"/>
      <c r="T362" s="180"/>
      <c r="U362" s="180"/>
      <c r="V362" s="180"/>
      <c r="W362" s="180"/>
      <c r="X362" s="180"/>
      <c r="Y362" s="180"/>
      <c r="Z362" s="180"/>
      <c r="AA362" s="180"/>
      <c r="AB362" s="182"/>
      <c r="AC362" s="212"/>
      <c r="AD362" s="180"/>
      <c r="AE362" s="180"/>
      <c r="AF362" s="180"/>
      <c r="AG362" s="180"/>
      <c r="AH362" s="180"/>
      <c r="AI362" s="180"/>
      <c r="AJ362" s="180"/>
      <c r="AK362" s="184"/>
      <c r="AL362" s="182"/>
      <c r="AM362" s="182"/>
      <c r="AN362" s="182"/>
      <c r="AO362" s="186"/>
      <c r="AP362" s="186"/>
    </row>
    <row r="363" spans="1:42" s="185" customFormat="1" x14ac:dyDescent="0.2">
      <c r="A363" s="180"/>
      <c r="B363" s="180"/>
      <c r="C363" s="180"/>
      <c r="D363" s="180"/>
      <c r="E363" s="180"/>
      <c r="F363" s="180"/>
      <c r="G363" s="180"/>
      <c r="H363" s="180"/>
      <c r="I363" s="180"/>
      <c r="J363" s="180"/>
      <c r="K363" s="180"/>
      <c r="L363" s="180"/>
      <c r="M363" s="180"/>
      <c r="N363" s="180"/>
      <c r="O363" s="180"/>
      <c r="P363" s="180"/>
      <c r="Q363" s="180"/>
      <c r="R363" s="182"/>
      <c r="S363" s="180"/>
      <c r="T363" s="180"/>
      <c r="U363" s="180"/>
      <c r="V363" s="180"/>
      <c r="W363" s="180"/>
      <c r="X363" s="180"/>
      <c r="Y363" s="180"/>
      <c r="Z363" s="180"/>
      <c r="AA363" s="180"/>
      <c r="AB363" s="182"/>
      <c r="AC363" s="212"/>
      <c r="AD363" s="180"/>
      <c r="AE363" s="180"/>
      <c r="AF363" s="180"/>
      <c r="AG363" s="180"/>
      <c r="AH363" s="180"/>
      <c r="AI363" s="180"/>
      <c r="AJ363" s="180"/>
      <c r="AK363" s="184"/>
      <c r="AL363" s="182"/>
      <c r="AM363" s="182"/>
      <c r="AN363" s="182"/>
      <c r="AO363" s="186"/>
      <c r="AP363" s="186"/>
    </row>
    <row r="364" spans="1:42" s="185" customFormat="1" x14ac:dyDescent="0.2">
      <c r="A364" s="180"/>
      <c r="B364" s="180"/>
      <c r="C364" s="180"/>
      <c r="D364" s="180"/>
      <c r="E364" s="180"/>
      <c r="F364" s="180"/>
      <c r="G364" s="180"/>
      <c r="H364" s="180"/>
      <c r="I364" s="180"/>
      <c r="J364" s="180"/>
      <c r="K364" s="180"/>
      <c r="L364" s="180"/>
      <c r="M364" s="180"/>
      <c r="N364" s="180"/>
      <c r="O364" s="180"/>
      <c r="P364" s="180"/>
      <c r="Q364" s="180"/>
      <c r="R364" s="182"/>
      <c r="S364" s="180"/>
      <c r="T364" s="180"/>
      <c r="U364" s="180"/>
      <c r="V364" s="180"/>
      <c r="W364" s="180"/>
      <c r="X364" s="180"/>
      <c r="Y364" s="180"/>
      <c r="Z364" s="180"/>
      <c r="AA364" s="180"/>
      <c r="AB364" s="182"/>
      <c r="AC364" s="212"/>
      <c r="AD364" s="180"/>
      <c r="AE364" s="180"/>
      <c r="AF364" s="180"/>
      <c r="AG364" s="180"/>
      <c r="AH364" s="180"/>
      <c r="AI364" s="180"/>
      <c r="AJ364" s="180"/>
      <c r="AK364" s="184"/>
      <c r="AL364" s="182"/>
      <c r="AM364" s="182"/>
      <c r="AN364" s="182"/>
      <c r="AO364" s="186"/>
      <c r="AP364" s="186"/>
    </row>
    <row r="365" spans="1:42" s="185" customFormat="1" x14ac:dyDescent="0.2">
      <c r="A365" s="180"/>
      <c r="B365" s="180"/>
      <c r="C365" s="180"/>
      <c r="D365" s="180"/>
      <c r="E365" s="180"/>
      <c r="F365" s="180"/>
      <c r="G365" s="180"/>
      <c r="H365" s="180"/>
      <c r="I365" s="180"/>
      <c r="J365" s="180"/>
      <c r="K365" s="180"/>
      <c r="L365" s="180"/>
      <c r="M365" s="180"/>
      <c r="N365" s="180"/>
      <c r="O365" s="180"/>
      <c r="P365" s="180"/>
      <c r="Q365" s="180"/>
      <c r="R365" s="182"/>
      <c r="S365" s="180"/>
      <c r="T365" s="180"/>
      <c r="U365" s="180"/>
      <c r="V365" s="180"/>
      <c r="W365" s="180"/>
      <c r="X365" s="180"/>
      <c r="Y365" s="180"/>
      <c r="Z365" s="180"/>
      <c r="AA365" s="180"/>
      <c r="AB365" s="182"/>
      <c r="AC365" s="212"/>
      <c r="AD365" s="180"/>
      <c r="AE365" s="180"/>
      <c r="AF365" s="180"/>
      <c r="AG365" s="180"/>
      <c r="AH365" s="180"/>
      <c r="AI365" s="180"/>
      <c r="AJ365" s="180"/>
      <c r="AK365" s="184"/>
      <c r="AL365" s="182"/>
      <c r="AM365" s="182"/>
      <c r="AN365" s="182"/>
      <c r="AO365" s="186"/>
      <c r="AP365" s="186"/>
    </row>
    <row r="366" spans="1:42" s="185" customFormat="1" x14ac:dyDescent="0.2">
      <c r="A366" s="180"/>
      <c r="B366" s="180"/>
      <c r="C366" s="180"/>
      <c r="D366" s="180"/>
      <c r="E366" s="180"/>
      <c r="F366" s="180"/>
      <c r="G366" s="180"/>
      <c r="H366" s="180"/>
      <c r="I366" s="180"/>
      <c r="J366" s="180"/>
      <c r="K366" s="180"/>
      <c r="L366" s="180"/>
      <c r="M366" s="180"/>
      <c r="N366" s="180"/>
      <c r="O366" s="180"/>
      <c r="P366" s="180"/>
      <c r="Q366" s="180"/>
      <c r="R366" s="182"/>
      <c r="S366" s="180"/>
      <c r="T366" s="180"/>
      <c r="U366" s="180"/>
      <c r="V366" s="180"/>
      <c r="W366" s="180"/>
      <c r="X366" s="180"/>
      <c r="Y366" s="180"/>
      <c r="Z366" s="180"/>
      <c r="AA366" s="180"/>
      <c r="AB366" s="182"/>
      <c r="AC366" s="212"/>
      <c r="AD366" s="180"/>
      <c r="AE366" s="180"/>
      <c r="AF366" s="180"/>
      <c r="AG366" s="180"/>
      <c r="AH366" s="180"/>
      <c r="AI366" s="180"/>
      <c r="AJ366" s="180"/>
      <c r="AK366" s="184"/>
      <c r="AL366" s="182"/>
      <c r="AM366" s="182"/>
      <c r="AN366" s="182"/>
      <c r="AO366" s="186"/>
      <c r="AP366" s="186"/>
    </row>
    <row r="367" spans="1:42" s="185" customFormat="1" x14ac:dyDescent="0.2">
      <c r="A367" s="180"/>
      <c r="B367" s="180"/>
      <c r="C367" s="180"/>
      <c r="D367" s="180"/>
      <c r="E367" s="180"/>
      <c r="F367" s="180"/>
      <c r="G367" s="180"/>
      <c r="H367" s="180"/>
      <c r="I367" s="180"/>
      <c r="J367" s="180"/>
      <c r="K367" s="180"/>
      <c r="L367" s="180"/>
      <c r="M367" s="180"/>
      <c r="N367" s="180"/>
      <c r="O367" s="180"/>
      <c r="P367" s="180"/>
      <c r="Q367" s="180"/>
      <c r="R367" s="182"/>
      <c r="S367" s="180"/>
      <c r="T367" s="180"/>
      <c r="U367" s="180"/>
      <c r="V367" s="180"/>
      <c r="W367" s="180"/>
      <c r="X367" s="180"/>
      <c r="Y367" s="180"/>
      <c r="Z367" s="180"/>
      <c r="AA367" s="180"/>
      <c r="AB367" s="182"/>
      <c r="AC367" s="212"/>
      <c r="AD367" s="180"/>
      <c r="AE367" s="180"/>
      <c r="AF367" s="180"/>
      <c r="AG367" s="180"/>
      <c r="AH367" s="180"/>
      <c r="AI367" s="180"/>
      <c r="AJ367" s="180"/>
      <c r="AK367" s="184"/>
      <c r="AL367" s="182"/>
      <c r="AM367" s="182"/>
      <c r="AN367" s="182"/>
      <c r="AO367" s="186"/>
      <c r="AP367" s="186"/>
    </row>
    <row r="368" spans="1:42" s="185" customFormat="1" x14ac:dyDescent="0.2">
      <c r="A368" s="180"/>
      <c r="B368" s="180"/>
      <c r="C368" s="180"/>
      <c r="D368" s="180"/>
      <c r="E368" s="180"/>
      <c r="F368" s="180"/>
      <c r="G368" s="180"/>
      <c r="H368" s="180"/>
      <c r="I368" s="180"/>
      <c r="J368" s="180"/>
      <c r="K368" s="180"/>
      <c r="L368" s="180"/>
      <c r="M368" s="180"/>
      <c r="N368" s="180"/>
      <c r="O368" s="180"/>
      <c r="P368" s="180"/>
      <c r="Q368" s="180"/>
      <c r="R368" s="182"/>
      <c r="S368" s="180"/>
      <c r="T368" s="180"/>
      <c r="U368" s="180"/>
      <c r="V368" s="180"/>
      <c r="W368" s="180"/>
      <c r="X368" s="180"/>
      <c r="Y368" s="180"/>
      <c r="Z368" s="180"/>
      <c r="AA368" s="180"/>
      <c r="AB368" s="182"/>
      <c r="AC368" s="212"/>
      <c r="AD368" s="180"/>
      <c r="AE368" s="180"/>
      <c r="AF368" s="180"/>
      <c r="AG368" s="180"/>
      <c r="AH368" s="180"/>
      <c r="AI368" s="180"/>
      <c r="AJ368" s="180"/>
      <c r="AK368" s="184"/>
      <c r="AL368" s="182"/>
      <c r="AM368" s="182"/>
      <c r="AN368" s="182"/>
      <c r="AO368" s="186"/>
      <c r="AP368" s="186"/>
    </row>
    <row r="369" spans="1:42" s="185" customFormat="1" x14ac:dyDescent="0.2">
      <c r="A369" s="180"/>
      <c r="B369" s="180"/>
      <c r="C369" s="180"/>
      <c r="D369" s="180"/>
      <c r="E369" s="180"/>
      <c r="F369" s="180"/>
      <c r="G369" s="180"/>
      <c r="H369" s="180"/>
      <c r="I369" s="180"/>
      <c r="J369" s="180"/>
      <c r="K369" s="180"/>
      <c r="L369" s="180"/>
      <c r="M369" s="180"/>
      <c r="N369" s="180"/>
      <c r="O369" s="180"/>
      <c r="P369" s="180"/>
      <c r="Q369" s="180"/>
      <c r="R369" s="182"/>
      <c r="S369" s="180"/>
      <c r="T369" s="180"/>
      <c r="U369" s="180"/>
      <c r="V369" s="180"/>
      <c r="W369" s="180"/>
      <c r="X369" s="180"/>
      <c r="Y369" s="180"/>
      <c r="Z369" s="180"/>
      <c r="AA369" s="180"/>
      <c r="AB369" s="182"/>
      <c r="AC369" s="212"/>
      <c r="AD369" s="180"/>
      <c r="AE369" s="180"/>
      <c r="AF369" s="180"/>
      <c r="AG369" s="180"/>
      <c r="AH369" s="180"/>
      <c r="AI369" s="180"/>
      <c r="AJ369" s="180"/>
      <c r="AK369" s="184"/>
      <c r="AL369" s="182"/>
      <c r="AM369" s="182"/>
      <c r="AN369" s="182"/>
      <c r="AO369" s="186"/>
      <c r="AP369" s="186"/>
    </row>
    <row r="370" spans="1:42" s="185" customFormat="1" x14ac:dyDescent="0.2">
      <c r="A370" s="180"/>
      <c r="B370" s="180"/>
      <c r="C370" s="180"/>
      <c r="D370" s="180"/>
      <c r="E370" s="180"/>
      <c r="F370" s="180"/>
      <c r="G370" s="180"/>
      <c r="H370" s="180"/>
      <c r="I370" s="180"/>
      <c r="J370" s="180"/>
      <c r="K370" s="180"/>
      <c r="L370" s="180"/>
      <c r="M370" s="180"/>
      <c r="N370" s="180"/>
      <c r="O370" s="180"/>
      <c r="P370" s="180"/>
      <c r="Q370" s="180"/>
      <c r="R370" s="182"/>
      <c r="S370" s="180"/>
      <c r="T370" s="180"/>
      <c r="U370" s="180"/>
      <c r="V370" s="180"/>
      <c r="W370" s="180"/>
      <c r="X370" s="180"/>
      <c r="Y370" s="180"/>
      <c r="Z370" s="180"/>
      <c r="AA370" s="180"/>
      <c r="AB370" s="182"/>
      <c r="AC370" s="212"/>
      <c r="AD370" s="180"/>
      <c r="AE370" s="180"/>
      <c r="AF370" s="180"/>
      <c r="AG370" s="180"/>
      <c r="AH370" s="180"/>
      <c r="AI370" s="180"/>
      <c r="AJ370" s="180"/>
      <c r="AK370" s="184"/>
      <c r="AL370" s="182"/>
      <c r="AM370" s="182"/>
      <c r="AN370" s="182"/>
      <c r="AO370" s="186"/>
      <c r="AP370" s="186"/>
    </row>
    <row r="371" spans="1:42" s="185" customFormat="1" x14ac:dyDescent="0.2">
      <c r="A371" s="180"/>
      <c r="B371" s="180"/>
      <c r="C371" s="180"/>
      <c r="D371" s="180"/>
      <c r="E371" s="180"/>
      <c r="F371" s="180"/>
      <c r="G371" s="180"/>
      <c r="H371" s="180"/>
      <c r="I371" s="180"/>
      <c r="J371" s="180"/>
      <c r="K371" s="180"/>
      <c r="L371" s="180"/>
      <c r="M371" s="180"/>
      <c r="N371" s="180"/>
      <c r="O371" s="180"/>
      <c r="P371" s="180"/>
      <c r="Q371" s="180"/>
      <c r="R371" s="182"/>
      <c r="S371" s="180"/>
      <c r="T371" s="180"/>
      <c r="U371" s="180"/>
      <c r="V371" s="180"/>
      <c r="W371" s="180"/>
      <c r="X371" s="180"/>
      <c r="Y371" s="180"/>
      <c r="Z371" s="180"/>
      <c r="AA371" s="180"/>
      <c r="AB371" s="182"/>
      <c r="AC371" s="212"/>
      <c r="AD371" s="180"/>
      <c r="AE371" s="180"/>
      <c r="AF371" s="180"/>
      <c r="AG371" s="180"/>
      <c r="AH371" s="180"/>
      <c r="AI371" s="180"/>
      <c r="AJ371" s="180"/>
      <c r="AK371" s="184"/>
      <c r="AL371" s="182"/>
      <c r="AM371" s="182"/>
      <c r="AN371" s="182"/>
      <c r="AO371" s="186"/>
      <c r="AP371" s="186"/>
    </row>
    <row r="372" spans="1:42" s="185" customFormat="1" x14ac:dyDescent="0.2">
      <c r="A372" s="180"/>
      <c r="B372" s="180"/>
      <c r="C372" s="180"/>
      <c r="D372" s="180"/>
      <c r="E372" s="180"/>
      <c r="F372" s="180"/>
      <c r="G372" s="180"/>
      <c r="H372" s="180"/>
      <c r="I372" s="180"/>
      <c r="J372" s="180"/>
      <c r="K372" s="180"/>
      <c r="L372" s="180"/>
      <c r="M372" s="180"/>
      <c r="N372" s="180"/>
      <c r="O372" s="180"/>
      <c r="P372" s="180"/>
      <c r="Q372" s="180"/>
      <c r="R372" s="182"/>
      <c r="S372" s="180"/>
      <c r="T372" s="180"/>
      <c r="U372" s="180"/>
      <c r="V372" s="180"/>
      <c r="W372" s="180"/>
      <c r="X372" s="180"/>
      <c r="Y372" s="180"/>
      <c r="Z372" s="180"/>
      <c r="AA372" s="180"/>
      <c r="AB372" s="182"/>
      <c r="AC372" s="212"/>
      <c r="AD372" s="180"/>
      <c r="AE372" s="180"/>
      <c r="AF372" s="180"/>
      <c r="AG372" s="180"/>
      <c r="AH372" s="180"/>
      <c r="AI372" s="180"/>
      <c r="AJ372" s="180"/>
      <c r="AK372" s="184"/>
      <c r="AL372" s="182"/>
      <c r="AM372" s="182"/>
      <c r="AN372" s="182"/>
      <c r="AO372" s="186"/>
      <c r="AP372" s="186"/>
    </row>
    <row r="373" spans="1:42" s="185" customFormat="1" x14ac:dyDescent="0.2">
      <c r="A373" s="180"/>
      <c r="B373" s="180"/>
      <c r="C373" s="180"/>
      <c r="D373" s="180"/>
      <c r="E373" s="180"/>
      <c r="F373" s="180"/>
      <c r="G373" s="180"/>
      <c r="H373" s="180"/>
      <c r="I373" s="180"/>
      <c r="J373" s="180"/>
      <c r="K373" s="180"/>
      <c r="L373" s="180"/>
      <c r="M373" s="180"/>
      <c r="N373" s="180"/>
      <c r="O373" s="180"/>
      <c r="P373" s="180"/>
      <c r="Q373" s="180"/>
      <c r="R373" s="182"/>
      <c r="S373" s="180"/>
      <c r="T373" s="180"/>
      <c r="U373" s="180"/>
      <c r="V373" s="180"/>
      <c r="W373" s="180"/>
      <c r="X373" s="180"/>
      <c r="Y373" s="180"/>
      <c r="Z373" s="180"/>
      <c r="AA373" s="180"/>
      <c r="AB373" s="182"/>
      <c r="AC373" s="212"/>
      <c r="AD373" s="180"/>
      <c r="AE373" s="180"/>
      <c r="AF373" s="180"/>
      <c r="AG373" s="180"/>
      <c r="AH373" s="180"/>
      <c r="AI373" s="180"/>
      <c r="AJ373" s="180"/>
      <c r="AK373" s="184"/>
      <c r="AL373" s="182"/>
      <c r="AM373" s="182"/>
      <c r="AN373" s="182"/>
      <c r="AO373" s="186"/>
      <c r="AP373" s="186"/>
    </row>
    <row r="374" spans="1:42" x14ac:dyDescent="0.2">
      <c r="A374" s="187"/>
      <c r="B374" s="187"/>
      <c r="C374" s="187"/>
      <c r="D374" s="187"/>
      <c r="E374" s="187"/>
      <c r="F374" s="187"/>
      <c r="G374" s="187"/>
      <c r="H374" s="187"/>
      <c r="I374" s="187"/>
      <c r="J374" s="180"/>
      <c r="K374" s="180"/>
      <c r="L374" s="187"/>
      <c r="M374" s="187"/>
      <c r="N374" s="187"/>
      <c r="O374" s="187"/>
      <c r="P374" s="187"/>
      <c r="Q374" s="187"/>
      <c r="R374" s="188"/>
      <c r="S374" s="187"/>
      <c r="T374" s="187"/>
      <c r="U374" s="187"/>
      <c r="V374" s="187"/>
      <c r="W374" s="187"/>
      <c r="X374" s="187"/>
      <c r="Y374" s="187"/>
      <c r="Z374" s="187"/>
      <c r="AA374" s="187"/>
      <c r="AB374" s="188"/>
      <c r="AC374" s="215"/>
      <c r="AD374" s="187"/>
      <c r="AE374" s="187"/>
      <c r="AF374" s="187"/>
      <c r="AG374" s="187"/>
      <c r="AH374" s="187"/>
      <c r="AI374" s="187"/>
      <c r="AJ374" s="187"/>
      <c r="AK374" s="189"/>
      <c r="AL374" s="188"/>
      <c r="AM374" s="188"/>
      <c r="AN374" s="188"/>
    </row>
    <row r="375" spans="1:42" x14ac:dyDescent="0.2">
      <c r="A375" s="187"/>
      <c r="B375" s="187"/>
      <c r="C375" s="187"/>
      <c r="D375" s="187"/>
      <c r="E375" s="187"/>
      <c r="F375" s="187"/>
      <c r="G375" s="187"/>
      <c r="H375" s="187"/>
      <c r="I375" s="187"/>
      <c r="J375" s="180"/>
      <c r="K375" s="180"/>
      <c r="L375" s="187"/>
      <c r="M375" s="187"/>
      <c r="N375" s="187"/>
      <c r="O375" s="187"/>
      <c r="P375" s="187"/>
      <c r="Q375" s="187"/>
      <c r="R375" s="188"/>
      <c r="S375" s="187"/>
      <c r="T375" s="187"/>
      <c r="U375" s="187"/>
      <c r="V375" s="187"/>
      <c r="W375" s="187"/>
      <c r="X375" s="187"/>
      <c r="Y375" s="187"/>
      <c r="Z375" s="187"/>
      <c r="AA375" s="187"/>
      <c r="AB375" s="188"/>
      <c r="AC375" s="215"/>
      <c r="AD375" s="187"/>
      <c r="AE375" s="187"/>
      <c r="AF375" s="187"/>
      <c r="AG375" s="187"/>
      <c r="AH375" s="187"/>
      <c r="AI375" s="187"/>
      <c r="AJ375" s="187"/>
      <c r="AK375" s="189"/>
      <c r="AL375" s="188"/>
      <c r="AM375" s="188"/>
      <c r="AN375" s="188"/>
    </row>
    <row r="376" spans="1:42" x14ac:dyDescent="0.2">
      <c r="A376" s="187"/>
      <c r="B376" s="187"/>
      <c r="C376" s="187"/>
      <c r="D376" s="187"/>
      <c r="E376" s="187"/>
      <c r="F376" s="187"/>
      <c r="G376" s="187"/>
      <c r="H376" s="187"/>
      <c r="I376" s="187"/>
      <c r="J376" s="180"/>
      <c r="K376" s="180"/>
      <c r="L376" s="187"/>
      <c r="M376" s="187"/>
      <c r="N376" s="187"/>
      <c r="O376" s="187"/>
      <c r="P376" s="187"/>
      <c r="Q376" s="187"/>
      <c r="R376" s="188"/>
      <c r="S376" s="187"/>
      <c r="T376" s="187"/>
      <c r="U376" s="187"/>
      <c r="V376" s="187"/>
      <c r="W376" s="187"/>
      <c r="X376" s="187"/>
      <c r="Y376" s="187"/>
      <c r="Z376" s="187"/>
      <c r="AA376" s="187"/>
      <c r="AB376" s="188"/>
      <c r="AC376" s="215"/>
      <c r="AD376" s="187"/>
      <c r="AE376" s="187"/>
      <c r="AF376" s="187"/>
      <c r="AG376" s="187"/>
      <c r="AH376" s="187"/>
      <c r="AI376" s="187"/>
      <c r="AJ376" s="187"/>
      <c r="AK376" s="189"/>
      <c r="AL376" s="188"/>
      <c r="AM376" s="188"/>
      <c r="AN376" s="188"/>
    </row>
    <row r="377" spans="1:42" x14ac:dyDescent="0.2">
      <c r="A377" s="187"/>
      <c r="B377" s="187"/>
      <c r="C377" s="187"/>
      <c r="D377" s="187"/>
      <c r="E377" s="187"/>
      <c r="F377" s="187"/>
      <c r="G377" s="187"/>
      <c r="H377" s="187"/>
      <c r="I377" s="187"/>
      <c r="J377" s="180"/>
      <c r="K377" s="180"/>
      <c r="L377" s="187"/>
      <c r="M377" s="187"/>
      <c r="N377" s="187"/>
      <c r="O377" s="187"/>
      <c r="P377" s="187"/>
      <c r="Q377" s="187"/>
      <c r="R377" s="188"/>
      <c r="S377" s="187"/>
      <c r="T377" s="187"/>
      <c r="U377" s="187"/>
      <c r="V377" s="187"/>
      <c r="W377" s="187"/>
      <c r="X377" s="187"/>
      <c r="Y377" s="187"/>
      <c r="Z377" s="187"/>
      <c r="AA377" s="187"/>
      <c r="AB377" s="188"/>
      <c r="AC377" s="215"/>
      <c r="AD377" s="187"/>
      <c r="AE377" s="187"/>
      <c r="AF377" s="187"/>
      <c r="AG377" s="187"/>
      <c r="AH377" s="187"/>
      <c r="AI377" s="187"/>
      <c r="AJ377" s="187"/>
      <c r="AK377" s="189"/>
      <c r="AL377" s="188"/>
      <c r="AM377" s="188"/>
      <c r="AN377" s="188"/>
    </row>
    <row r="378" spans="1:42" x14ac:dyDescent="0.2">
      <c r="A378" s="187"/>
      <c r="B378" s="187"/>
      <c r="C378" s="187"/>
      <c r="D378" s="187"/>
      <c r="E378" s="187"/>
      <c r="F378" s="187"/>
      <c r="G378" s="187"/>
      <c r="H378" s="187"/>
      <c r="I378" s="187"/>
      <c r="J378" s="180"/>
      <c r="K378" s="180"/>
      <c r="L378" s="187"/>
      <c r="M378" s="187"/>
      <c r="N378" s="187"/>
      <c r="O378" s="187"/>
      <c r="P378" s="187"/>
      <c r="Q378" s="187"/>
      <c r="R378" s="188"/>
      <c r="S378" s="187"/>
      <c r="T378" s="187"/>
      <c r="U378" s="187"/>
      <c r="V378" s="187"/>
      <c r="W378" s="187"/>
      <c r="X378" s="187"/>
      <c r="Y378" s="187"/>
      <c r="Z378" s="187"/>
      <c r="AA378" s="187"/>
      <c r="AB378" s="188"/>
      <c r="AC378" s="215"/>
      <c r="AD378" s="187"/>
      <c r="AE378" s="187"/>
      <c r="AF378" s="187"/>
      <c r="AG378" s="187"/>
      <c r="AH378" s="187"/>
      <c r="AI378" s="187"/>
      <c r="AJ378" s="187"/>
      <c r="AK378" s="189"/>
      <c r="AL378" s="188"/>
      <c r="AM378" s="188"/>
      <c r="AN378" s="188"/>
    </row>
    <row r="379" spans="1:42" x14ac:dyDescent="0.2">
      <c r="A379" s="187"/>
      <c r="B379" s="187"/>
      <c r="C379" s="187"/>
      <c r="D379" s="187"/>
      <c r="E379" s="187"/>
      <c r="F379" s="187"/>
      <c r="G379" s="187"/>
      <c r="H379" s="187"/>
      <c r="I379" s="187"/>
      <c r="J379" s="180"/>
      <c r="K379" s="180"/>
      <c r="L379" s="187"/>
      <c r="M379" s="187"/>
      <c r="N379" s="187"/>
      <c r="O379" s="187"/>
      <c r="P379" s="187"/>
      <c r="Q379" s="187"/>
      <c r="R379" s="188"/>
      <c r="S379" s="187"/>
      <c r="T379" s="187"/>
      <c r="U379" s="187"/>
      <c r="V379" s="187"/>
      <c r="W379" s="187"/>
      <c r="X379" s="187"/>
      <c r="Y379" s="187"/>
      <c r="Z379" s="187"/>
      <c r="AA379" s="187"/>
      <c r="AB379" s="188"/>
      <c r="AC379" s="215"/>
      <c r="AD379" s="187"/>
      <c r="AE379" s="187"/>
      <c r="AF379" s="187"/>
      <c r="AG379" s="187"/>
      <c r="AH379" s="187"/>
      <c r="AI379" s="187"/>
      <c r="AJ379" s="187"/>
      <c r="AK379" s="189"/>
      <c r="AL379" s="188"/>
      <c r="AM379" s="188"/>
      <c r="AN379" s="188"/>
    </row>
    <row r="380" spans="1:42" x14ac:dyDescent="0.2">
      <c r="A380" s="187"/>
      <c r="B380" s="187"/>
      <c r="C380" s="187"/>
      <c r="D380" s="187"/>
      <c r="E380" s="187"/>
      <c r="F380" s="187"/>
      <c r="G380" s="187"/>
      <c r="H380" s="187"/>
      <c r="I380" s="187"/>
      <c r="J380" s="180"/>
      <c r="K380" s="180"/>
      <c r="L380" s="187"/>
      <c r="M380" s="187"/>
      <c r="N380" s="187"/>
      <c r="O380" s="187"/>
      <c r="P380" s="187"/>
      <c r="Q380" s="187"/>
      <c r="R380" s="188"/>
      <c r="S380" s="187"/>
      <c r="T380" s="187"/>
      <c r="U380" s="187"/>
      <c r="V380" s="187"/>
      <c r="W380" s="187"/>
      <c r="X380" s="187"/>
      <c r="Y380" s="187"/>
      <c r="Z380" s="187"/>
      <c r="AA380" s="187"/>
      <c r="AB380" s="188"/>
      <c r="AC380" s="215"/>
      <c r="AD380" s="187"/>
      <c r="AE380" s="187"/>
      <c r="AF380" s="187"/>
      <c r="AG380" s="187"/>
      <c r="AH380" s="187"/>
      <c r="AI380" s="187"/>
      <c r="AJ380" s="187"/>
      <c r="AK380" s="189"/>
      <c r="AL380" s="188"/>
      <c r="AM380" s="188"/>
      <c r="AN380" s="188"/>
    </row>
    <row r="381" spans="1:42" x14ac:dyDescent="0.2">
      <c r="A381" s="187"/>
      <c r="B381" s="187"/>
      <c r="C381" s="187"/>
      <c r="D381" s="187"/>
      <c r="E381" s="187"/>
      <c r="F381" s="187"/>
      <c r="G381" s="187"/>
      <c r="H381" s="187"/>
      <c r="I381" s="187"/>
      <c r="J381" s="180"/>
      <c r="K381" s="180"/>
      <c r="L381" s="187"/>
      <c r="M381" s="187"/>
      <c r="N381" s="187"/>
      <c r="O381" s="187"/>
      <c r="P381" s="187"/>
      <c r="Q381" s="187"/>
      <c r="R381" s="188"/>
      <c r="S381" s="187"/>
      <c r="T381" s="187"/>
      <c r="U381" s="187"/>
      <c r="V381" s="187"/>
      <c r="W381" s="187"/>
      <c r="X381" s="187"/>
      <c r="Y381" s="187"/>
      <c r="Z381" s="187"/>
      <c r="AA381" s="187"/>
      <c r="AB381" s="188"/>
      <c r="AC381" s="215"/>
      <c r="AD381" s="187"/>
      <c r="AE381" s="187"/>
      <c r="AF381" s="187"/>
      <c r="AG381" s="187"/>
      <c r="AH381" s="187"/>
      <c r="AI381" s="187"/>
      <c r="AJ381" s="187"/>
      <c r="AK381" s="189"/>
      <c r="AL381" s="188"/>
      <c r="AM381" s="188"/>
      <c r="AN381" s="188"/>
    </row>
    <row r="382" spans="1:42" x14ac:dyDescent="0.2">
      <c r="A382" s="187"/>
      <c r="B382" s="187"/>
      <c r="C382" s="187"/>
      <c r="D382" s="187"/>
      <c r="E382" s="187"/>
      <c r="F382" s="187"/>
      <c r="G382" s="187"/>
      <c r="H382" s="187"/>
      <c r="I382" s="187"/>
      <c r="J382" s="180"/>
      <c r="K382" s="180"/>
      <c r="L382" s="187"/>
      <c r="M382" s="187"/>
      <c r="N382" s="187"/>
      <c r="O382" s="187"/>
      <c r="P382" s="187"/>
      <c r="Q382" s="187"/>
      <c r="R382" s="188"/>
      <c r="S382" s="187"/>
      <c r="T382" s="187"/>
      <c r="U382" s="187"/>
      <c r="V382" s="187"/>
      <c r="W382" s="187"/>
      <c r="X382" s="187"/>
      <c r="Y382" s="187"/>
      <c r="Z382" s="187"/>
      <c r="AA382" s="187"/>
      <c r="AB382" s="188"/>
      <c r="AC382" s="215"/>
      <c r="AD382" s="187"/>
      <c r="AE382" s="187"/>
      <c r="AF382" s="187"/>
      <c r="AG382" s="187"/>
      <c r="AH382" s="187"/>
      <c r="AI382" s="187"/>
      <c r="AJ382" s="187"/>
      <c r="AK382" s="189"/>
      <c r="AL382" s="188"/>
      <c r="AM382" s="188"/>
      <c r="AN382" s="188"/>
    </row>
    <row r="383" spans="1:42" x14ac:dyDescent="0.2">
      <c r="A383" s="187"/>
      <c r="B383" s="187"/>
      <c r="C383" s="187"/>
      <c r="D383" s="187"/>
      <c r="E383" s="187"/>
      <c r="F383" s="187"/>
      <c r="G383" s="187"/>
      <c r="H383" s="187"/>
      <c r="I383" s="187"/>
      <c r="J383" s="180"/>
      <c r="K383" s="180"/>
      <c r="L383" s="187"/>
      <c r="M383" s="187"/>
      <c r="N383" s="187"/>
      <c r="O383" s="187"/>
      <c r="P383" s="187"/>
      <c r="Q383" s="187"/>
      <c r="R383" s="188"/>
      <c r="S383" s="187"/>
      <c r="T383" s="187"/>
      <c r="U383" s="187"/>
      <c r="V383" s="187"/>
      <c r="W383" s="187"/>
      <c r="X383" s="187"/>
      <c r="Y383" s="187"/>
      <c r="Z383" s="187"/>
      <c r="AA383" s="187"/>
      <c r="AB383" s="188"/>
      <c r="AC383" s="215"/>
      <c r="AD383" s="187"/>
      <c r="AE383" s="187"/>
      <c r="AF383" s="187"/>
      <c r="AG383" s="187"/>
      <c r="AH383" s="187"/>
      <c r="AI383" s="187"/>
      <c r="AJ383" s="187"/>
      <c r="AK383" s="189"/>
      <c r="AL383" s="188"/>
      <c r="AM383" s="188"/>
      <c r="AN383" s="188"/>
    </row>
    <row r="384" spans="1:42" x14ac:dyDescent="0.2">
      <c r="A384" s="187"/>
      <c r="B384" s="187"/>
      <c r="C384" s="187"/>
      <c r="D384" s="187"/>
      <c r="E384" s="187"/>
      <c r="F384" s="187"/>
      <c r="G384" s="187"/>
      <c r="H384" s="187"/>
      <c r="I384" s="187"/>
      <c r="J384" s="180"/>
      <c r="K384" s="180"/>
      <c r="L384" s="187"/>
      <c r="M384" s="187"/>
      <c r="N384" s="187"/>
      <c r="O384" s="187"/>
      <c r="P384" s="187"/>
      <c r="Q384" s="187"/>
      <c r="R384" s="188"/>
      <c r="S384" s="187"/>
      <c r="T384" s="187"/>
      <c r="U384" s="187"/>
      <c r="V384" s="187"/>
      <c r="W384" s="187"/>
      <c r="X384" s="187"/>
      <c r="Y384" s="187"/>
      <c r="Z384" s="187"/>
      <c r="AA384" s="187"/>
      <c r="AB384" s="188"/>
      <c r="AC384" s="215"/>
      <c r="AD384" s="187"/>
      <c r="AE384" s="187"/>
      <c r="AF384" s="187"/>
      <c r="AG384" s="187"/>
      <c r="AH384" s="187"/>
      <c r="AI384" s="187"/>
      <c r="AJ384" s="187"/>
      <c r="AK384" s="189"/>
      <c r="AL384" s="188"/>
      <c r="AM384" s="188"/>
      <c r="AN384" s="188"/>
    </row>
    <row r="385" spans="1:40" x14ac:dyDescent="0.2">
      <c r="A385" s="187"/>
      <c r="B385" s="187"/>
      <c r="C385" s="187"/>
      <c r="D385" s="187"/>
      <c r="E385" s="187"/>
      <c r="F385" s="187"/>
      <c r="G385" s="187"/>
      <c r="H385" s="187"/>
      <c r="I385" s="187"/>
      <c r="J385" s="180"/>
      <c r="K385" s="180"/>
      <c r="L385" s="187"/>
      <c r="M385" s="187"/>
      <c r="N385" s="187"/>
      <c r="O385" s="187"/>
      <c r="P385" s="187"/>
      <c r="Q385" s="187"/>
      <c r="R385" s="188"/>
      <c r="S385" s="187"/>
      <c r="T385" s="187"/>
      <c r="U385" s="187"/>
      <c r="V385" s="187"/>
      <c r="W385" s="187"/>
      <c r="X385" s="187"/>
      <c r="Y385" s="187"/>
      <c r="Z385" s="187"/>
      <c r="AA385" s="187"/>
      <c r="AB385" s="188"/>
      <c r="AC385" s="215"/>
      <c r="AD385" s="187"/>
      <c r="AE385" s="187"/>
      <c r="AF385" s="187"/>
      <c r="AG385" s="187"/>
      <c r="AH385" s="187"/>
      <c r="AI385" s="187"/>
      <c r="AJ385" s="187"/>
      <c r="AK385" s="189"/>
      <c r="AL385" s="188"/>
      <c r="AM385" s="188"/>
      <c r="AN385" s="188"/>
    </row>
    <row r="386" spans="1:40" x14ac:dyDescent="0.2">
      <c r="A386" s="187"/>
      <c r="B386" s="187"/>
      <c r="C386" s="187"/>
      <c r="D386" s="187"/>
      <c r="E386" s="187"/>
      <c r="F386" s="187"/>
      <c r="G386" s="187"/>
      <c r="H386" s="187"/>
      <c r="I386" s="187"/>
      <c r="J386" s="180"/>
      <c r="K386" s="180"/>
      <c r="L386" s="187"/>
      <c r="M386" s="187"/>
      <c r="N386" s="187"/>
      <c r="O386" s="187"/>
      <c r="P386" s="187"/>
      <c r="Q386" s="187"/>
      <c r="R386" s="188"/>
      <c r="S386" s="187"/>
      <c r="T386" s="187"/>
      <c r="U386" s="187"/>
      <c r="V386" s="187"/>
      <c r="W386" s="187"/>
      <c r="X386" s="187"/>
      <c r="Y386" s="187"/>
      <c r="Z386" s="187"/>
      <c r="AA386" s="187"/>
      <c r="AB386" s="188"/>
      <c r="AC386" s="215"/>
      <c r="AD386" s="187"/>
      <c r="AE386" s="187"/>
      <c r="AF386" s="187"/>
      <c r="AG386" s="187"/>
      <c r="AH386" s="187"/>
      <c r="AI386" s="187"/>
      <c r="AJ386" s="187"/>
      <c r="AK386" s="189"/>
      <c r="AL386" s="188"/>
      <c r="AM386" s="188"/>
      <c r="AN386" s="188"/>
    </row>
    <row r="387" spans="1:40" x14ac:dyDescent="0.2">
      <c r="A387" s="187"/>
      <c r="B387" s="187"/>
      <c r="C387" s="187"/>
      <c r="D387" s="187"/>
      <c r="E387" s="187"/>
      <c r="F387" s="187"/>
      <c r="G387" s="187"/>
      <c r="H387" s="187"/>
      <c r="I387" s="187"/>
      <c r="J387" s="180"/>
      <c r="K387" s="180"/>
      <c r="L387" s="187"/>
      <c r="M387" s="187"/>
      <c r="N387" s="187"/>
      <c r="O387" s="187"/>
      <c r="P387" s="187"/>
      <c r="Q387" s="187"/>
      <c r="R387" s="188"/>
      <c r="S387" s="187"/>
      <c r="T387" s="187"/>
      <c r="U387" s="187"/>
      <c r="V387" s="187"/>
      <c r="W387" s="187"/>
      <c r="X387" s="187"/>
      <c r="Y387" s="187"/>
      <c r="Z387" s="187"/>
      <c r="AA387" s="187"/>
      <c r="AB387" s="188"/>
      <c r="AC387" s="215"/>
      <c r="AD387" s="187"/>
      <c r="AE387" s="187"/>
      <c r="AF387" s="187"/>
      <c r="AG387" s="187"/>
      <c r="AH387" s="187"/>
      <c r="AI387" s="187"/>
      <c r="AJ387" s="187"/>
      <c r="AK387" s="189"/>
      <c r="AL387" s="188"/>
      <c r="AM387" s="188"/>
      <c r="AN387" s="188"/>
    </row>
    <row r="388" spans="1:40" x14ac:dyDescent="0.2">
      <c r="A388" s="187"/>
      <c r="B388" s="187"/>
      <c r="C388" s="187"/>
      <c r="D388" s="187"/>
      <c r="E388" s="187"/>
      <c r="F388" s="187"/>
      <c r="G388" s="187"/>
      <c r="H388" s="187"/>
      <c r="I388" s="187"/>
      <c r="J388" s="180"/>
      <c r="K388" s="180"/>
      <c r="L388" s="187"/>
      <c r="M388" s="187"/>
      <c r="N388" s="187"/>
      <c r="O388" s="187"/>
      <c r="P388" s="187"/>
      <c r="Q388" s="187"/>
      <c r="R388" s="188"/>
      <c r="S388" s="187"/>
      <c r="T388" s="187"/>
      <c r="U388" s="187"/>
      <c r="V388" s="187"/>
      <c r="W388" s="187"/>
      <c r="X388" s="187"/>
      <c r="Y388" s="187"/>
      <c r="Z388" s="187"/>
      <c r="AA388" s="187"/>
      <c r="AB388" s="188"/>
      <c r="AC388" s="215"/>
      <c r="AD388" s="187"/>
      <c r="AE388" s="187"/>
      <c r="AF388" s="187"/>
      <c r="AG388" s="187"/>
      <c r="AH388" s="187"/>
      <c r="AI388" s="187"/>
      <c r="AJ388" s="187"/>
      <c r="AK388" s="189"/>
      <c r="AL388" s="188"/>
      <c r="AM388" s="188"/>
      <c r="AN388" s="188"/>
    </row>
    <row r="389" spans="1:40" x14ac:dyDescent="0.2">
      <c r="A389" s="187"/>
      <c r="B389" s="187"/>
      <c r="C389" s="187"/>
      <c r="D389" s="187"/>
      <c r="E389" s="187"/>
      <c r="F389" s="187"/>
      <c r="G389" s="187"/>
      <c r="H389" s="187"/>
      <c r="I389" s="187"/>
      <c r="J389" s="180"/>
      <c r="K389" s="180"/>
      <c r="L389" s="187"/>
      <c r="M389" s="187"/>
      <c r="N389" s="187"/>
      <c r="O389" s="187"/>
      <c r="P389" s="187"/>
      <c r="Q389" s="187"/>
      <c r="R389" s="188"/>
      <c r="S389" s="187"/>
      <c r="T389" s="187"/>
      <c r="U389" s="187"/>
      <c r="V389" s="187"/>
      <c r="W389" s="187"/>
      <c r="X389" s="187"/>
      <c r="Y389" s="187"/>
      <c r="Z389" s="187"/>
      <c r="AA389" s="187"/>
      <c r="AB389" s="188"/>
      <c r="AC389" s="215"/>
      <c r="AD389" s="187"/>
      <c r="AE389" s="187"/>
      <c r="AF389" s="187"/>
      <c r="AG389" s="187"/>
      <c r="AH389" s="187"/>
      <c r="AI389" s="187"/>
      <c r="AJ389" s="187"/>
      <c r="AK389" s="189"/>
      <c r="AL389" s="188"/>
      <c r="AM389" s="188"/>
      <c r="AN389" s="188"/>
    </row>
    <row r="390" spans="1:40" x14ac:dyDescent="0.2">
      <c r="A390" s="187"/>
      <c r="B390" s="187"/>
      <c r="C390" s="187"/>
      <c r="D390" s="187"/>
      <c r="E390" s="187"/>
      <c r="F390" s="187"/>
      <c r="G390" s="187"/>
      <c r="H390" s="187"/>
      <c r="I390" s="187"/>
      <c r="J390" s="180"/>
      <c r="K390" s="180"/>
      <c r="L390" s="187"/>
      <c r="M390" s="187"/>
      <c r="N390" s="187"/>
      <c r="O390" s="187"/>
      <c r="P390" s="187"/>
      <c r="Q390" s="187"/>
      <c r="R390" s="188"/>
      <c r="S390" s="187"/>
      <c r="T390" s="187"/>
      <c r="U390" s="187"/>
      <c r="V390" s="187"/>
      <c r="W390" s="187"/>
      <c r="X390" s="187"/>
      <c r="Y390" s="187"/>
      <c r="Z390" s="187"/>
      <c r="AA390" s="187"/>
      <c r="AB390" s="188"/>
      <c r="AC390" s="215"/>
      <c r="AD390" s="187"/>
      <c r="AE390" s="187"/>
      <c r="AF390" s="187"/>
      <c r="AG390" s="187"/>
      <c r="AH390" s="187"/>
      <c r="AI390" s="187"/>
      <c r="AJ390" s="187"/>
      <c r="AK390" s="189"/>
      <c r="AL390" s="188"/>
      <c r="AM390" s="188"/>
      <c r="AN390" s="188"/>
    </row>
    <row r="391" spans="1:40" x14ac:dyDescent="0.2">
      <c r="A391" s="187"/>
      <c r="B391" s="187"/>
      <c r="C391" s="187"/>
      <c r="D391" s="187"/>
      <c r="E391" s="187"/>
      <c r="F391" s="187"/>
      <c r="G391" s="187"/>
      <c r="H391" s="187"/>
      <c r="I391" s="187"/>
      <c r="J391" s="180"/>
      <c r="K391" s="180"/>
      <c r="L391" s="187"/>
      <c r="M391" s="187"/>
      <c r="N391" s="187"/>
      <c r="O391" s="187"/>
      <c r="P391" s="187"/>
      <c r="Q391" s="187"/>
      <c r="R391" s="188"/>
      <c r="S391" s="187"/>
      <c r="T391" s="187"/>
      <c r="U391" s="187"/>
      <c r="V391" s="187"/>
      <c r="W391" s="187"/>
      <c r="X391" s="187"/>
      <c r="Y391" s="187"/>
      <c r="Z391" s="187"/>
      <c r="AA391" s="187"/>
      <c r="AB391" s="188"/>
      <c r="AC391" s="215"/>
      <c r="AD391" s="187"/>
      <c r="AE391" s="187"/>
      <c r="AF391" s="187"/>
      <c r="AG391" s="187"/>
      <c r="AH391" s="187"/>
      <c r="AI391" s="187"/>
      <c r="AJ391" s="187"/>
      <c r="AK391" s="189"/>
      <c r="AL391" s="188"/>
      <c r="AM391" s="188"/>
      <c r="AN391" s="188"/>
    </row>
    <row r="392" spans="1:40" x14ac:dyDescent="0.2">
      <c r="A392" s="187"/>
      <c r="B392" s="187"/>
      <c r="C392" s="187"/>
      <c r="D392" s="187"/>
      <c r="E392" s="187"/>
      <c r="F392" s="187"/>
      <c r="G392" s="187"/>
      <c r="H392" s="187"/>
      <c r="I392" s="187"/>
      <c r="J392" s="180"/>
      <c r="K392" s="180"/>
      <c r="L392" s="187"/>
      <c r="M392" s="187"/>
      <c r="N392" s="187"/>
      <c r="O392" s="187"/>
      <c r="P392" s="187"/>
      <c r="Q392" s="187"/>
      <c r="R392" s="188"/>
      <c r="S392" s="187"/>
      <c r="T392" s="187"/>
      <c r="U392" s="187"/>
      <c r="V392" s="187"/>
      <c r="W392" s="187"/>
      <c r="X392" s="187"/>
      <c r="Y392" s="187"/>
      <c r="Z392" s="187"/>
      <c r="AA392" s="187"/>
      <c r="AB392" s="188"/>
      <c r="AC392" s="215"/>
      <c r="AD392" s="187"/>
      <c r="AE392" s="187"/>
      <c r="AF392" s="187"/>
      <c r="AG392" s="187"/>
      <c r="AH392" s="187"/>
      <c r="AI392" s="187"/>
      <c r="AJ392" s="187"/>
      <c r="AK392" s="189"/>
      <c r="AL392" s="188"/>
      <c r="AM392" s="188"/>
      <c r="AN392" s="188"/>
    </row>
    <row r="393" spans="1:40" x14ac:dyDescent="0.2">
      <c r="A393" s="187"/>
      <c r="B393" s="187"/>
      <c r="C393" s="187"/>
      <c r="D393" s="187"/>
      <c r="E393" s="187"/>
      <c r="F393" s="187"/>
      <c r="G393" s="187"/>
      <c r="H393" s="187"/>
      <c r="I393" s="187"/>
      <c r="J393" s="180"/>
      <c r="K393" s="180"/>
      <c r="L393" s="187"/>
      <c r="M393" s="187"/>
      <c r="N393" s="187"/>
      <c r="O393" s="187"/>
      <c r="P393" s="187"/>
      <c r="Q393" s="187"/>
      <c r="R393" s="188"/>
      <c r="S393" s="187"/>
      <c r="T393" s="187"/>
      <c r="U393" s="187"/>
      <c r="V393" s="187"/>
      <c r="W393" s="187"/>
      <c r="X393" s="187"/>
      <c r="Y393" s="187"/>
      <c r="Z393" s="187"/>
      <c r="AA393" s="187"/>
      <c r="AB393" s="188"/>
      <c r="AC393" s="215"/>
      <c r="AD393" s="187"/>
      <c r="AE393" s="187"/>
      <c r="AF393" s="187"/>
      <c r="AG393" s="187"/>
      <c r="AH393" s="187"/>
      <c r="AI393" s="187"/>
      <c r="AJ393" s="187"/>
      <c r="AK393" s="189"/>
      <c r="AL393" s="188"/>
      <c r="AM393" s="188"/>
      <c r="AN393" s="188"/>
    </row>
    <row r="394" spans="1:40" x14ac:dyDescent="0.2">
      <c r="A394" s="187"/>
      <c r="B394" s="187"/>
      <c r="C394" s="187"/>
      <c r="D394" s="187"/>
      <c r="E394" s="187"/>
      <c r="F394" s="187"/>
      <c r="G394" s="187"/>
      <c r="H394" s="187"/>
      <c r="I394" s="187"/>
      <c r="J394" s="180"/>
      <c r="K394" s="180"/>
      <c r="L394" s="187"/>
      <c r="M394" s="187"/>
      <c r="N394" s="187"/>
      <c r="O394" s="187"/>
      <c r="P394" s="187"/>
      <c r="Q394" s="187"/>
      <c r="R394" s="188"/>
      <c r="S394" s="187"/>
      <c r="T394" s="187"/>
      <c r="U394" s="187"/>
      <c r="V394" s="187"/>
      <c r="W394" s="187"/>
      <c r="X394" s="187"/>
      <c r="Y394" s="187"/>
      <c r="Z394" s="187"/>
      <c r="AA394" s="187"/>
      <c r="AB394" s="188"/>
      <c r="AC394" s="215"/>
      <c r="AD394" s="187"/>
      <c r="AE394" s="187"/>
      <c r="AF394" s="187"/>
      <c r="AG394" s="187"/>
      <c r="AH394" s="187"/>
      <c r="AI394" s="187"/>
      <c r="AJ394" s="187"/>
      <c r="AK394" s="189"/>
      <c r="AL394" s="188"/>
      <c r="AM394" s="188"/>
      <c r="AN394" s="188"/>
    </row>
    <row r="395" spans="1:40" x14ac:dyDescent="0.2">
      <c r="A395" s="187"/>
      <c r="B395" s="187"/>
      <c r="C395" s="187"/>
      <c r="D395" s="187"/>
      <c r="E395" s="187"/>
      <c r="F395" s="187"/>
      <c r="G395" s="187"/>
      <c r="H395" s="187"/>
      <c r="I395" s="187"/>
      <c r="J395" s="180"/>
      <c r="K395" s="180"/>
      <c r="L395" s="187"/>
      <c r="M395" s="187"/>
      <c r="N395" s="187"/>
      <c r="O395" s="187"/>
      <c r="P395" s="187"/>
      <c r="Q395" s="187"/>
      <c r="R395" s="188"/>
      <c r="S395" s="187"/>
      <c r="T395" s="187"/>
      <c r="U395" s="187"/>
      <c r="V395" s="187"/>
      <c r="W395" s="187"/>
      <c r="X395" s="187"/>
      <c r="Y395" s="187"/>
      <c r="Z395" s="187"/>
      <c r="AA395" s="187"/>
      <c r="AB395" s="188"/>
      <c r="AC395" s="215"/>
      <c r="AD395" s="187"/>
      <c r="AE395" s="187"/>
      <c r="AF395" s="187"/>
      <c r="AG395" s="187"/>
      <c r="AH395" s="187"/>
      <c r="AI395" s="187"/>
      <c r="AJ395" s="187"/>
      <c r="AK395" s="189"/>
      <c r="AL395" s="188"/>
      <c r="AM395" s="188"/>
      <c r="AN395" s="188"/>
    </row>
    <row r="396" spans="1:40" x14ac:dyDescent="0.2">
      <c r="A396" s="187"/>
      <c r="B396" s="187"/>
      <c r="C396" s="187"/>
      <c r="D396" s="187"/>
      <c r="E396" s="187"/>
      <c r="F396" s="187"/>
      <c r="G396" s="187"/>
      <c r="H396" s="187"/>
      <c r="I396" s="187"/>
      <c r="J396" s="180"/>
      <c r="K396" s="180"/>
      <c r="L396" s="187"/>
      <c r="M396" s="187"/>
      <c r="N396" s="187"/>
      <c r="O396" s="187"/>
      <c r="P396" s="187"/>
      <c r="Q396" s="187"/>
      <c r="R396" s="188"/>
      <c r="S396" s="187"/>
      <c r="T396" s="187"/>
      <c r="U396" s="187"/>
      <c r="V396" s="187"/>
      <c r="W396" s="187"/>
      <c r="X396" s="187"/>
      <c r="Y396" s="187"/>
      <c r="Z396" s="187"/>
      <c r="AA396" s="187"/>
      <c r="AB396" s="188"/>
      <c r="AC396" s="215"/>
      <c r="AD396" s="187"/>
      <c r="AE396" s="187"/>
      <c r="AF396" s="187"/>
      <c r="AG396" s="187"/>
      <c r="AH396" s="187"/>
      <c r="AI396" s="187"/>
      <c r="AJ396" s="187"/>
      <c r="AK396" s="189"/>
      <c r="AL396" s="188"/>
      <c r="AM396" s="188"/>
      <c r="AN396" s="188"/>
    </row>
    <row r="397" spans="1:40" x14ac:dyDescent="0.2">
      <c r="A397" s="187"/>
      <c r="B397" s="187"/>
      <c r="C397" s="187"/>
      <c r="D397" s="187"/>
      <c r="E397" s="187"/>
      <c r="F397" s="187"/>
      <c r="G397" s="187"/>
      <c r="H397" s="187"/>
      <c r="I397" s="187"/>
      <c r="J397" s="180"/>
      <c r="K397" s="180"/>
      <c r="L397" s="187"/>
      <c r="M397" s="187"/>
      <c r="N397" s="187"/>
      <c r="O397" s="187"/>
      <c r="P397" s="187"/>
      <c r="Q397" s="187"/>
      <c r="R397" s="188"/>
      <c r="S397" s="187"/>
      <c r="T397" s="187"/>
      <c r="U397" s="187"/>
      <c r="V397" s="187"/>
      <c r="W397" s="187"/>
      <c r="X397" s="187"/>
      <c r="Y397" s="187"/>
      <c r="Z397" s="187"/>
      <c r="AA397" s="187"/>
      <c r="AB397" s="188"/>
      <c r="AC397" s="215"/>
      <c r="AD397" s="187"/>
      <c r="AE397" s="187"/>
      <c r="AF397" s="187"/>
      <c r="AG397" s="187"/>
      <c r="AH397" s="187"/>
      <c r="AI397" s="187"/>
      <c r="AJ397" s="187"/>
      <c r="AK397" s="189"/>
      <c r="AL397" s="188"/>
      <c r="AM397" s="188"/>
      <c r="AN397" s="188"/>
    </row>
    <row r="398" spans="1:40" x14ac:dyDescent="0.2">
      <c r="A398" s="187"/>
      <c r="B398" s="187"/>
      <c r="C398" s="187"/>
      <c r="D398" s="187"/>
      <c r="E398" s="187"/>
      <c r="F398" s="187"/>
      <c r="G398" s="187"/>
      <c r="H398" s="187"/>
      <c r="I398" s="187"/>
      <c r="J398" s="180"/>
      <c r="K398" s="180"/>
      <c r="L398" s="187"/>
      <c r="M398" s="187"/>
      <c r="N398" s="187"/>
      <c r="O398" s="187"/>
      <c r="P398" s="187"/>
      <c r="Q398" s="187"/>
      <c r="R398" s="188"/>
      <c r="S398" s="187"/>
      <c r="T398" s="187"/>
      <c r="U398" s="187"/>
      <c r="V398" s="187"/>
      <c r="W398" s="187"/>
      <c r="X398" s="187"/>
      <c r="Y398" s="187"/>
      <c r="Z398" s="187"/>
      <c r="AA398" s="187"/>
      <c r="AB398" s="188"/>
      <c r="AC398" s="215"/>
      <c r="AD398" s="187"/>
      <c r="AE398" s="187"/>
      <c r="AF398" s="187"/>
      <c r="AG398" s="187"/>
      <c r="AH398" s="187"/>
      <c r="AI398" s="187"/>
      <c r="AJ398" s="187"/>
      <c r="AK398" s="189"/>
      <c r="AL398" s="188"/>
      <c r="AM398" s="188"/>
      <c r="AN398" s="188"/>
    </row>
    <row r="399" spans="1:40" x14ac:dyDescent="0.2">
      <c r="A399" s="187"/>
      <c r="B399" s="187"/>
      <c r="C399" s="187"/>
      <c r="D399" s="187"/>
      <c r="E399" s="187"/>
      <c r="F399" s="187"/>
      <c r="G399" s="187"/>
      <c r="H399" s="187"/>
      <c r="I399" s="187"/>
      <c r="J399" s="180"/>
      <c r="K399" s="180"/>
      <c r="L399" s="187"/>
      <c r="M399" s="187"/>
      <c r="N399" s="187"/>
      <c r="O399" s="187"/>
      <c r="P399" s="187"/>
      <c r="Q399" s="187"/>
      <c r="R399" s="188"/>
      <c r="S399" s="187"/>
      <c r="T399" s="187"/>
      <c r="U399" s="187"/>
      <c r="V399" s="187"/>
      <c r="W399" s="187"/>
      <c r="X399" s="187"/>
      <c r="Y399" s="187"/>
      <c r="Z399" s="187"/>
      <c r="AA399" s="187"/>
      <c r="AB399" s="188"/>
      <c r="AC399" s="215"/>
      <c r="AD399" s="187"/>
      <c r="AE399" s="187"/>
      <c r="AF399" s="187"/>
      <c r="AG399" s="187"/>
      <c r="AH399" s="187"/>
      <c r="AI399" s="187"/>
      <c r="AJ399" s="187"/>
      <c r="AK399" s="189"/>
      <c r="AL399" s="188"/>
      <c r="AM399" s="188"/>
      <c r="AN399" s="188"/>
    </row>
    <row r="400" spans="1:40" x14ac:dyDescent="0.2">
      <c r="A400" s="187"/>
      <c r="B400" s="187"/>
      <c r="C400" s="187"/>
      <c r="D400" s="187"/>
      <c r="E400" s="187"/>
      <c r="F400" s="187"/>
      <c r="G400" s="187"/>
      <c r="H400" s="187"/>
      <c r="I400" s="187"/>
      <c r="J400" s="180"/>
      <c r="K400" s="180"/>
      <c r="L400" s="187"/>
      <c r="M400" s="187"/>
      <c r="N400" s="187"/>
      <c r="O400" s="187"/>
      <c r="P400" s="187"/>
      <c r="Q400" s="187"/>
      <c r="R400" s="188"/>
      <c r="S400" s="187"/>
      <c r="T400" s="187"/>
      <c r="U400" s="187"/>
      <c r="V400" s="187"/>
      <c r="W400" s="187"/>
      <c r="X400" s="187"/>
      <c r="Y400" s="187"/>
      <c r="Z400" s="187"/>
      <c r="AA400" s="187"/>
      <c r="AB400" s="188"/>
      <c r="AC400" s="215"/>
      <c r="AD400" s="187"/>
      <c r="AE400" s="187"/>
      <c r="AF400" s="187"/>
      <c r="AG400" s="187"/>
      <c r="AH400" s="187"/>
      <c r="AI400" s="187"/>
      <c r="AJ400" s="187"/>
      <c r="AK400" s="189"/>
      <c r="AL400" s="188"/>
      <c r="AM400" s="188"/>
      <c r="AN400" s="188"/>
    </row>
    <row r="401" spans="1:40" x14ac:dyDescent="0.2">
      <c r="A401" s="187"/>
      <c r="B401" s="187"/>
      <c r="C401" s="187"/>
      <c r="D401" s="187"/>
      <c r="E401" s="187"/>
      <c r="F401" s="187"/>
      <c r="G401" s="187"/>
      <c r="H401" s="187"/>
      <c r="I401" s="187"/>
      <c r="J401" s="180"/>
      <c r="K401" s="180"/>
      <c r="L401" s="187"/>
      <c r="M401" s="187"/>
      <c r="N401" s="187"/>
      <c r="O401" s="187"/>
      <c r="P401" s="187"/>
      <c r="Q401" s="187"/>
      <c r="R401" s="188"/>
      <c r="S401" s="187"/>
      <c r="T401" s="187"/>
      <c r="U401" s="187"/>
      <c r="V401" s="187"/>
      <c r="W401" s="187"/>
      <c r="X401" s="187"/>
      <c r="Y401" s="187"/>
      <c r="Z401" s="187"/>
      <c r="AA401" s="187"/>
      <c r="AB401" s="188"/>
      <c r="AC401" s="215"/>
      <c r="AD401" s="187"/>
      <c r="AE401" s="187"/>
      <c r="AF401" s="187"/>
      <c r="AG401" s="187"/>
      <c r="AH401" s="187"/>
      <c r="AI401" s="187"/>
      <c r="AJ401" s="187"/>
      <c r="AK401" s="189"/>
      <c r="AL401" s="188"/>
      <c r="AM401" s="188"/>
      <c r="AN401" s="188"/>
    </row>
    <row r="402" spans="1:40" x14ac:dyDescent="0.2">
      <c r="A402" s="187"/>
      <c r="B402" s="187"/>
      <c r="C402" s="187"/>
      <c r="D402" s="187"/>
      <c r="E402" s="187"/>
      <c r="F402" s="187"/>
      <c r="G402" s="187"/>
      <c r="H402" s="187"/>
      <c r="I402" s="187"/>
      <c r="J402" s="180"/>
      <c r="K402" s="180"/>
      <c r="L402" s="187"/>
      <c r="M402" s="187"/>
      <c r="N402" s="187"/>
      <c r="O402" s="187"/>
      <c r="P402" s="187"/>
      <c r="Q402" s="187"/>
      <c r="R402" s="188"/>
      <c r="S402" s="187"/>
      <c r="T402" s="187"/>
      <c r="U402" s="187"/>
      <c r="V402" s="187"/>
      <c r="W402" s="187"/>
      <c r="X402" s="187"/>
      <c r="Y402" s="187"/>
      <c r="Z402" s="187"/>
      <c r="AA402" s="187"/>
      <c r="AB402" s="188"/>
      <c r="AC402" s="215"/>
      <c r="AD402" s="187"/>
      <c r="AE402" s="187"/>
      <c r="AF402" s="187"/>
      <c r="AG402" s="187"/>
      <c r="AH402" s="187"/>
      <c r="AI402" s="187"/>
      <c r="AJ402" s="187"/>
      <c r="AK402" s="189"/>
      <c r="AL402" s="188"/>
      <c r="AM402" s="188"/>
      <c r="AN402" s="188"/>
    </row>
    <row r="403" spans="1:40" x14ac:dyDescent="0.2">
      <c r="A403" s="187"/>
      <c r="B403" s="187"/>
      <c r="C403" s="187"/>
      <c r="D403" s="187"/>
      <c r="E403" s="187"/>
      <c r="F403" s="187"/>
      <c r="G403" s="187"/>
      <c r="H403" s="187"/>
      <c r="I403" s="187"/>
      <c r="J403" s="180"/>
      <c r="K403" s="180"/>
      <c r="L403" s="187"/>
      <c r="M403" s="187"/>
      <c r="N403" s="187"/>
      <c r="O403" s="187"/>
      <c r="P403" s="187"/>
      <c r="Q403" s="187"/>
      <c r="R403" s="188"/>
      <c r="S403" s="187"/>
      <c r="T403" s="187"/>
      <c r="U403" s="187"/>
      <c r="V403" s="187"/>
      <c r="W403" s="187"/>
      <c r="X403" s="187"/>
      <c r="Y403" s="187"/>
      <c r="Z403" s="187"/>
      <c r="AA403" s="187"/>
      <c r="AB403" s="188"/>
      <c r="AC403" s="215"/>
      <c r="AD403" s="187"/>
      <c r="AE403" s="187"/>
      <c r="AF403" s="187"/>
      <c r="AG403" s="187"/>
      <c r="AH403" s="187"/>
      <c r="AI403" s="187"/>
      <c r="AJ403" s="187"/>
      <c r="AK403" s="189"/>
      <c r="AL403" s="188"/>
      <c r="AM403" s="188"/>
      <c r="AN403" s="188"/>
    </row>
    <row r="404" spans="1:40" x14ac:dyDescent="0.2">
      <c r="A404" s="187"/>
      <c r="B404" s="187"/>
      <c r="C404" s="187"/>
      <c r="D404" s="187"/>
      <c r="E404" s="187"/>
      <c r="F404" s="187"/>
      <c r="G404" s="187"/>
      <c r="H404" s="187"/>
      <c r="I404" s="187"/>
      <c r="J404" s="180"/>
      <c r="K404" s="180"/>
      <c r="L404" s="187"/>
      <c r="M404" s="187"/>
      <c r="N404" s="187"/>
      <c r="O404" s="187"/>
      <c r="P404" s="187"/>
      <c r="Q404" s="187"/>
      <c r="R404" s="188"/>
      <c r="S404" s="187"/>
      <c r="T404" s="187"/>
      <c r="U404" s="187"/>
      <c r="V404" s="187"/>
      <c r="W404" s="187"/>
      <c r="X404" s="187"/>
      <c r="Y404" s="187"/>
      <c r="Z404" s="187"/>
      <c r="AA404" s="187"/>
      <c r="AB404" s="188"/>
      <c r="AC404" s="215"/>
      <c r="AD404" s="187"/>
      <c r="AE404" s="187"/>
      <c r="AF404" s="187"/>
      <c r="AG404" s="187"/>
      <c r="AH404" s="187"/>
      <c r="AI404" s="187"/>
      <c r="AJ404" s="187"/>
      <c r="AK404" s="189"/>
      <c r="AL404" s="188"/>
      <c r="AM404" s="188"/>
      <c r="AN404" s="188"/>
    </row>
    <row r="405" spans="1:40" x14ac:dyDescent="0.2">
      <c r="A405" s="187"/>
      <c r="B405" s="187"/>
      <c r="C405" s="187"/>
      <c r="D405" s="187"/>
      <c r="E405" s="187"/>
      <c r="F405" s="187"/>
      <c r="G405" s="187"/>
      <c r="H405" s="187"/>
      <c r="I405" s="187"/>
      <c r="J405" s="180"/>
      <c r="K405" s="180"/>
      <c r="L405" s="187"/>
      <c r="M405" s="187"/>
      <c r="N405" s="187"/>
      <c r="O405" s="187"/>
      <c r="P405" s="187"/>
      <c r="Q405" s="187"/>
      <c r="R405" s="188"/>
      <c r="S405" s="187"/>
      <c r="T405" s="187"/>
      <c r="U405" s="187"/>
      <c r="V405" s="187"/>
      <c r="W405" s="187"/>
      <c r="X405" s="187"/>
      <c r="Y405" s="187"/>
      <c r="Z405" s="187"/>
      <c r="AA405" s="187"/>
      <c r="AB405" s="188"/>
      <c r="AC405" s="215"/>
      <c r="AD405" s="187"/>
      <c r="AE405" s="187"/>
      <c r="AF405" s="187"/>
      <c r="AG405" s="187"/>
      <c r="AH405" s="187"/>
      <c r="AI405" s="187"/>
      <c r="AJ405" s="187"/>
      <c r="AK405" s="189"/>
      <c r="AL405" s="188"/>
      <c r="AM405" s="188"/>
      <c r="AN405" s="188"/>
    </row>
    <row r="406" spans="1:40" x14ac:dyDescent="0.2">
      <c r="A406" s="187"/>
      <c r="B406" s="187"/>
      <c r="C406" s="187"/>
      <c r="D406" s="187"/>
      <c r="E406" s="187"/>
      <c r="F406" s="187"/>
      <c r="G406" s="187"/>
      <c r="H406" s="187"/>
      <c r="I406" s="187"/>
      <c r="J406" s="180"/>
      <c r="K406" s="180"/>
      <c r="L406" s="187"/>
      <c r="M406" s="187"/>
      <c r="N406" s="187"/>
      <c r="O406" s="187"/>
      <c r="P406" s="187"/>
      <c r="Q406" s="187"/>
      <c r="R406" s="188"/>
      <c r="S406" s="187"/>
      <c r="T406" s="187"/>
      <c r="U406" s="187"/>
      <c r="V406" s="187"/>
      <c r="W406" s="187"/>
      <c r="X406" s="187"/>
      <c r="Y406" s="187"/>
      <c r="Z406" s="187"/>
      <c r="AA406" s="187"/>
      <c r="AB406" s="188"/>
      <c r="AC406" s="215"/>
      <c r="AD406" s="187"/>
      <c r="AE406" s="187"/>
      <c r="AF406" s="187"/>
      <c r="AG406" s="187"/>
      <c r="AH406" s="187"/>
      <c r="AI406" s="187"/>
      <c r="AJ406" s="187"/>
      <c r="AK406" s="189"/>
      <c r="AL406" s="188"/>
      <c r="AM406" s="188"/>
      <c r="AN406" s="188"/>
    </row>
    <row r="407" spans="1:40" x14ac:dyDescent="0.2">
      <c r="A407" s="187"/>
      <c r="B407" s="187"/>
      <c r="C407" s="187"/>
      <c r="D407" s="187"/>
      <c r="E407" s="187"/>
      <c r="F407" s="187"/>
      <c r="G407" s="187"/>
      <c r="H407" s="187"/>
      <c r="I407" s="187"/>
      <c r="J407" s="180"/>
      <c r="K407" s="180"/>
      <c r="L407" s="187"/>
      <c r="M407" s="187"/>
      <c r="N407" s="187"/>
      <c r="O407" s="187"/>
      <c r="P407" s="187"/>
      <c r="Q407" s="187"/>
      <c r="R407" s="188"/>
      <c r="S407" s="187"/>
      <c r="T407" s="187"/>
      <c r="U407" s="187"/>
      <c r="V407" s="187"/>
      <c r="W407" s="187"/>
      <c r="X407" s="187"/>
      <c r="Y407" s="187"/>
      <c r="Z407" s="187"/>
      <c r="AA407" s="187"/>
      <c r="AB407" s="188"/>
      <c r="AC407" s="215"/>
      <c r="AD407" s="187"/>
      <c r="AE407" s="187"/>
      <c r="AF407" s="187"/>
      <c r="AG407" s="187"/>
      <c r="AH407" s="187"/>
      <c r="AI407" s="187"/>
      <c r="AJ407" s="187"/>
      <c r="AK407" s="189"/>
      <c r="AL407" s="188"/>
      <c r="AM407" s="188"/>
      <c r="AN407" s="188"/>
    </row>
    <row r="408" spans="1:40" x14ac:dyDescent="0.2">
      <c r="A408" s="187"/>
      <c r="B408" s="187"/>
      <c r="C408" s="187"/>
      <c r="D408" s="187"/>
      <c r="E408" s="187"/>
      <c r="F408" s="187"/>
      <c r="G408" s="187"/>
      <c r="H408" s="187"/>
      <c r="I408" s="187"/>
      <c r="J408" s="180"/>
      <c r="K408" s="180"/>
      <c r="L408" s="187"/>
      <c r="M408" s="187"/>
      <c r="N408" s="187"/>
      <c r="O408" s="187"/>
      <c r="P408" s="187"/>
      <c r="Q408" s="187"/>
      <c r="R408" s="188"/>
      <c r="S408" s="187"/>
      <c r="T408" s="187"/>
      <c r="U408" s="187"/>
      <c r="V408" s="187"/>
      <c r="W408" s="187"/>
      <c r="X408" s="187"/>
      <c r="Y408" s="187"/>
      <c r="Z408" s="187"/>
      <c r="AA408" s="187"/>
      <c r="AB408" s="188"/>
      <c r="AC408" s="215"/>
      <c r="AD408" s="187"/>
      <c r="AE408" s="187"/>
      <c r="AF408" s="187"/>
      <c r="AG408" s="187"/>
      <c r="AH408" s="187"/>
      <c r="AI408" s="187"/>
      <c r="AJ408" s="187"/>
      <c r="AK408" s="189"/>
      <c r="AL408" s="188"/>
      <c r="AM408" s="188"/>
      <c r="AN408" s="188"/>
    </row>
    <row r="409" spans="1:40" x14ac:dyDescent="0.2">
      <c r="A409" s="187"/>
      <c r="B409" s="187"/>
      <c r="C409" s="187"/>
      <c r="D409" s="187"/>
      <c r="E409" s="187"/>
      <c r="F409" s="187"/>
      <c r="G409" s="187"/>
      <c r="H409" s="187"/>
      <c r="I409" s="187"/>
      <c r="J409" s="180"/>
      <c r="K409" s="180"/>
      <c r="L409" s="187"/>
      <c r="M409" s="187"/>
      <c r="N409" s="187"/>
      <c r="O409" s="187"/>
      <c r="P409" s="187"/>
      <c r="Q409" s="187"/>
      <c r="R409" s="188"/>
      <c r="S409" s="187"/>
      <c r="T409" s="187"/>
      <c r="U409" s="187"/>
      <c r="V409" s="187"/>
      <c r="W409" s="187"/>
      <c r="X409" s="187"/>
      <c r="Y409" s="187"/>
      <c r="Z409" s="187"/>
      <c r="AA409" s="187"/>
      <c r="AB409" s="188"/>
      <c r="AC409" s="215"/>
      <c r="AD409" s="187"/>
      <c r="AE409" s="187"/>
      <c r="AF409" s="187"/>
      <c r="AG409" s="187"/>
      <c r="AH409" s="187"/>
      <c r="AI409" s="187"/>
      <c r="AJ409" s="187"/>
      <c r="AK409" s="189"/>
      <c r="AL409" s="188"/>
      <c r="AM409" s="188"/>
      <c r="AN409" s="188"/>
    </row>
    <row r="410" spans="1:40" x14ac:dyDescent="0.2">
      <c r="A410" s="187"/>
      <c r="B410" s="187"/>
      <c r="C410" s="187"/>
      <c r="D410" s="187"/>
      <c r="E410" s="187"/>
      <c r="F410" s="187"/>
      <c r="G410" s="187"/>
      <c r="H410" s="187"/>
      <c r="I410" s="187"/>
      <c r="J410" s="180"/>
      <c r="K410" s="180"/>
      <c r="L410" s="187"/>
      <c r="M410" s="187"/>
      <c r="N410" s="187"/>
      <c r="O410" s="187"/>
      <c r="P410" s="187"/>
      <c r="Q410" s="187"/>
      <c r="R410" s="188"/>
      <c r="S410" s="187"/>
      <c r="T410" s="187"/>
      <c r="U410" s="187"/>
      <c r="V410" s="187"/>
      <c r="W410" s="187"/>
      <c r="X410" s="187"/>
      <c r="Y410" s="187"/>
      <c r="Z410" s="187"/>
      <c r="AA410" s="187"/>
      <c r="AB410" s="188"/>
      <c r="AC410" s="215"/>
      <c r="AD410" s="187"/>
      <c r="AE410" s="187"/>
      <c r="AF410" s="187"/>
      <c r="AG410" s="187"/>
      <c r="AH410" s="187"/>
      <c r="AI410" s="187"/>
      <c r="AJ410" s="187"/>
      <c r="AK410" s="189"/>
      <c r="AL410" s="188"/>
      <c r="AM410" s="188"/>
      <c r="AN410" s="188"/>
    </row>
    <row r="411" spans="1:40" x14ac:dyDescent="0.2">
      <c r="A411" s="187"/>
      <c r="B411" s="187"/>
      <c r="C411" s="187"/>
      <c r="D411" s="187"/>
      <c r="E411" s="187"/>
      <c r="F411" s="187"/>
      <c r="G411" s="187"/>
      <c r="H411" s="187"/>
      <c r="I411" s="187"/>
      <c r="J411" s="180"/>
      <c r="K411" s="180"/>
      <c r="L411" s="187"/>
      <c r="M411" s="187"/>
      <c r="N411" s="187"/>
      <c r="O411" s="187"/>
      <c r="P411" s="187"/>
      <c r="Q411" s="187"/>
      <c r="R411" s="188"/>
      <c r="S411" s="187"/>
      <c r="T411" s="187"/>
      <c r="U411" s="187"/>
      <c r="V411" s="187"/>
      <c r="W411" s="187"/>
      <c r="X411" s="187"/>
      <c r="Y411" s="187"/>
      <c r="Z411" s="187"/>
      <c r="AA411" s="187"/>
      <c r="AB411" s="188"/>
      <c r="AC411" s="215"/>
      <c r="AD411" s="187"/>
      <c r="AE411" s="187"/>
      <c r="AF411" s="187"/>
      <c r="AG411" s="187"/>
      <c r="AH411" s="187"/>
      <c r="AI411" s="187"/>
      <c r="AJ411" s="187"/>
      <c r="AK411" s="189"/>
      <c r="AL411" s="188"/>
      <c r="AM411" s="188"/>
      <c r="AN411" s="188"/>
    </row>
    <row r="412" spans="1:40" x14ac:dyDescent="0.2">
      <c r="A412" s="187"/>
      <c r="B412" s="187"/>
      <c r="C412" s="187"/>
      <c r="D412" s="187"/>
      <c r="E412" s="187"/>
      <c r="F412" s="187"/>
      <c r="G412" s="187"/>
      <c r="H412" s="187"/>
      <c r="I412" s="187"/>
      <c r="J412" s="180"/>
      <c r="K412" s="180"/>
      <c r="L412" s="187"/>
      <c r="M412" s="187"/>
      <c r="N412" s="187"/>
      <c r="O412" s="187"/>
      <c r="P412" s="187"/>
      <c r="Q412" s="187"/>
      <c r="R412" s="188"/>
      <c r="S412" s="187"/>
      <c r="T412" s="187"/>
      <c r="U412" s="187"/>
      <c r="V412" s="187"/>
      <c r="W412" s="187"/>
      <c r="X412" s="187"/>
      <c r="Y412" s="187"/>
      <c r="Z412" s="187"/>
      <c r="AA412" s="187"/>
      <c r="AB412" s="188"/>
      <c r="AC412" s="215"/>
      <c r="AD412" s="187"/>
      <c r="AE412" s="187"/>
      <c r="AF412" s="187"/>
      <c r="AG412" s="187"/>
      <c r="AH412" s="187"/>
      <c r="AI412" s="187"/>
      <c r="AJ412" s="187"/>
      <c r="AK412" s="189"/>
      <c r="AL412" s="188"/>
      <c r="AM412" s="188"/>
      <c r="AN412" s="188"/>
    </row>
    <row r="413" spans="1:40" x14ac:dyDescent="0.2">
      <c r="A413" s="187"/>
      <c r="B413" s="187"/>
      <c r="C413" s="187"/>
      <c r="D413" s="187"/>
      <c r="E413" s="187"/>
      <c r="F413" s="187"/>
      <c r="G413" s="187"/>
      <c r="H413" s="187"/>
      <c r="I413" s="187"/>
      <c r="J413" s="180"/>
      <c r="K413" s="180"/>
      <c r="L413" s="187"/>
      <c r="M413" s="187"/>
      <c r="N413" s="187"/>
      <c r="O413" s="187"/>
      <c r="P413" s="187"/>
      <c r="Q413" s="187"/>
      <c r="R413" s="188"/>
      <c r="S413" s="187"/>
      <c r="T413" s="187"/>
      <c r="U413" s="187"/>
      <c r="V413" s="187"/>
      <c r="W413" s="187"/>
      <c r="X413" s="187"/>
      <c r="Y413" s="187"/>
      <c r="Z413" s="187"/>
      <c r="AA413" s="187"/>
      <c r="AB413" s="188"/>
      <c r="AC413" s="215"/>
      <c r="AD413" s="187"/>
      <c r="AE413" s="187"/>
      <c r="AF413" s="187"/>
      <c r="AG413" s="187"/>
      <c r="AH413" s="187"/>
      <c r="AI413" s="187"/>
      <c r="AJ413" s="187"/>
      <c r="AK413" s="189"/>
      <c r="AL413" s="188"/>
      <c r="AM413" s="188"/>
      <c r="AN413" s="188"/>
    </row>
    <row r="414" spans="1:40" x14ac:dyDescent="0.2">
      <c r="A414" s="187"/>
      <c r="B414" s="187"/>
      <c r="C414" s="187"/>
      <c r="D414" s="187"/>
      <c r="E414" s="187"/>
      <c r="F414" s="187"/>
      <c r="G414" s="187"/>
      <c r="H414" s="187"/>
      <c r="I414" s="187"/>
      <c r="J414" s="180"/>
      <c r="K414" s="180"/>
      <c r="L414" s="187"/>
      <c r="M414" s="187"/>
      <c r="N414" s="187"/>
      <c r="O414" s="187"/>
      <c r="P414" s="187"/>
      <c r="Q414" s="187"/>
      <c r="R414" s="188"/>
      <c r="S414" s="187"/>
      <c r="T414" s="187"/>
      <c r="U414" s="187"/>
      <c r="V414" s="187"/>
      <c r="W414" s="187"/>
      <c r="X414" s="187"/>
      <c r="Y414" s="187"/>
      <c r="Z414" s="187"/>
      <c r="AA414" s="187"/>
      <c r="AB414" s="188"/>
      <c r="AC414" s="215"/>
      <c r="AD414" s="187"/>
      <c r="AE414" s="187"/>
      <c r="AF414" s="187"/>
      <c r="AG414" s="187"/>
      <c r="AH414" s="187"/>
      <c r="AI414" s="187"/>
      <c r="AJ414" s="187"/>
      <c r="AK414" s="189"/>
      <c r="AL414" s="188"/>
      <c r="AM414" s="188"/>
      <c r="AN414" s="188"/>
    </row>
    <row r="415" spans="1:40" x14ac:dyDescent="0.2">
      <c r="A415" s="187"/>
      <c r="B415" s="187"/>
      <c r="C415" s="187"/>
      <c r="D415" s="187"/>
      <c r="E415" s="187"/>
      <c r="F415" s="187"/>
      <c r="G415" s="187"/>
      <c r="H415" s="187"/>
      <c r="I415" s="187"/>
      <c r="J415" s="180"/>
      <c r="K415" s="180"/>
      <c r="L415" s="187"/>
      <c r="M415" s="187"/>
      <c r="N415" s="187"/>
      <c r="O415" s="187"/>
      <c r="P415" s="187"/>
      <c r="Q415" s="187"/>
      <c r="R415" s="188"/>
      <c r="S415" s="187"/>
      <c r="T415" s="187"/>
      <c r="U415" s="187"/>
      <c r="V415" s="187"/>
      <c r="W415" s="187"/>
      <c r="X415" s="187"/>
      <c r="Y415" s="187"/>
      <c r="Z415" s="187"/>
      <c r="AA415" s="187"/>
      <c r="AB415" s="188"/>
      <c r="AC415" s="215"/>
      <c r="AD415" s="187"/>
      <c r="AE415" s="187"/>
      <c r="AF415" s="187"/>
      <c r="AG415" s="187"/>
      <c r="AH415" s="187"/>
      <c r="AI415" s="187"/>
      <c r="AJ415" s="187"/>
      <c r="AK415" s="189"/>
      <c r="AL415" s="188"/>
      <c r="AM415" s="188"/>
      <c r="AN415" s="188"/>
    </row>
    <row r="416" spans="1:40" x14ac:dyDescent="0.2">
      <c r="A416" s="187"/>
      <c r="B416" s="187"/>
      <c r="C416" s="187"/>
      <c r="D416" s="187"/>
      <c r="E416" s="187"/>
      <c r="F416" s="187"/>
      <c r="G416" s="187"/>
      <c r="H416" s="187"/>
      <c r="I416" s="187"/>
      <c r="J416" s="180"/>
      <c r="K416" s="180"/>
      <c r="L416" s="187"/>
      <c r="M416" s="187"/>
      <c r="N416" s="187"/>
      <c r="O416" s="187"/>
      <c r="P416" s="187"/>
      <c r="Q416" s="187"/>
      <c r="R416" s="188"/>
      <c r="S416" s="187"/>
      <c r="T416" s="187"/>
      <c r="U416" s="187"/>
      <c r="V416" s="187"/>
      <c r="W416" s="187"/>
      <c r="X416" s="187"/>
      <c r="Y416" s="187"/>
      <c r="Z416" s="187"/>
      <c r="AA416" s="187"/>
      <c r="AB416" s="188"/>
      <c r="AC416" s="215"/>
      <c r="AD416" s="187"/>
      <c r="AE416" s="187"/>
      <c r="AF416" s="187"/>
      <c r="AG416" s="187"/>
      <c r="AH416" s="187"/>
      <c r="AI416" s="187"/>
      <c r="AJ416" s="187"/>
      <c r="AK416" s="189"/>
      <c r="AL416" s="188"/>
      <c r="AM416" s="188"/>
      <c r="AN416" s="188"/>
    </row>
    <row r="417" spans="1:40" x14ac:dyDescent="0.2">
      <c r="A417" s="187"/>
      <c r="B417" s="187"/>
      <c r="C417" s="187"/>
      <c r="D417" s="187"/>
      <c r="E417" s="187"/>
      <c r="F417" s="187"/>
      <c r="G417" s="187"/>
      <c r="H417" s="187"/>
      <c r="I417" s="187"/>
      <c r="J417" s="180"/>
      <c r="K417" s="180"/>
      <c r="L417" s="187"/>
      <c r="M417" s="187"/>
      <c r="N417" s="187"/>
      <c r="O417" s="187"/>
      <c r="P417" s="187"/>
      <c r="Q417" s="187"/>
      <c r="R417" s="188"/>
      <c r="S417" s="187"/>
      <c r="T417" s="187"/>
      <c r="U417" s="187"/>
      <c r="V417" s="187"/>
      <c r="W417" s="187"/>
      <c r="X417" s="187"/>
      <c r="Y417" s="187"/>
      <c r="Z417" s="187"/>
      <c r="AA417" s="187"/>
      <c r="AB417" s="188"/>
      <c r="AC417" s="215"/>
      <c r="AD417" s="187"/>
      <c r="AE417" s="187"/>
      <c r="AF417" s="187"/>
      <c r="AG417" s="187"/>
      <c r="AH417" s="187"/>
      <c r="AI417" s="187"/>
      <c r="AJ417" s="187"/>
      <c r="AK417" s="189"/>
      <c r="AL417" s="188"/>
      <c r="AM417" s="188"/>
      <c r="AN417" s="188"/>
    </row>
    <row r="418" spans="1:40" x14ac:dyDescent="0.2">
      <c r="A418" s="187"/>
    </row>
    <row r="460" spans="6:30" ht="13.5" thickBot="1" x14ac:dyDescent="0.25"/>
    <row r="461" spans="6:30" ht="51" x14ac:dyDescent="0.2">
      <c r="F461" s="191" t="s">
        <v>1241</v>
      </c>
      <c r="H461" s="22" t="s">
        <v>70</v>
      </c>
      <c r="L461" s="175"/>
      <c r="O461" s="192" t="s">
        <v>1242</v>
      </c>
      <c r="P461" s="193" t="s">
        <v>1243</v>
      </c>
      <c r="Q461" s="193"/>
      <c r="R461" s="194" t="s">
        <v>34</v>
      </c>
      <c r="S461" s="193"/>
      <c r="T461" s="193" t="s">
        <v>1244</v>
      </c>
      <c r="U461" s="195" t="s">
        <v>1245</v>
      </c>
      <c r="V461" s="195"/>
      <c r="W461" s="193" t="s">
        <v>1246</v>
      </c>
      <c r="X461" s="196" t="s">
        <v>1247</v>
      </c>
      <c r="Y461" s="197"/>
      <c r="Z461" s="197"/>
      <c r="AA461" s="197"/>
      <c r="AD461" s="193" t="s">
        <v>1248</v>
      </c>
    </row>
    <row r="462" spans="6:30" x14ac:dyDescent="0.2">
      <c r="F462" s="198" t="s">
        <v>1249</v>
      </c>
      <c r="H462" s="22" t="s">
        <v>249</v>
      </c>
      <c r="L462" s="175" t="s">
        <v>121</v>
      </c>
      <c r="O462" s="199"/>
      <c r="P462" s="199"/>
      <c r="Q462" s="199"/>
      <c r="R462" s="200"/>
      <c r="S462" s="199"/>
      <c r="T462" s="199"/>
      <c r="U462" s="201"/>
      <c r="V462" s="201"/>
      <c r="W462" s="199"/>
      <c r="X462" s="199"/>
      <c r="Y462" s="199"/>
      <c r="Z462" s="199"/>
      <c r="AA462" s="199"/>
    </row>
    <row r="463" spans="6:30" x14ac:dyDescent="0.2">
      <c r="F463" s="202" t="s">
        <v>1250</v>
      </c>
      <c r="H463" s="22" t="s">
        <v>302</v>
      </c>
      <c r="L463" s="175" t="s">
        <v>50</v>
      </c>
      <c r="O463" s="22" t="s">
        <v>1251</v>
      </c>
      <c r="P463" s="203" t="s">
        <v>147</v>
      </c>
      <c r="Q463" s="203"/>
      <c r="R463" s="204" t="s">
        <v>441</v>
      </c>
      <c r="S463" s="22"/>
      <c r="T463" s="22" t="s">
        <v>100</v>
      </c>
      <c r="U463" s="205" t="s">
        <v>1023</v>
      </c>
      <c r="V463" s="205"/>
      <c r="W463" s="206" t="s">
        <v>1252</v>
      </c>
      <c r="AD463" s="173" t="s">
        <v>527</v>
      </c>
    </row>
    <row r="464" spans="6:30" x14ac:dyDescent="0.2">
      <c r="F464" s="207" t="s">
        <v>1253</v>
      </c>
      <c r="H464" s="22" t="s">
        <v>1254</v>
      </c>
      <c r="L464" s="175" t="s">
        <v>93</v>
      </c>
      <c r="O464" s="22" t="s">
        <v>1255</v>
      </c>
      <c r="P464" s="203" t="s">
        <v>1256</v>
      </c>
      <c r="Q464" s="203"/>
      <c r="R464" s="204" t="s">
        <v>1257</v>
      </c>
      <c r="S464" s="22"/>
      <c r="T464" s="22" t="s">
        <v>1258</v>
      </c>
      <c r="U464" s="205" t="s">
        <v>418</v>
      </c>
      <c r="V464" s="205"/>
      <c r="W464" s="206" t="s">
        <v>1259</v>
      </c>
      <c r="AD464" s="173" t="s">
        <v>266</v>
      </c>
    </row>
    <row r="465" spans="6:30" x14ac:dyDescent="0.2">
      <c r="F465" s="208" t="s">
        <v>1260</v>
      </c>
      <c r="H465" s="22" t="s">
        <v>443</v>
      </c>
      <c r="L465" s="175" t="s">
        <v>75</v>
      </c>
      <c r="O465" s="22" t="s">
        <v>1261</v>
      </c>
      <c r="P465" s="203" t="s">
        <v>905</v>
      </c>
      <c r="Q465" s="203"/>
      <c r="R465" s="204" t="s">
        <v>113</v>
      </c>
      <c r="S465" s="22"/>
      <c r="T465" s="22" t="s">
        <v>1262</v>
      </c>
      <c r="U465" s="205" t="s">
        <v>1120</v>
      </c>
      <c r="V465" s="205"/>
      <c r="W465" s="206" t="s">
        <v>1263</v>
      </c>
      <c r="AD465" s="173" t="s">
        <v>62</v>
      </c>
    </row>
    <row r="466" spans="6:30" x14ac:dyDescent="0.2">
      <c r="F466" s="207" t="s">
        <v>1264</v>
      </c>
      <c r="H466" s="22" t="s">
        <v>43</v>
      </c>
      <c r="L466" s="175" t="s">
        <v>423</v>
      </c>
      <c r="O466" s="22" t="s">
        <v>1265</v>
      </c>
      <c r="P466" s="203" t="s">
        <v>128</v>
      </c>
      <c r="Q466" s="203"/>
      <c r="R466" s="204" t="s">
        <v>338</v>
      </c>
      <c r="S466" s="22"/>
      <c r="T466" s="22" t="s">
        <v>1266</v>
      </c>
      <c r="U466" s="205" t="s">
        <v>130</v>
      </c>
      <c r="V466" s="205"/>
      <c r="W466" s="206" t="s">
        <v>1267</v>
      </c>
      <c r="AD466" s="173" t="s">
        <v>100</v>
      </c>
    </row>
    <row r="467" spans="6:30" x14ac:dyDescent="0.2">
      <c r="F467" s="207" t="s">
        <v>1268</v>
      </c>
      <c r="H467" s="22" t="s">
        <v>640</v>
      </c>
      <c r="L467" s="175" t="s">
        <v>271</v>
      </c>
      <c r="O467" s="22" t="s">
        <v>1269</v>
      </c>
      <c r="P467" s="203" t="s">
        <v>254</v>
      </c>
      <c r="Q467" s="203"/>
      <c r="R467" s="204" t="s">
        <v>61</v>
      </c>
      <c r="S467" s="22"/>
      <c r="T467" s="22" t="s">
        <v>176</v>
      </c>
      <c r="U467" s="205" t="s">
        <v>101</v>
      </c>
      <c r="V467" s="205"/>
      <c r="W467" s="206" t="s">
        <v>1270</v>
      </c>
      <c r="AD467" s="173" t="s">
        <v>114</v>
      </c>
    </row>
    <row r="468" spans="6:30" x14ac:dyDescent="0.2">
      <c r="F468" s="207" t="s">
        <v>1271</v>
      </c>
      <c r="H468" s="22" t="s">
        <v>735</v>
      </c>
      <c r="L468" s="175" t="s">
        <v>219</v>
      </c>
      <c r="O468" s="22" t="s">
        <v>1272</v>
      </c>
      <c r="P468" s="203" t="s">
        <v>1273</v>
      </c>
      <c r="Q468" s="203"/>
      <c r="R468" s="204" t="s">
        <v>186</v>
      </c>
      <c r="S468" s="22"/>
      <c r="T468" s="22" t="s">
        <v>1274</v>
      </c>
      <c r="U468" s="205" t="s">
        <v>247</v>
      </c>
      <c r="V468" s="205"/>
      <c r="W468" s="206" t="s">
        <v>1275</v>
      </c>
      <c r="X468" s="199"/>
      <c r="Y468" s="199"/>
      <c r="Z468" s="199"/>
      <c r="AA468" s="199"/>
      <c r="AD468" s="173" t="s">
        <v>408</v>
      </c>
    </row>
    <row r="469" spans="6:30" x14ac:dyDescent="0.2">
      <c r="F469" s="208" t="s">
        <v>1276</v>
      </c>
      <c r="H469" s="22" t="s">
        <v>767</v>
      </c>
      <c r="L469" s="175" t="s">
        <v>182</v>
      </c>
      <c r="O469" s="22" t="s">
        <v>1277</v>
      </c>
      <c r="P469" s="203" t="s">
        <v>60</v>
      </c>
      <c r="Q469" s="203"/>
      <c r="R469" s="204" t="s">
        <v>1278</v>
      </c>
      <c r="S469" s="22"/>
      <c r="T469" s="22" t="s">
        <v>1279</v>
      </c>
      <c r="U469" s="205" t="s">
        <v>1280</v>
      </c>
      <c r="V469" s="205"/>
      <c r="W469" s="206" t="s">
        <v>1281</v>
      </c>
      <c r="X469" s="199"/>
      <c r="Y469" s="199"/>
      <c r="Z469" s="199"/>
      <c r="AA469" s="199"/>
      <c r="AD469" s="173" t="s">
        <v>176</v>
      </c>
    </row>
    <row r="470" spans="6:30" x14ac:dyDescent="0.2">
      <c r="F470" s="207" t="s">
        <v>1282</v>
      </c>
      <c r="H470" s="22" t="s">
        <v>816</v>
      </c>
      <c r="L470" s="175" t="s">
        <v>1176</v>
      </c>
      <c r="O470" s="199"/>
      <c r="P470" s="203" t="s">
        <v>175</v>
      </c>
      <c r="Q470" s="203"/>
      <c r="R470" s="204" t="s">
        <v>207</v>
      </c>
      <c r="S470" s="22"/>
      <c r="T470" s="22" t="s">
        <v>266</v>
      </c>
      <c r="U470" s="205" t="s">
        <v>63</v>
      </c>
      <c r="V470" s="205"/>
      <c r="W470" s="206" t="s">
        <v>1283</v>
      </c>
      <c r="X470" s="199"/>
      <c r="Y470" s="199"/>
      <c r="Z470" s="199"/>
      <c r="AA470" s="199"/>
      <c r="AD470" s="173" t="s">
        <v>237</v>
      </c>
    </row>
    <row r="471" spans="6:30" x14ac:dyDescent="0.2">
      <c r="F471" s="209" t="s">
        <v>1284</v>
      </c>
      <c r="H471" s="22" t="s">
        <v>908</v>
      </c>
      <c r="L471" s="175" t="s">
        <v>611</v>
      </c>
      <c r="O471" s="199"/>
      <c r="P471" s="203" t="s">
        <v>319</v>
      </c>
      <c r="Q471" s="203"/>
      <c r="R471" s="204" t="s">
        <v>1285</v>
      </c>
      <c r="S471" s="22"/>
      <c r="T471" s="22" t="s">
        <v>114</v>
      </c>
      <c r="U471" s="205" t="s">
        <v>115</v>
      </c>
      <c r="V471" s="205"/>
      <c r="W471" s="206" t="s">
        <v>1286</v>
      </c>
      <c r="X471" s="199"/>
      <c r="Y471" s="199"/>
      <c r="Z471" s="199"/>
      <c r="AA471" s="199"/>
    </row>
    <row r="472" spans="6:30" x14ac:dyDescent="0.2">
      <c r="F472" s="209" t="s">
        <v>1287</v>
      </c>
      <c r="H472" s="22" t="s">
        <v>1056</v>
      </c>
      <c r="L472" s="175" t="s">
        <v>531</v>
      </c>
      <c r="O472" s="199"/>
      <c r="P472" s="203" t="s">
        <v>1288</v>
      </c>
      <c r="Q472" s="203"/>
      <c r="R472" s="204" t="s">
        <v>1289</v>
      </c>
      <c r="S472" s="22"/>
      <c r="T472" s="22" t="s">
        <v>238</v>
      </c>
      <c r="U472" s="205" t="s">
        <v>85</v>
      </c>
      <c r="V472" s="205"/>
      <c r="W472" s="206" t="s">
        <v>1290</v>
      </c>
      <c r="X472" s="199"/>
      <c r="Y472" s="199"/>
      <c r="Z472" s="199"/>
      <c r="AA472" s="199"/>
    </row>
    <row r="473" spans="6:30" x14ac:dyDescent="0.2">
      <c r="F473" s="207" t="s">
        <v>1291</v>
      </c>
      <c r="L473" s="175" t="s">
        <v>142</v>
      </c>
      <c r="O473" s="199"/>
      <c r="P473" s="203" t="s">
        <v>1119</v>
      </c>
      <c r="Q473" s="203"/>
      <c r="R473" s="204" t="s">
        <v>414</v>
      </c>
      <c r="S473" s="22"/>
      <c r="T473" s="22" t="s">
        <v>1292</v>
      </c>
      <c r="U473" s="205" t="s">
        <v>156</v>
      </c>
      <c r="V473" s="205"/>
      <c r="W473" s="206" t="s">
        <v>1293</v>
      </c>
      <c r="X473" s="199"/>
      <c r="Y473" s="199"/>
      <c r="Z473" s="199"/>
      <c r="AA473" s="199"/>
    </row>
    <row r="474" spans="6:30" x14ac:dyDescent="0.2">
      <c r="F474" s="208" t="s">
        <v>1294</v>
      </c>
      <c r="L474" s="175"/>
      <c r="O474" s="199"/>
      <c r="P474" s="203" t="s">
        <v>166</v>
      </c>
      <c r="Q474" s="203"/>
      <c r="R474" s="204"/>
      <c r="S474" s="22"/>
      <c r="T474" s="22" t="s">
        <v>1295</v>
      </c>
      <c r="U474" s="205" t="s">
        <v>199</v>
      </c>
      <c r="V474" s="205"/>
      <c r="W474" s="206" t="s">
        <v>1296</v>
      </c>
      <c r="X474" s="199"/>
      <c r="Y474" s="199"/>
      <c r="Z474" s="199"/>
      <c r="AA474" s="199"/>
    </row>
    <row r="475" spans="6:30" x14ac:dyDescent="0.2">
      <c r="F475" s="208" t="s">
        <v>1297</v>
      </c>
      <c r="L475" s="175"/>
      <c r="O475" s="199"/>
      <c r="P475" s="203" t="s">
        <v>1298</v>
      </c>
      <c r="Q475" s="203"/>
      <c r="R475" s="204"/>
      <c r="S475" s="22"/>
      <c r="T475" s="22" t="s">
        <v>1299</v>
      </c>
      <c r="U475" s="205" t="s">
        <v>177</v>
      </c>
      <c r="V475" s="205"/>
      <c r="W475" s="206" t="s">
        <v>1300</v>
      </c>
      <c r="X475" s="199"/>
      <c r="Y475" s="199"/>
      <c r="Z475" s="199"/>
      <c r="AA475" s="199"/>
    </row>
    <row r="476" spans="6:30" x14ac:dyDescent="0.2">
      <c r="F476" s="208" t="s">
        <v>1301</v>
      </c>
      <c r="L476" s="175"/>
      <c r="O476" s="199"/>
      <c r="P476" s="203" t="s">
        <v>83</v>
      </c>
      <c r="Q476" s="203"/>
      <c r="R476" s="204"/>
      <c r="S476" s="22"/>
      <c r="T476" s="22"/>
      <c r="U476" s="205" t="s">
        <v>560</v>
      </c>
      <c r="V476" s="205"/>
      <c r="W476" s="206" t="s">
        <v>1302</v>
      </c>
      <c r="X476" s="199"/>
      <c r="Y476" s="199"/>
      <c r="Z476" s="199"/>
      <c r="AA476" s="199"/>
    </row>
    <row r="477" spans="6:30" x14ac:dyDescent="0.2">
      <c r="F477" s="41" t="s">
        <v>1303</v>
      </c>
      <c r="L477" s="175"/>
      <c r="O477" s="199"/>
      <c r="P477" s="203" t="s">
        <v>213</v>
      </c>
      <c r="Q477" s="203"/>
      <c r="R477" s="204"/>
      <c r="S477" s="22"/>
      <c r="T477" s="22"/>
      <c r="U477" s="205" t="s">
        <v>237</v>
      </c>
      <c r="V477" s="205"/>
      <c r="W477" s="206" t="s">
        <v>1304</v>
      </c>
      <c r="X477" s="199"/>
      <c r="Y477" s="199"/>
      <c r="Z477" s="199"/>
      <c r="AA477" s="199"/>
    </row>
    <row r="478" spans="6:30" x14ac:dyDescent="0.2">
      <c r="F478" s="175"/>
      <c r="L478" s="175"/>
      <c r="O478" s="199"/>
      <c r="P478" s="203" t="s">
        <v>112</v>
      </c>
      <c r="Q478" s="203"/>
      <c r="R478" s="204"/>
      <c r="S478" s="22"/>
      <c r="T478" s="22"/>
      <c r="U478" s="205"/>
      <c r="V478" s="205"/>
      <c r="W478" s="206" t="s">
        <v>237</v>
      </c>
      <c r="X478" s="199"/>
      <c r="Y478" s="199"/>
      <c r="Z478" s="199"/>
      <c r="AA478" s="199"/>
    </row>
    <row r="479" spans="6:30" x14ac:dyDescent="0.2">
      <c r="F479" s="175"/>
      <c r="L479" s="175"/>
      <c r="O479" s="199"/>
      <c r="P479" s="203" t="s">
        <v>1305</v>
      </c>
      <c r="Q479" s="203"/>
      <c r="R479" s="204"/>
      <c r="S479" s="22"/>
      <c r="T479" s="22"/>
      <c r="U479" s="205"/>
      <c r="V479" s="205"/>
      <c r="W479" s="206" t="s">
        <v>1306</v>
      </c>
      <c r="X479" s="199"/>
      <c r="Y479" s="199"/>
      <c r="Z479" s="199"/>
      <c r="AA479" s="199"/>
    </row>
    <row r="480" spans="6:30" x14ac:dyDescent="0.2">
      <c r="F480" s="175"/>
      <c r="L480" s="175"/>
      <c r="O480" s="199"/>
      <c r="P480" s="203" t="s">
        <v>289</v>
      </c>
      <c r="Q480" s="203"/>
      <c r="R480" s="204"/>
      <c r="S480" s="22"/>
      <c r="T480" s="22"/>
      <c r="U480" s="205"/>
      <c r="V480" s="205"/>
      <c r="W480" s="206"/>
      <c r="X480" s="199"/>
      <c r="Y480" s="199"/>
      <c r="Z480" s="199"/>
      <c r="AA480" s="199"/>
    </row>
    <row r="481" spans="6:27" x14ac:dyDescent="0.2">
      <c r="F481" s="175"/>
      <c r="L481" s="175"/>
      <c r="O481" s="199"/>
      <c r="P481" s="203" t="s">
        <v>99</v>
      </c>
      <c r="Q481" s="203"/>
      <c r="R481" s="204"/>
      <c r="S481" s="22"/>
      <c r="T481" s="22"/>
      <c r="U481" s="205"/>
      <c r="V481" s="205"/>
      <c r="W481" s="206"/>
      <c r="X481" s="199"/>
      <c r="Y481" s="199"/>
      <c r="Z481" s="199"/>
      <c r="AA481" s="199"/>
    </row>
    <row r="482" spans="6:27" x14ac:dyDescent="0.2">
      <c r="F482" s="175"/>
      <c r="L482" s="175"/>
      <c r="U482" s="175"/>
      <c r="V482" s="175"/>
    </row>
    <row r="483" spans="6:27" x14ac:dyDescent="0.2">
      <c r="F483" s="175"/>
      <c r="L483" s="175"/>
      <c r="U483" s="175"/>
      <c r="V483" s="175"/>
    </row>
    <row r="484" spans="6:27" x14ac:dyDescent="0.2">
      <c r="F484" s="175"/>
      <c r="L484" s="175"/>
      <c r="U484" s="175"/>
      <c r="V484" s="175"/>
    </row>
    <row r="485" spans="6:27" x14ac:dyDescent="0.2">
      <c r="F485" s="175"/>
      <c r="L485" s="175"/>
      <c r="U485" s="175"/>
      <c r="V485" s="175"/>
    </row>
    <row r="486" spans="6:27" x14ac:dyDescent="0.2">
      <c r="F486" s="175"/>
      <c r="L486" s="175"/>
      <c r="U486" s="175"/>
      <c r="V486" s="175"/>
    </row>
    <row r="487" spans="6:27" x14ac:dyDescent="0.2">
      <c r="F487" s="175"/>
      <c r="L487" s="175"/>
      <c r="U487" s="175"/>
      <c r="V487" s="175"/>
    </row>
    <row r="488" spans="6:27" x14ac:dyDescent="0.2">
      <c r="F488" s="175"/>
      <c r="L488" s="175"/>
      <c r="U488" s="175"/>
      <c r="V488" s="175"/>
    </row>
    <row r="489" spans="6:27" x14ac:dyDescent="0.2">
      <c r="F489" s="175"/>
      <c r="L489" s="175"/>
      <c r="U489" s="175"/>
      <c r="V489" s="175"/>
    </row>
    <row r="490" spans="6:27" x14ac:dyDescent="0.2">
      <c r="F490" s="175"/>
      <c r="L490" s="175"/>
      <c r="U490" s="175"/>
      <c r="V490" s="175"/>
    </row>
    <row r="491" spans="6:27" x14ac:dyDescent="0.2">
      <c r="F491" s="175"/>
      <c r="L491" s="175"/>
      <c r="U491" s="175"/>
      <c r="V491" s="175"/>
    </row>
    <row r="492" spans="6:27" x14ac:dyDescent="0.2">
      <c r="F492" s="175"/>
      <c r="L492" s="175"/>
      <c r="U492" s="175"/>
      <c r="V492" s="175"/>
    </row>
    <row r="493" spans="6:27" x14ac:dyDescent="0.2">
      <c r="F493" s="175"/>
      <c r="L493" s="175"/>
      <c r="U493" s="175"/>
      <c r="V493" s="175"/>
    </row>
    <row r="494" spans="6:27" x14ac:dyDescent="0.2">
      <c r="F494" s="175"/>
      <c r="L494" s="175"/>
      <c r="U494" s="175"/>
      <c r="V494" s="175"/>
    </row>
    <row r="495" spans="6:27" x14ac:dyDescent="0.2">
      <c r="F495" s="175"/>
      <c r="L495" s="175"/>
      <c r="U495" s="175"/>
      <c r="V495" s="175"/>
    </row>
    <row r="496" spans="6:27" x14ac:dyDescent="0.2">
      <c r="F496" s="175"/>
      <c r="L496" s="175"/>
      <c r="U496" s="175"/>
      <c r="V496" s="175"/>
    </row>
    <row r="497" spans="6:22" x14ac:dyDescent="0.2">
      <c r="F497" s="175"/>
      <c r="L497" s="175"/>
      <c r="U497" s="175"/>
      <c r="V497" s="175"/>
    </row>
    <row r="498" spans="6:22" x14ac:dyDescent="0.2">
      <c r="F498" s="175"/>
      <c r="L498" s="175"/>
      <c r="U498" s="175"/>
      <c r="V498" s="175"/>
    </row>
  </sheetData>
  <autoFilter ref="A6:AP357" xr:uid="{00000000-0001-0000-0000-000000000000}">
    <filterColumn colId="1">
      <filters>
        <filter val="ENERO"/>
        <filter val="FEBRERO"/>
      </filters>
    </filterColumn>
    <filterColumn colId="15">
      <filters>
        <filter val="CTP"/>
      </filters>
    </filterColumn>
  </autoFilter>
  <dataConsolidate/>
  <mergeCells count="1">
    <mergeCell ref="E1:O1"/>
  </mergeCells>
  <phoneticPr fontId="23" type="noConversion"/>
  <dataValidations count="5">
    <dataValidation type="list" allowBlank="1" showInputMessage="1" showErrorMessage="1" sqref="S360:S65555 S6 S145:S357" xr:uid="{00000000-0002-0000-0000-000000000000}">
      <formula1>$L$462:$L$473</formula1>
    </dataValidation>
    <dataValidation type="list" allowBlank="1" showInputMessage="1" showErrorMessage="1" sqref="AJ7:AJ114 AG7:AH114 AJ118:AJ147 AG118:AH144 AG146:AH147" xr:uid="{017B0386-D57C-4255-A4AA-06B8BC395F7F}">
      <formula1>#REF!</formula1>
    </dataValidation>
    <dataValidation type="list" allowBlank="1" showInputMessage="1" showErrorMessage="1" sqref="AI7:AI114 AI118:AI147" xr:uid="{CCA1DB52-B055-43D6-8475-0C500773BE3C}">
      <formula1>$AD$245:$AD$252</formula1>
    </dataValidation>
    <dataValidation type="list" allowBlank="1" showInputMessage="1" showErrorMessage="1" sqref="S146:S147 S7:S144" xr:uid="{7D0C8533-995A-46D5-AE05-F5B128FEEEAA}">
      <formula1>$L$244:$L$255</formula1>
    </dataValidation>
    <dataValidation type="list" allowBlank="1" showInputMessage="1" showErrorMessage="1" sqref="AI146:AI357" xr:uid="{709D1536-3A00-472A-98E8-FF20A3C8F719}">
      <formula1>$AD$463:$AD$470</formula1>
    </dataValidation>
  </dataValidations>
  <pageMargins left="0.7" right="0.7" top="0.75" bottom="0.75" header="0.3" footer="0.3"/>
  <pageSetup scale="12" orientation="portrait" r:id="rId1"/>
  <colBreaks count="1" manualBreakCount="1">
    <brk id="41" max="1048575" man="1"/>
  </colBreaks>
  <drawing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r:uid="{DAF2A00B-214B-4060-892B-56F616E06A4E}">
          <x14:formula1>
            <xm:f>'Datos Total'!$B$18:$B$33</xm:f>
          </x14:formula1>
          <xm:sqref>AJ146:AJ357</xm:sqref>
        </x14:dataValidation>
        <x14:dataValidation type="list" allowBlank="1" showInputMessage="1" showErrorMessage="1" xr:uid="{6D7B57F5-D7B9-4512-BFAC-2AE393E28D03}">
          <x14:formula1>
            <xm:f>'Datos Total'!$G$27:$G$45</xm:f>
          </x14:formula1>
          <xm:sqref>AG145:AG357</xm:sqref>
        </x14:dataValidation>
        <x14:dataValidation type="list" allowBlank="1" showInputMessage="1" showErrorMessage="1" xr:uid="{1B61B842-04A6-475C-B9D1-9091EE2EE73F}">
          <x14:formula1>
            <xm:f>'Datos Total'!$G$4:$G$16</xm:f>
          </x14:formula1>
          <xm:sqref>AH145:AH357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U34"/>
  <sheetViews>
    <sheetView showGridLines="0" zoomScale="90" zoomScaleNormal="90" workbookViewId="0">
      <selection activeCell="L17" sqref="L17"/>
    </sheetView>
  </sheetViews>
  <sheetFormatPr baseColWidth="10" defaultColWidth="11.42578125" defaultRowHeight="15" x14ac:dyDescent="0.25"/>
  <cols>
    <col min="1" max="1" width="9.140625" style="6" customWidth="1"/>
    <col min="2" max="2" width="5.85546875" style="6" customWidth="1"/>
    <col min="3" max="3" width="11.28515625" style="6" customWidth="1"/>
    <col min="4" max="4" width="9.28515625" style="6" bestFit="1" customWidth="1"/>
    <col min="5" max="5" width="13.85546875" style="6" customWidth="1"/>
    <col min="6" max="6" width="18.140625" style="6" bestFit="1" customWidth="1"/>
    <col min="7" max="7" width="11.28515625" bestFit="1" customWidth="1"/>
    <col min="8" max="8" width="9.42578125" bestFit="1" customWidth="1"/>
    <col min="9" max="9" width="11.140625" style="6" customWidth="1"/>
    <col min="10" max="10" width="11.28515625" style="6" bestFit="1" customWidth="1"/>
    <col min="11" max="11" width="13.140625" style="6" bestFit="1" customWidth="1"/>
    <col min="12" max="12" width="15" customWidth="1"/>
    <col min="13" max="13" width="16.85546875" bestFit="1" customWidth="1"/>
    <col min="14" max="14" width="29.5703125" style="6" bestFit="1" customWidth="1"/>
    <col min="15" max="15" width="32.28515625" style="6" bestFit="1" customWidth="1"/>
    <col min="16" max="16" width="37.140625" bestFit="1" customWidth="1"/>
    <col min="17" max="17" width="40.5703125" style="6" bestFit="1" customWidth="1"/>
    <col min="18" max="18" width="13.7109375" style="6" customWidth="1"/>
    <col min="19" max="19" width="14.28515625" style="6" customWidth="1"/>
    <col min="20" max="20" width="12.42578125" style="6" customWidth="1"/>
    <col min="21" max="21" width="151.140625" style="6" customWidth="1"/>
  </cols>
  <sheetData>
    <row r="5" spans="1:21" s="3" customFormat="1" ht="36" x14ac:dyDescent="0.2">
      <c r="A5" s="2" t="s">
        <v>3</v>
      </c>
      <c r="B5" s="2" t="s">
        <v>1</v>
      </c>
      <c r="C5" s="2" t="s">
        <v>2</v>
      </c>
      <c r="D5" s="2" t="s">
        <v>1307</v>
      </c>
      <c r="E5" s="2" t="s">
        <v>1308</v>
      </c>
      <c r="F5" s="2" t="s">
        <v>1309</v>
      </c>
      <c r="G5" s="2" t="s">
        <v>1310</v>
      </c>
      <c r="H5" s="2" t="s">
        <v>1311</v>
      </c>
      <c r="I5" s="2" t="s">
        <v>1312</v>
      </c>
      <c r="J5" s="2" t="s">
        <v>26</v>
      </c>
      <c r="K5" s="2" t="s">
        <v>1313</v>
      </c>
      <c r="L5" s="2" t="s">
        <v>30</v>
      </c>
      <c r="M5" s="2" t="s">
        <v>31</v>
      </c>
      <c r="N5" s="2" t="s">
        <v>1314</v>
      </c>
      <c r="O5" s="2" t="s">
        <v>1315</v>
      </c>
      <c r="P5" s="2" t="s">
        <v>1316</v>
      </c>
      <c r="Q5" s="2" t="s">
        <v>1317</v>
      </c>
      <c r="R5" s="2" t="s">
        <v>1318</v>
      </c>
      <c r="S5" s="2" t="s">
        <v>1319</v>
      </c>
      <c r="T5" s="2" t="s">
        <v>1320</v>
      </c>
      <c r="U5" s="2" t="s">
        <v>1321</v>
      </c>
    </row>
    <row r="6" spans="1:21" x14ac:dyDescent="0.25">
      <c r="A6" s="9" t="s">
        <v>1322</v>
      </c>
      <c r="B6" s="9">
        <v>2022</v>
      </c>
      <c r="C6" s="9" t="s">
        <v>70</v>
      </c>
      <c r="D6" s="16" t="s">
        <v>1323</v>
      </c>
      <c r="E6" s="9" t="s">
        <v>1324</v>
      </c>
      <c r="F6" s="11" t="s">
        <v>1325</v>
      </c>
      <c r="G6" s="12">
        <v>44588</v>
      </c>
      <c r="H6" s="21">
        <v>0.68611111111111101</v>
      </c>
      <c r="I6" s="10">
        <v>44588</v>
      </c>
      <c r="J6" s="9" t="s">
        <v>164</v>
      </c>
      <c r="K6" s="9" t="s">
        <v>531</v>
      </c>
      <c r="L6" s="9"/>
      <c r="M6" s="9"/>
      <c r="N6" s="9" t="s">
        <v>1326</v>
      </c>
      <c r="O6" s="9" t="s">
        <v>1327</v>
      </c>
      <c r="P6" s="9" t="s">
        <v>1328</v>
      </c>
      <c r="Q6" s="9" t="s">
        <v>1329</v>
      </c>
      <c r="R6" s="9" t="s">
        <v>67</v>
      </c>
      <c r="S6" s="9" t="s">
        <v>67</v>
      </c>
      <c r="T6" s="9" t="s">
        <v>66</v>
      </c>
      <c r="U6" s="23" t="s">
        <v>1330</v>
      </c>
    </row>
    <row r="7" spans="1:21" x14ac:dyDescent="0.25">
      <c r="A7" s="9" t="s">
        <v>1322</v>
      </c>
      <c r="B7" s="9">
        <v>2022</v>
      </c>
      <c r="C7" s="9" t="s">
        <v>816</v>
      </c>
      <c r="D7" s="16" t="s">
        <v>1331</v>
      </c>
      <c r="E7" s="9" t="s">
        <v>1332</v>
      </c>
      <c r="F7" s="11" t="s">
        <v>1333</v>
      </c>
      <c r="G7" s="12">
        <v>44843</v>
      </c>
      <c r="H7" s="21">
        <v>0.55208333333333337</v>
      </c>
      <c r="I7" s="10">
        <v>44843</v>
      </c>
      <c r="J7" s="9" t="s">
        <v>367</v>
      </c>
      <c r="K7" s="9" t="s">
        <v>447</v>
      </c>
      <c r="L7" s="9" t="s">
        <v>184</v>
      </c>
      <c r="M7" s="9" t="s">
        <v>1334</v>
      </c>
      <c r="N7" s="9" t="s">
        <v>1335</v>
      </c>
      <c r="O7" s="9" t="s">
        <v>1336</v>
      </c>
      <c r="P7" s="9" t="s">
        <v>1337</v>
      </c>
      <c r="Q7" s="9" t="s">
        <v>1338</v>
      </c>
      <c r="R7" s="9" t="s">
        <v>67</v>
      </c>
      <c r="S7" s="9" t="s">
        <v>1339</v>
      </c>
      <c r="T7" s="9" t="s">
        <v>66</v>
      </c>
      <c r="U7" s="23" t="s">
        <v>1340</v>
      </c>
    </row>
    <row r="8" spans="1:21" x14ac:dyDescent="0.25">
      <c r="A8" s="9"/>
      <c r="B8" s="9"/>
      <c r="C8" s="9"/>
      <c r="D8" s="16"/>
      <c r="E8" s="9"/>
      <c r="F8" s="11"/>
      <c r="G8" s="12"/>
      <c r="H8" s="21"/>
      <c r="I8" s="10"/>
      <c r="J8" s="9"/>
      <c r="K8" s="9"/>
      <c r="L8" s="9"/>
      <c r="M8" s="9"/>
      <c r="N8" s="9"/>
      <c r="O8" s="9"/>
      <c r="P8" s="9"/>
      <c r="Q8" s="9"/>
      <c r="R8" s="9"/>
      <c r="S8" s="9"/>
      <c r="T8" s="9"/>
      <c r="U8" s="23"/>
    </row>
    <row r="9" spans="1:21" x14ac:dyDescent="0.25">
      <c r="A9" s="9"/>
      <c r="B9" s="9"/>
      <c r="C9" s="9"/>
      <c r="D9" s="16"/>
      <c r="E9" s="9"/>
      <c r="F9" s="11"/>
      <c r="G9" s="12"/>
      <c r="H9" s="21"/>
      <c r="I9" s="10"/>
      <c r="J9" s="9"/>
      <c r="K9" s="9"/>
      <c r="L9" s="9"/>
      <c r="M9" s="9"/>
      <c r="N9" s="9"/>
      <c r="O9" s="9"/>
      <c r="P9" s="9"/>
      <c r="Q9" s="9"/>
      <c r="R9" s="9"/>
      <c r="S9" s="9"/>
      <c r="T9" s="9"/>
      <c r="U9" s="23"/>
    </row>
    <row r="10" spans="1:21" x14ac:dyDescent="0.25">
      <c r="A10" s="9"/>
      <c r="B10" s="9"/>
      <c r="C10" s="9"/>
      <c r="D10" s="16"/>
      <c r="E10" s="9"/>
      <c r="F10" s="11"/>
      <c r="G10" s="12"/>
      <c r="H10" s="21"/>
      <c r="I10" s="10"/>
      <c r="J10" s="9"/>
      <c r="K10" s="9"/>
      <c r="L10" s="9"/>
      <c r="M10" s="9"/>
      <c r="N10" s="9"/>
      <c r="O10" s="9"/>
      <c r="P10" s="9"/>
      <c r="Q10" s="9"/>
      <c r="R10" s="9"/>
      <c r="S10" s="9"/>
      <c r="T10" s="9"/>
      <c r="U10" s="23"/>
    </row>
    <row r="11" spans="1:21" x14ac:dyDescent="0.25">
      <c r="A11" s="9"/>
      <c r="B11" s="9"/>
      <c r="C11" s="9"/>
      <c r="D11" s="16"/>
      <c r="E11" s="9"/>
      <c r="F11" s="11"/>
      <c r="G11" s="12"/>
      <c r="H11" s="21"/>
      <c r="I11" s="10"/>
      <c r="J11" s="9"/>
      <c r="K11" s="9"/>
      <c r="L11" s="9"/>
      <c r="M11" s="9"/>
      <c r="N11" s="9"/>
      <c r="O11" s="9"/>
      <c r="P11" s="9"/>
      <c r="Q11" s="9"/>
      <c r="R11" s="9"/>
      <c r="S11" s="9"/>
      <c r="T11" s="9"/>
      <c r="U11" s="23"/>
    </row>
    <row r="12" spans="1:21" x14ac:dyDescent="0.25">
      <c r="A12" s="9"/>
      <c r="B12" s="9"/>
      <c r="C12" s="9"/>
      <c r="D12" s="16"/>
      <c r="E12" s="9"/>
      <c r="F12" s="11"/>
      <c r="G12" s="12"/>
      <c r="H12" s="21"/>
      <c r="I12" s="10"/>
      <c r="J12" s="9"/>
      <c r="K12" s="9"/>
      <c r="L12" s="9"/>
      <c r="M12" s="9"/>
      <c r="N12" s="9"/>
      <c r="O12" s="9"/>
      <c r="P12" s="9"/>
      <c r="Q12" s="9"/>
      <c r="R12" s="9"/>
      <c r="S12" s="9"/>
      <c r="T12" s="9"/>
      <c r="U12" s="23"/>
    </row>
    <row r="13" spans="1:21" x14ac:dyDescent="0.25">
      <c r="A13" s="9"/>
      <c r="B13" s="9"/>
      <c r="C13" s="9"/>
      <c r="D13" s="16"/>
      <c r="E13" s="9"/>
      <c r="F13" s="11"/>
      <c r="G13" s="12"/>
      <c r="H13" s="21"/>
      <c r="I13" s="10"/>
      <c r="J13" s="9"/>
      <c r="K13" s="9"/>
      <c r="L13" s="9"/>
      <c r="M13" s="9"/>
      <c r="N13" s="9"/>
      <c r="O13" s="9"/>
      <c r="P13" s="9"/>
      <c r="Q13" s="9"/>
      <c r="R13" s="9"/>
      <c r="S13" s="9"/>
      <c r="T13" s="9"/>
      <c r="U13" s="9"/>
    </row>
    <row r="16" spans="1:21" x14ac:dyDescent="0.25">
      <c r="E16" s="5"/>
      <c r="F16" s="22" t="s">
        <v>70</v>
      </c>
      <c r="G16" s="5"/>
      <c r="H16" s="4" t="s">
        <v>1324</v>
      </c>
      <c r="I16" s="5" t="s">
        <v>1341</v>
      </c>
      <c r="J16" s="5"/>
    </row>
    <row r="17" spans="5:10" x14ac:dyDescent="0.25">
      <c r="E17" s="5"/>
      <c r="F17" s="22" t="s">
        <v>249</v>
      </c>
      <c r="G17" s="5"/>
      <c r="H17" s="4" t="s">
        <v>1342</v>
      </c>
      <c r="I17" s="5" t="s">
        <v>1343</v>
      </c>
      <c r="J17" s="5"/>
    </row>
    <row r="18" spans="5:10" x14ac:dyDescent="0.25">
      <c r="E18" s="5"/>
      <c r="F18" s="22" t="s">
        <v>302</v>
      </c>
      <c r="G18" s="5"/>
      <c r="H18" s="4" t="s">
        <v>423</v>
      </c>
      <c r="I18" s="5" t="s">
        <v>1344</v>
      </c>
      <c r="J18" s="5"/>
    </row>
    <row r="19" spans="5:10" x14ac:dyDescent="0.25">
      <c r="E19" s="5"/>
      <c r="F19" s="22" t="s">
        <v>1254</v>
      </c>
      <c r="G19" s="5"/>
      <c r="H19" s="4" t="s">
        <v>1345</v>
      </c>
      <c r="I19" s="5" t="s">
        <v>1346</v>
      </c>
      <c r="J19" s="5"/>
    </row>
    <row r="20" spans="5:10" x14ac:dyDescent="0.25">
      <c r="E20" s="5"/>
      <c r="F20" s="22" t="s">
        <v>443</v>
      </c>
      <c r="G20" s="5"/>
      <c r="H20" s="4" t="s">
        <v>1332</v>
      </c>
      <c r="I20" s="5" t="s">
        <v>1325</v>
      </c>
      <c r="J20" s="5"/>
    </row>
    <row r="21" spans="5:10" x14ac:dyDescent="0.25">
      <c r="E21" s="5"/>
      <c r="F21" s="22" t="s">
        <v>43</v>
      </c>
      <c r="G21" s="5"/>
      <c r="H21" s="4" t="s">
        <v>1347</v>
      </c>
      <c r="I21" s="5" t="s">
        <v>1348</v>
      </c>
      <c r="J21" s="5"/>
    </row>
    <row r="22" spans="5:10" x14ac:dyDescent="0.25">
      <c r="E22" s="5"/>
      <c r="F22" s="22" t="s">
        <v>640</v>
      </c>
      <c r="G22" s="5"/>
      <c r="H22" s="4" t="s">
        <v>1349</v>
      </c>
      <c r="I22" s="5" t="s">
        <v>1350</v>
      </c>
      <c r="J22" s="5"/>
    </row>
    <row r="23" spans="5:10" x14ac:dyDescent="0.25">
      <c r="E23" s="5"/>
      <c r="F23" s="22" t="s">
        <v>735</v>
      </c>
      <c r="G23" s="5"/>
      <c r="H23" s="4" t="s">
        <v>1351</v>
      </c>
      <c r="I23" s="5" t="s">
        <v>1352</v>
      </c>
      <c r="J23" s="5"/>
    </row>
    <row r="24" spans="5:10" x14ac:dyDescent="0.25">
      <c r="E24" s="5"/>
      <c r="F24" s="22" t="s">
        <v>767</v>
      </c>
      <c r="G24" s="5"/>
      <c r="H24" s="4"/>
      <c r="I24" s="5" t="s">
        <v>1353</v>
      </c>
      <c r="J24" s="5"/>
    </row>
    <row r="25" spans="5:10" x14ac:dyDescent="0.25">
      <c r="E25" s="5"/>
      <c r="F25" s="22" t="s">
        <v>816</v>
      </c>
      <c r="G25" s="5"/>
      <c r="H25" s="4"/>
      <c r="I25" s="5" t="s">
        <v>1354</v>
      </c>
      <c r="J25" s="5"/>
    </row>
    <row r="26" spans="5:10" x14ac:dyDescent="0.25">
      <c r="E26" s="5"/>
      <c r="F26" s="22" t="s">
        <v>908</v>
      </c>
      <c r="G26" s="5"/>
      <c r="H26" s="4"/>
      <c r="I26" s="5" t="s">
        <v>1355</v>
      </c>
      <c r="J26" s="5"/>
    </row>
    <row r="27" spans="5:10" x14ac:dyDescent="0.25">
      <c r="E27" s="5"/>
      <c r="F27" s="22" t="s">
        <v>1056</v>
      </c>
      <c r="G27" s="5"/>
      <c r="H27" s="4"/>
      <c r="I27" s="5" t="s">
        <v>1356</v>
      </c>
      <c r="J27" s="5"/>
    </row>
    <row r="28" spans="5:10" x14ac:dyDescent="0.25">
      <c r="E28" s="5"/>
      <c r="F28" s="5"/>
      <c r="G28" s="5"/>
      <c r="H28" s="4"/>
      <c r="I28" s="5" t="s">
        <v>1357</v>
      </c>
      <c r="J28" s="5"/>
    </row>
    <row r="29" spans="5:10" x14ac:dyDescent="0.25">
      <c r="E29" s="5"/>
      <c r="F29" s="5"/>
      <c r="G29" s="5"/>
      <c r="H29" s="4"/>
      <c r="I29" s="5" t="s">
        <v>1358</v>
      </c>
      <c r="J29" s="5"/>
    </row>
    <row r="30" spans="5:10" x14ac:dyDescent="0.25">
      <c r="E30" s="5"/>
      <c r="F30" s="5"/>
      <c r="G30" s="5"/>
      <c r="H30" s="4"/>
      <c r="I30" s="5" t="s">
        <v>1333</v>
      </c>
      <c r="J30" s="5"/>
    </row>
    <row r="31" spans="5:10" x14ac:dyDescent="0.25">
      <c r="E31" s="5"/>
      <c r="F31" s="5"/>
      <c r="G31" s="5"/>
      <c r="H31" s="4"/>
      <c r="I31" s="5" t="s">
        <v>1359</v>
      </c>
      <c r="J31" s="5"/>
    </row>
    <row r="32" spans="5:10" x14ac:dyDescent="0.25">
      <c r="E32" s="5"/>
      <c r="F32" s="5"/>
      <c r="G32" s="5"/>
      <c r="H32" s="4"/>
      <c r="I32" s="5" t="s">
        <v>1360</v>
      </c>
      <c r="J32" s="5"/>
    </row>
    <row r="33" spans="5:10" x14ac:dyDescent="0.25">
      <c r="E33" s="5"/>
      <c r="F33" s="5"/>
      <c r="G33" s="5"/>
      <c r="H33" s="4"/>
      <c r="I33" s="5" t="s">
        <v>1361</v>
      </c>
      <c r="J33" s="5"/>
    </row>
    <row r="34" spans="5:10" x14ac:dyDescent="0.25">
      <c r="E34" s="5"/>
      <c r="F34" s="5"/>
      <c r="G34" s="5"/>
      <c r="H34" s="4"/>
      <c r="I34" s="5"/>
      <c r="J34" s="5"/>
    </row>
  </sheetData>
  <autoFilter ref="A5:U5" xr:uid="{00000000-0009-0000-0000-000001000000}"/>
  <dataValidations count="3">
    <dataValidation type="list" allowBlank="1" showInputMessage="1" showErrorMessage="1" sqref="E6:E13" xr:uid="{00000000-0002-0000-0100-000000000000}">
      <formula1>$H$16:$H$23</formula1>
    </dataValidation>
    <dataValidation type="list" allowBlank="1" showInputMessage="1" showErrorMessage="1" sqref="F6:F13" xr:uid="{00000000-0002-0000-0100-000001000000}">
      <formula1>$I$16:$I$33</formula1>
    </dataValidation>
    <dataValidation type="list" allowBlank="1" showInputMessage="1" showErrorMessage="1" sqref="C6:C13" xr:uid="{00000000-0002-0000-0100-000002000000}">
      <formula1>$F$16:$F$27</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T106"/>
  <sheetViews>
    <sheetView showGridLines="0" zoomScaleNormal="100" workbookViewId="0">
      <selection activeCell="G10" sqref="G10"/>
    </sheetView>
  </sheetViews>
  <sheetFormatPr baseColWidth="10" defaultColWidth="11" defaultRowHeight="12.75" x14ac:dyDescent="0.2"/>
  <cols>
    <col min="1" max="1" width="1.42578125" style="51" customWidth="1"/>
    <col min="2" max="2" width="34.7109375" style="51" bestFit="1" customWidth="1"/>
    <col min="3" max="3" width="6.140625" style="51" bestFit="1" customWidth="1"/>
    <col min="4" max="4" width="11" style="51" bestFit="1" customWidth="1"/>
    <col min="5" max="5" width="9.42578125" style="51" customWidth="1"/>
    <col min="6" max="6" width="1.42578125" style="51" customWidth="1"/>
    <col min="7" max="7" width="28.5703125" style="51" customWidth="1"/>
    <col min="8" max="8" width="10.85546875" style="51" bestFit="1" customWidth="1"/>
    <col min="9" max="9" width="11" style="51" bestFit="1" customWidth="1"/>
    <col min="10" max="10" width="9.42578125" style="51" customWidth="1"/>
    <col min="11" max="11" width="1.42578125" style="51" customWidth="1"/>
    <col min="12" max="12" width="28" style="51" customWidth="1"/>
    <col min="13" max="13" width="12" style="51" customWidth="1"/>
    <col min="14" max="15" width="11" style="51"/>
    <col min="16" max="16" width="1.85546875" style="51" customWidth="1"/>
    <col min="17" max="17" width="11" style="51"/>
    <col min="18" max="18" width="29.28515625" style="51" customWidth="1"/>
    <col min="19" max="16384" width="11" style="51"/>
  </cols>
  <sheetData>
    <row r="2" spans="2:20" ht="13.5" thickBot="1" x14ac:dyDescent="0.25"/>
    <row r="3" spans="2:20" ht="13.5" thickBot="1" x14ac:dyDescent="0.25">
      <c r="B3" s="52" t="s">
        <v>1362</v>
      </c>
      <c r="C3" s="53" t="s">
        <v>1363</v>
      </c>
      <c r="D3" s="54" t="s">
        <v>1364</v>
      </c>
      <c r="E3" s="53" t="s">
        <v>1365</v>
      </c>
      <c r="G3" s="55" t="s">
        <v>1366</v>
      </c>
      <c r="H3" s="53" t="s">
        <v>1363</v>
      </c>
      <c r="I3" s="53" t="s">
        <v>1364</v>
      </c>
      <c r="J3" s="53" t="s">
        <v>1365</v>
      </c>
      <c r="L3" s="52" t="s">
        <v>19</v>
      </c>
      <c r="M3" s="56" t="s">
        <v>1363</v>
      </c>
      <c r="N3" s="54" t="s">
        <v>1364</v>
      </c>
      <c r="O3" s="53" t="s">
        <v>1365</v>
      </c>
      <c r="R3" s="129" t="s">
        <v>19</v>
      </c>
      <c r="S3" s="130" t="s">
        <v>107</v>
      </c>
      <c r="T3" s="131" t="s">
        <v>1364</v>
      </c>
    </row>
    <row r="4" spans="2:20" x14ac:dyDescent="0.2">
      <c r="B4" s="231" t="s">
        <v>142</v>
      </c>
      <c r="C4" s="235">
        <f>'Grafica Sup.'!D127</f>
        <v>6</v>
      </c>
      <c r="D4" s="228">
        <f>C4/$C$16</f>
        <v>0.22222222222222221</v>
      </c>
      <c r="E4" s="230">
        <f>D4</f>
        <v>0.22222222222222221</v>
      </c>
      <c r="G4" s="236" t="s">
        <v>61</v>
      </c>
      <c r="H4" s="232">
        <f>COUNTIF('Consolidado Accidentes'!$AH$6:$AH$443,"Manos / dedos")</f>
        <v>65</v>
      </c>
      <c r="I4" s="228">
        <f>H4/$H$19</f>
        <v>0.33678756476683935</v>
      </c>
      <c r="J4" s="228">
        <f>I4</f>
        <v>0.33678756476683935</v>
      </c>
      <c r="L4" s="231" t="s">
        <v>1367</v>
      </c>
      <c r="M4" s="232">
        <f>COUNTIF('Consolidado Accidentes'!S7:S456,"TROZADO DE POLLO")</f>
        <v>63</v>
      </c>
      <c r="N4" s="233">
        <f t="shared" ref="N4:N15" si="0">M4/$M$16</f>
        <v>0.328125</v>
      </c>
      <c r="O4" s="59">
        <f>N4</f>
        <v>0.328125</v>
      </c>
      <c r="R4" s="166" t="s">
        <v>1367</v>
      </c>
      <c r="S4" s="151">
        <f>COUNTIFS('Consolidado Accidentes'!S:S,"TROZADO DE POLLO",'Consolidado Accidentes'!Q:Q,"LGF")</f>
        <v>6</v>
      </c>
      <c r="T4" s="152">
        <f t="shared" ref="T4:T15" si="1">S4*$T$16/$S$16</f>
        <v>0.17647058823529413</v>
      </c>
    </row>
    <row r="5" spans="2:20" x14ac:dyDescent="0.2">
      <c r="B5" s="234" t="s">
        <v>75</v>
      </c>
      <c r="C5" s="235">
        <f>'Grafica Sup.'!D25</f>
        <v>6</v>
      </c>
      <c r="D5" s="224">
        <f t="shared" ref="D5:D14" si="2">C5/$C$16</f>
        <v>0.22222222222222221</v>
      </c>
      <c r="E5" s="230">
        <f>E4+D5</f>
        <v>0.44444444444444442</v>
      </c>
      <c r="G5" s="237" t="s">
        <v>84</v>
      </c>
      <c r="H5" s="222">
        <f>COUNTIF('Consolidado Accidentes'!$AH$6:$AH$443,"Pierna")</f>
        <v>20</v>
      </c>
      <c r="I5" s="224">
        <f t="shared" ref="I5:I16" si="3">H5/$H$19</f>
        <v>0.10362694300518134</v>
      </c>
      <c r="J5" s="224">
        <f>J4+I5</f>
        <v>0.44041450777202068</v>
      </c>
      <c r="L5" s="234" t="s">
        <v>75</v>
      </c>
      <c r="M5" s="222">
        <f>COUNTIF('Consolidado Accidentes'!S7:S456,"SSGG")</f>
        <v>29</v>
      </c>
      <c r="N5" s="230">
        <f t="shared" si="0"/>
        <v>0.15104166666666666</v>
      </c>
      <c r="O5" s="59">
        <f t="shared" ref="O5:O15" si="4">O4+N5</f>
        <v>0.47916666666666663</v>
      </c>
      <c r="R5" s="143" t="s">
        <v>93</v>
      </c>
      <c r="S5" s="142">
        <f>COUNTIFS('Consolidado Accidentes'!S:S,"FAENACION",'Consolidado Accidentes'!Q:Q,"LGF")</f>
        <v>7</v>
      </c>
      <c r="T5" s="148">
        <f t="shared" si="1"/>
        <v>0.20588235294117646</v>
      </c>
    </row>
    <row r="6" spans="2:20" x14ac:dyDescent="0.2">
      <c r="B6" s="234" t="s">
        <v>93</v>
      </c>
      <c r="C6" s="235">
        <f>'Grafica Sup.'!D50</f>
        <v>4</v>
      </c>
      <c r="D6" s="224">
        <f t="shared" si="2"/>
        <v>0.14814814814814814</v>
      </c>
      <c r="E6" s="230">
        <f t="shared" ref="E6:E14" si="5">E5+D6</f>
        <v>0.59259259259259256</v>
      </c>
      <c r="G6" s="237" t="s">
        <v>113</v>
      </c>
      <c r="H6" s="222">
        <f>COUNTIF('Consolidado Accidentes'!$AH$6:$AH$443,"Ojos")</f>
        <v>21</v>
      </c>
      <c r="I6" s="224">
        <f t="shared" si="3"/>
        <v>0.10880829015544041</v>
      </c>
      <c r="J6" s="224">
        <f t="shared" ref="J6:J16" si="6">J5+I6</f>
        <v>0.54922279792746109</v>
      </c>
      <c r="L6" s="234" t="s">
        <v>142</v>
      </c>
      <c r="M6" s="222">
        <f>COUNTIF('Consolidado Accidentes'!S7:S456,"IQF Y CALIBRADO")</f>
        <v>31</v>
      </c>
      <c r="N6" s="230">
        <f t="shared" si="0"/>
        <v>0.16145833333333334</v>
      </c>
      <c r="O6" s="59">
        <f t="shared" si="4"/>
        <v>0.640625</v>
      </c>
      <c r="R6" s="143" t="s">
        <v>1368</v>
      </c>
      <c r="S6" s="142">
        <f>COUNTIFS('Consolidado Accidentes'!S:S,"TROZADO DE PAVO",'Consolidado Accidentes'!Q:Q,"LGF")</f>
        <v>1</v>
      </c>
      <c r="T6" s="148">
        <f t="shared" si="1"/>
        <v>2.9411764705882353E-2</v>
      </c>
    </row>
    <row r="7" spans="2:20" x14ac:dyDescent="0.2">
      <c r="B7" s="49" t="s">
        <v>1367</v>
      </c>
      <c r="C7" s="57">
        <f>'Grafica Sup.'!D9</f>
        <v>6</v>
      </c>
      <c r="D7" s="60">
        <f t="shared" si="2"/>
        <v>0.22222222222222221</v>
      </c>
      <c r="E7" s="59">
        <f t="shared" si="5"/>
        <v>0.81481481481481477</v>
      </c>
      <c r="G7" s="50" t="s">
        <v>207</v>
      </c>
      <c r="H7" s="61">
        <f>COUNTIF('Consolidado Accidentes'!$AH$7:$AH$443,"Pie")</f>
        <v>13</v>
      </c>
      <c r="I7" s="60">
        <f t="shared" si="3"/>
        <v>6.7357512953367879E-2</v>
      </c>
      <c r="J7" s="60">
        <f t="shared" si="6"/>
        <v>0.61658031088082899</v>
      </c>
      <c r="L7" s="246" t="s">
        <v>93</v>
      </c>
      <c r="M7" s="247">
        <f>COUNTIF('Consolidado Accidentes'!S7:S456,"FAENACION")</f>
        <v>22</v>
      </c>
      <c r="N7" s="244">
        <f t="shared" si="0"/>
        <v>0.11458333333333333</v>
      </c>
      <c r="O7" s="59">
        <f t="shared" si="4"/>
        <v>0.75520833333333337</v>
      </c>
      <c r="R7" s="166" t="s">
        <v>75</v>
      </c>
      <c r="S7" s="151">
        <f>COUNTIFS('Consolidado Accidentes'!S:S,"SSGG",'Consolidado Accidentes'!Q:Q,"LGF")</f>
        <v>10</v>
      </c>
      <c r="T7" s="152">
        <f t="shared" si="1"/>
        <v>0.29411764705882354</v>
      </c>
    </row>
    <row r="8" spans="2:20" x14ac:dyDescent="0.2">
      <c r="B8" s="49" t="s">
        <v>1369</v>
      </c>
      <c r="C8" s="57">
        <f>'Grafica Sup.'!D77</f>
        <v>2</v>
      </c>
      <c r="D8" s="60">
        <f t="shared" si="2"/>
        <v>7.407407407407407E-2</v>
      </c>
      <c r="E8" s="59">
        <f t="shared" si="5"/>
        <v>0.88888888888888884</v>
      </c>
      <c r="G8" s="50" t="s">
        <v>338</v>
      </c>
      <c r="H8" s="61">
        <f>COUNTIF('Consolidado Accidentes'!$AH$6:$AH$443,"Brazo")</f>
        <v>22</v>
      </c>
      <c r="I8" s="60">
        <f t="shared" si="3"/>
        <v>0.11398963730569948</v>
      </c>
      <c r="J8" s="60">
        <f t="shared" si="6"/>
        <v>0.73056994818652843</v>
      </c>
      <c r="L8" s="49" t="s">
        <v>1369</v>
      </c>
      <c r="M8" s="61">
        <f>COUNTIF('Consolidado Accidentes'!S7:S456,"FRIGORIFICO")</f>
        <v>13</v>
      </c>
      <c r="N8" s="59">
        <f t="shared" si="0"/>
        <v>6.7708333333333329E-2</v>
      </c>
      <c r="O8" s="59">
        <f t="shared" si="4"/>
        <v>0.82291666666666674</v>
      </c>
      <c r="R8" s="166" t="s">
        <v>1370</v>
      </c>
      <c r="S8" s="151">
        <f>COUNTIFS('Consolidado Accidentes'!S:S,"P. POSTERIORES",'Consolidado Accidentes'!Q:Q,"LGF")</f>
        <v>1</v>
      </c>
      <c r="T8" s="152">
        <f t="shared" si="1"/>
        <v>2.9411764705882353E-2</v>
      </c>
    </row>
    <row r="9" spans="2:20" x14ac:dyDescent="0.2">
      <c r="B9" s="49" t="s">
        <v>1370</v>
      </c>
      <c r="C9" s="57">
        <f>'Grafica Sup.'!D38</f>
        <v>2</v>
      </c>
      <c r="D9" s="60">
        <f t="shared" si="2"/>
        <v>7.407407407407407E-2</v>
      </c>
      <c r="E9" s="59">
        <f t="shared" si="5"/>
        <v>0.96296296296296291</v>
      </c>
      <c r="G9" s="50" t="s">
        <v>129</v>
      </c>
      <c r="H9" s="61">
        <f>COUNTIF('Consolidado Accidentes'!$AH$6:$AH$443,"rostro")</f>
        <v>15</v>
      </c>
      <c r="I9" s="60">
        <f t="shared" si="3"/>
        <v>7.7720207253886009E-2</v>
      </c>
      <c r="J9" s="60">
        <f t="shared" si="6"/>
        <v>0.80829015544041449</v>
      </c>
      <c r="L9" s="49" t="s">
        <v>1370</v>
      </c>
      <c r="M9" s="61">
        <f>COUNTIF('Consolidado Accidentes'!S5:S456,"P. POSTERIORES")</f>
        <v>15</v>
      </c>
      <c r="N9" s="59">
        <f t="shared" si="0"/>
        <v>7.8125E-2</v>
      </c>
      <c r="O9" s="59">
        <f t="shared" si="4"/>
        <v>0.90104166666666674</v>
      </c>
      <c r="R9" s="143" t="s">
        <v>1369</v>
      </c>
      <c r="S9" s="142">
        <f>COUNTIFS('Consolidado Accidentes'!S:S,"FRIGORIFICO",'Consolidado Accidentes'!Q:Q,"LGF")</f>
        <v>1</v>
      </c>
      <c r="T9" s="148">
        <f t="shared" si="1"/>
        <v>2.9411764705882353E-2</v>
      </c>
    </row>
    <row r="10" spans="2:20" x14ac:dyDescent="0.2">
      <c r="B10" s="49" t="s">
        <v>531</v>
      </c>
      <c r="C10" s="57">
        <f>'Grafica Sup.'!D138</f>
        <v>1</v>
      </c>
      <c r="D10" s="60">
        <f t="shared" si="2"/>
        <v>3.7037037037037035E-2</v>
      </c>
      <c r="E10" s="59">
        <f t="shared" si="5"/>
        <v>1</v>
      </c>
      <c r="G10" s="50" t="s">
        <v>454</v>
      </c>
      <c r="H10" s="61">
        <f>COUNTIF('Consolidado Accidentes'!$AH$6:$AH$443,"Otro")</f>
        <v>7</v>
      </c>
      <c r="I10" s="60">
        <f t="shared" si="3"/>
        <v>3.6269430051813469E-2</v>
      </c>
      <c r="J10" s="60">
        <f t="shared" si="6"/>
        <v>0.84455958549222798</v>
      </c>
      <c r="L10" s="49" t="s">
        <v>182</v>
      </c>
      <c r="M10" s="61">
        <f>COUNTIF('Consolidado Accidentes'!S7:S456,"MANTENCION")</f>
        <v>8</v>
      </c>
      <c r="N10" s="59">
        <f t="shared" si="0"/>
        <v>4.1666666666666664E-2</v>
      </c>
      <c r="O10" s="59">
        <f t="shared" si="4"/>
        <v>0.94270833333333337</v>
      </c>
      <c r="R10" s="143" t="s">
        <v>182</v>
      </c>
      <c r="S10" s="142">
        <f>COUNTIFS('Consolidado Accidentes'!S:S,"MANTENCION",'Consolidado Accidentes'!Q:Q,"LGF")</f>
        <v>0</v>
      </c>
      <c r="T10" s="148">
        <f t="shared" si="1"/>
        <v>0</v>
      </c>
    </row>
    <row r="11" spans="2:20" x14ac:dyDescent="0.2">
      <c r="B11" s="49" t="s">
        <v>182</v>
      </c>
      <c r="C11" s="57">
        <f>'Grafica Sup.'!D98</f>
        <v>0</v>
      </c>
      <c r="D11" s="60">
        <f t="shared" si="2"/>
        <v>0</v>
      </c>
      <c r="E11" s="59">
        <f t="shared" si="5"/>
        <v>1</v>
      </c>
      <c r="G11" s="62" t="s">
        <v>369</v>
      </c>
      <c r="H11" s="61">
        <f>COUNTIF('Consolidado Accidentes'!$AH$6:$AH$443,"Pelvis")</f>
        <v>4</v>
      </c>
      <c r="I11" s="60">
        <f t="shared" si="3"/>
        <v>2.072538860103627E-2</v>
      </c>
      <c r="J11" s="60">
        <f t="shared" si="6"/>
        <v>0.86528497409326421</v>
      </c>
      <c r="L11" s="49" t="s">
        <v>1368</v>
      </c>
      <c r="M11" s="61">
        <f>COUNTIF('Consolidado Accidentes'!S7:S456,"TROZADO DE PAVO")</f>
        <v>6</v>
      </c>
      <c r="N11" s="59">
        <f t="shared" si="0"/>
        <v>3.125E-2</v>
      </c>
      <c r="O11" s="59">
        <f t="shared" si="4"/>
        <v>0.97395833333333337</v>
      </c>
      <c r="R11" s="143" t="s">
        <v>142</v>
      </c>
      <c r="S11" s="142">
        <f>COUNTIFS('Consolidado Accidentes'!S:S,"IQF Y CALIBRADO",'Consolidado Accidentes'!Q:Q,"LGF")</f>
        <v>8</v>
      </c>
      <c r="T11" s="148">
        <f t="shared" si="1"/>
        <v>0.23529411764705882</v>
      </c>
    </row>
    <row r="12" spans="2:20" x14ac:dyDescent="0.2">
      <c r="B12" s="49" t="s">
        <v>1368</v>
      </c>
      <c r="C12" s="57">
        <f>'Grafica Sup.'!D62</f>
        <v>0</v>
      </c>
      <c r="D12" s="60">
        <f t="shared" si="2"/>
        <v>0</v>
      </c>
      <c r="E12" s="59">
        <f t="shared" si="5"/>
        <v>1</v>
      </c>
      <c r="G12" s="50" t="s">
        <v>441</v>
      </c>
      <c r="H12" s="61">
        <f>COUNTIF('Consolidado Accidentes'!$AH$6:$AH$443,"Cabeza")</f>
        <v>7</v>
      </c>
      <c r="I12" s="60">
        <f t="shared" si="3"/>
        <v>3.6269430051813469E-2</v>
      </c>
      <c r="J12" s="60">
        <f t="shared" si="6"/>
        <v>0.9015544041450777</v>
      </c>
      <c r="L12" s="35" t="s">
        <v>423</v>
      </c>
      <c r="M12" s="61">
        <f>COUNTIF('Consolidado Accidentes'!S7:S456,"CALIDAD")</f>
        <v>3</v>
      </c>
      <c r="N12" s="59">
        <f t="shared" si="0"/>
        <v>1.5625E-2</v>
      </c>
      <c r="O12" s="59">
        <f t="shared" si="4"/>
        <v>0.98958333333333337</v>
      </c>
      <c r="R12" s="143" t="s">
        <v>531</v>
      </c>
      <c r="S12" s="142">
        <f>COUNTIFS('Consolidado Accidentes'!S:S,"BODEGA",'Consolidado Accidentes'!Q:Q,"LGF")</f>
        <v>0</v>
      </c>
      <c r="T12" s="148">
        <f t="shared" si="1"/>
        <v>0</v>
      </c>
    </row>
    <row r="13" spans="2:20" x14ac:dyDescent="0.2">
      <c r="B13" s="35" t="s">
        <v>423</v>
      </c>
      <c r="C13" s="57">
        <f>'Grafica Sup.'!D108</f>
        <v>0</v>
      </c>
      <c r="D13" s="60">
        <f t="shared" si="2"/>
        <v>0</v>
      </c>
      <c r="E13" s="59">
        <f t="shared" si="5"/>
        <v>1</v>
      </c>
      <c r="G13" s="50" t="s">
        <v>186</v>
      </c>
      <c r="H13" s="61">
        <f>COUNTIF('Consolidado Accidentes'!$AH$6:$AH$443,"Tronco")</f>
        <v>7</v>
      </c>
      <c r="I13" s="60">
        <f t="shared" si="3"/>
        <v>3.6269430051813469E-2</v>
      </c>
      <c r="J13" s="60">
        <f t="shared" si="6"/>
        <v>0.93782383419689119</v>
      </c>
      <c r="L13" s="49" t="s">
        <v>531</v>
      </c>
      <c r="M13" s="61">
        <f>COUNTIF('Consolidado Accidentes'!S7:S456,"BODEGA")</f>
        <v>1</v>
      </c>
      <c r="N13" s="59">
        <f t="shared" si="0"/>
        <v>5.208333333333333E-3</v>
      </c>
      <c r="O13" s="59">
        <f t="shared" si="4"/>
        <v>0.99479166666666674</v>
      </c>
      <c r="R13" s="143" t="s">
        <v>1371</v>
      </c>
      <c r="S13" s="142">
        <f>COUNTIFS('Consolidado Accidentes'!S:S,"PERSONAL",'Consolidado Accidentes'!Q:Q,"LGF")</f>
        <v>0</v>
      </c>
      <c r="T13" s="148">
        <f t="shared" si="1"/>
        <v>0</v>
      </c>
    </row>
    <row r="14" spans="2:20" x14ac:dyDescent="0.2">
      <c r="B14" s="49" t="s">
        <v>1372</v>
      </c>
      <c r="C14" s="57">
        <v>0</v>
      </c>
      <c r="D14" s="60">
        <f t="shared" si="2"/>
        <v>0</v>
      </c>
      <c r="E14" s="59">
        <f t="shared" si="5"/>
        <v>1</v>
      </c>
      <c r="G14" s="50" t="s">
        <v>414</v>
      </c>
      <c r="H14" s="61">
        <f>COUNTIF('Consolidado Accidentes'!$AH$6:$AH$443,"Espalda")</f>
        <v>9</v>
      </c>
      <c r="I14" s="60">
        <f t="shared" si="3"/>
        <v>4.6632124352331605E-2</v>
      </c>
      <c r="J14" s="60">
        <f t="shared" si="6"/>
        <v>0.98445595854922274</v>
      </c>
      <c r="L14" s="49" t="s">
        <v>1371</v>
      </c>
      <c r="M14" s="61">
        <f>COUNTIF('Consolidado Accidentes'!S7:S457,"PERSONAL")</f>
        <v>1</v>
      </c>
      <c r="N14" s="59">
        <f t="shared" si="0"/>
        <v>5.208333333333333E-3</v>
      </c>
      <c r="O14" s="59">
        <f t="shared" si="4"/>
        <v>1</v>
      </c>
      <c r="R14" s="144" t="s">
        <v>423</v>
      </c>
      <c r="S14" s="142">
        <f>COUNTIFS('Consolidado Accidentes'!S:S,"CALIDAD",'Consolidado Accidentes'!Q:Q,"LGF")</f>
        <v>0</v>
      </c>
      <c r="T14" s="148">
        <f t="shared" si="1"/>
        <v>0</v>
      </c>
    </row>
    <row r="15" spans="2:20" x14ac:dyDescent="0.2">
      <c r="B15" s="49"/>
      <c r="C15" s="57"/>
      <c r="D15" s="63"/>
      <c r="E15" s="59"/>
      <c r="G15" s="50" t="s">
        <v>514</v>
      </c>
      <c r="H15" s="61">
        <f>COUNTIF('Consolidado Accidentes'!$AH$6:$AH$443,"Multiples")</f>
        <v>3</v>
      </c>
      <c r="I15" s="60">
        <f t="shared" si="3"/>
        <v>1.5544041450777202E-2</v>
      </c>
      <c r="J15" s="60">
        <f t="shared" si="6"/>
        <v>1</v>
      </c>
      <c r="L15" s="49" t="s">
        <v>1372</v>
      </c>
      <c r="M15" s="61">
        <f>COUNTIF('Consolidado Accidentes'!S7:S456,"ADMINISTRACION")</f>
        <v>0</v>
      </c>
      <c r="N15" s="59">
        <f t="shared" si="0"/>
        <v>0</v>
      </c>
      <c r="O15" s="59">
        <f t="shared" si="4"/>
        <v>1</v>
      </c>
      <c r="R15" s="143" t="s">
        <v>1372</v>
      </c>
      <c r="S15" s="142">
        <f>COUNTIFS('Consolidado Accidentes'!S:S,"ADMINISTRACION",'Consolidado Accidentes'!Q:Q,"LGF")</f>
        <v>0</v>
      </c>
      <c r="T15" s="148">
        <f t="shared" si="1"/>
        <v>0</v>
      </c>
    </row>
    <row r="16" spans="2:20" x14ac:dyDescent="0.2">
      <c r="B16" s="64" t="s">
        <v>1373</v>
      </c>
      <c r="C16" s="65">
        <f>SUM(C4:C14)</f>
        <v>27</v>
      </c>
      <c r="D16" s="66">
        <f>SUM(D4:D14)</f>
        <v>1</v>
      </c>
      <c r="E16" s="67"/>
      <c r="G16" s="50" t="s">
        <v>1374</v>
      </c>
      <c r="H16" s="61">
        <f>COUNTIF('Consolidado Accidentes'!$AH$6:$AH$443,"Lesion Interna")</f>
        <v>0</v>
      </c>
      <c r="I16" s="60">
        <f t="shared" si="3"/>
        <v>0</v>
      </c>
      <c r="J16" s="60">
        <f t="shared" si="6"/>
        <v>1</v>
      </c>
      <c r="L16" s="64" t="s">
        <v>1373</v>
      </c>
      <c r="M16" s="65">
        <f>SUM(M4:M15)</f>
        <v>192</v>
      </c>
      <c r="N16" s="67">
        <f>SUM(N4:N14)</f>
        <v>1</v>
      </c>
      <c r="O16" s="67"/>
      <c r="R16" s="145" t="s">
        <v>1375</v>
      </c>
      <c r="S16" s="147">
        <f>SUM(S4:S15)</f>
        <v>34</v>
      </c>
      <c r="T16" s="146">
        <v>1</v>
      </c>
    </row>
    <row r="17" spans="2:20" ht="13.5" thickBot="1" x14ac:dyDescent="0.25">
      <c r="B17" s="68" t="s">
        <v>1376</v>
      </c>
      <c r="C17" s="69" t="s">
        <v>1363</v>
      </c>
      <c r="D17" s="70" t="s">
        <v>1364</v>
      </c>
      <c r="E17" s="69" t="s">
        <v>1365</v>
      </c>
      <c r="G17" s="50"/>
      <c r="H17" s="61"/>
      <c r="I17" s="60"/>
      <c r="J17" s="60"/>
      <c r="L17" s="71"/>
      <c r="M17" s="57"/>
      <c r="N17" s="60"/>
      <c r="O17" s="59"/>
    </row>
    <row r="18" spans="2:20" ht="13.5" thickBot="1" x14ac:dyDescent="0.25">
      <c r="B18" s="238" t="s">
        <v>85</v>
      </c>
      <c r="C18" s="222">
        <f>COUNTIF('Consolidado Accidentes'!AJ7:AJ443,"Caida de mismo nivel")</f>
        <v>34</v>
      </c>
      <c r="D18" s="223">
        <f t="shared" ref="D18:D33" si="7">C18/$C$36</f>
        <v>0.17708333333333334</v>
      </c>
      <c r="E18" s="224">
        <f>D18</f>
        <v>0.17708333333333334</v>
      </c>
      <c r="G18" s="74"/>
      <c r="H18" s="74"/>
      <c r="I18" s="74"/>
      <c r="J18" s="74"/>
      <c r="L18" s="52" t="s">
        <v>1377</v>
      </c>
      <c r="M18" s="53" t="s">
        <v>1363</v>
      </c>
      <c r="N18" s="75" t="s">
        <v>1364</v>
      </c>
      <c r="O18" s="53" t="s">
        <v>1365</v>
      </c>
      <c r="R18" s="129" t="s">
        <v>1378</v>
      </c>
      <c r="S18" s="130" t="s">
        <v>1379</v>
      </c>
      <c r="T18" s="131" t="s">
        <v>1364</v>
      </c>
    </row>
    <row r="19" spans="2:20" x14ac:dyDescent="0.2">
      <c r="B19" s="238" t="s">
        <v>148</v>
      </c>
      <c r="C19" s="222">
        <f>COUNTIF('Consolidado Accidentes'!AJ:AJ,"Golpeado Por")</f>
        <v>51</v>
      </c>
      <c r="D19" s="223">
        <f t="shared" si="7"/>
        <v>0.265625</v>
      </c>
      <c r="E19" s="224">
        <f t="shared" ref="E19:E33" si="8">E18+D19</f>
        <v>0.44270833333333337</v>
      </c>
      <c r="G19" s="76" t="s">
        <v>1363</v>
      </c>
      <c r="H19" s="64">
        <f>SUM(H4:H16)</f>
        <v>193</v>
      </c>
      <c r="I19" s="77">
        <f>SUM(I4:I16)</f>
        <v>1</v>
      </c>
      <c r="J19" s="67"/>
      <c r="L19" s="78" t="s">
        <v>1380</v>
      </c>
      <c r="M19" s="79">
        <f>COUNTIF('Consolidado Accidentes'!B6:B512,"Enero")</f>
        <v>19</v>
      </c>
      <c r="N19" s="73">
        <f t="shared" ref="N19:N30" si="9">M19/$M$32</f>
        <v>0.1</v>
      </c>
      <c r="O19" s="60"/>
      <c r="R19" s="150" t="s">
        <v>1381</v>
      </c>
      <c r="S19" s="151">
        <f>COUNTIF('Consolidado Accidentes'!R:R,"LGF7")</f>
        <v>0</v>
      </c>
      <c r="T19" s="152">
        <f t="shared" ref="T19:T25" si="10">S19*$T$26/$S$26</f>
        <v>0</v>
      </c>
    </row>
    <row r="20" spans="2:20" x14ac:dyDescent="0.2">
      <c r="B20" s="238" t="s">
        <v>63</v>
      </c>
      <c r="C20" s="222">
        <f>COUNTIF('Consolidado Accidentes'!AJ7:AJ443,"Golpeado Contra")</f>
        <v>19</v>
      </c>
      <c r="D20" s="223">
        <f t="shared" si="7"/>
        <v>9.8958333333333329E-2</v>
      </c>
      <c r="E20" s="224">
        <f t="shared" si="8"/>
        <v>0.54166666666666674</v>
      </c>
      <c r="G20" s="169"/>
      <c r="H20" s="167"/>
      <c r="I20" s="80"/>
      <c r="J20" s="80"/>
      <c r="L20" s="78" t="s">
        <v>1382</v>
      </c>
      <c r="M20" s="81">
        <f>COUNTIF('Consolidado Accidentes'!B6:B512,"Febrero")</f>
        <v>8</v>
      </c>
      <c r="N20" s="73">
        <f t="shared" si="9"/>
        <v>4.2105263157894736E-2</v>
      </c>
      <c r="O20" s="60"/>
      <c r="R20" s="150" t="s">
        <v>1383</v>
      </c>
      <c r="S20" s="151">
        <f>COUNTIF('Consolidado Accidentes'!R:R,"LGF4")</f>
        <v>0</v>
      </c>
      <c r="T20" s="152">
        <f t="shared" si="10"/>
        <v>0</v>
      </c>
    </row>
    <row r="21" spans="2:20" x14ac:dyDescent="0.2">
      <c r="B21" s="72" t="s">
        <v>130</v>
      </c>
      <c r="C21" s="61">
        <f>COUNTIF('Consolidado Accidentes'!AJ7:AJ443,"Contacto con cuerpo cortante")</f>
        <v>18</v>
      </c>
      <c r="D21" s="73">
        <f t="shared" si="7"/>
        <v>9.375E-2</v>
      </c>
      <c r="E21" s="60">
        <f t="shared" si="8"/>
        <v>0.63541666666666674</v>
      </c>
      <c r="G21" s="55" t="s">
        <v>1384</v>
      </c>
      <c r="H21" s="53" t="s">
        <v>1363</v>
      </c>
      <c r="I21" s="80"/>
      <c r="J21" s="80"/>
      <c r="K21" s="51">
        <v>1</v>
      </c>
      <c r="L21" s="78" t="s">
        <v>1385</v>
      </c>
      <c r="M21" s="81">
        <f>COUNTIF('Consolidado Accidentes'!B6:B512,"Marzo")</f>
        <v>13</v>
      </c>
      <c r="N21" s="73">
        <f t="shared" si="9"/>
        <v>6.8421052631578952E-2</v>
      </c>
      <c r="O21" s="60"/>
      <c r="R21" s="150" t="s">
        <v>1386</v>
      </c>
      <c r="S21" s="151">
        <f>COUNTIF('Consolidado Accidentes'!R:R,"LGF2")</f>
        <v>3</v>
      </c>
      <c r="T21" s="152">
        <f t="shared" si="10"/>
        <v>1</v>
      </c>
    </row>
    <row r="22" spans="2:20" x14ac:dyDescent="0.2">
      <c r="B22" s="72" t="s">
        <v>115</v>
      </c>
      <c r="C22" s="61">
        <f>COUNTIF('Consolidado Accidentes'!AJ7:AJ443,"Proyeccion de particulas")</f>
        <v>10</v>
      </c>
      <c r="D22" s="73">
        <f t="shared" si="7"/>
        <v>5.2083333333333336E-2</v>
      </c>
      <c r="E22" s="60">
        <f t="shared" si="8"/>
        <v>0.68750000000000011</v>
      </c>
      <c r="G22" s="82" t="s">
        <v>1387</v>
      </c>
      <c r="H22" s="83">
        <f>SUM('Consolidado Accidentes'!O7:O445)</f>
        <v>520</v>
      </c>
      <c r="I22" s="80"/>
      <c r="J22" s="80"/>
      <c r="K22" s="51">
        <v>2</v>
      </c>
      <c r="L22" s="78" t="s">
        <v>1388</v>
      </c>
      <c r="M22" s="81">
        <v>9</v>
      </c>
      <c r="N22" s="73">
        <f t="shared" si="9"/>
        <v>4.736842105263158E-2</v>
      </c>
      <c r="O22" s="60"/>
      <c r="R22" s="114" t="s">
        <v>1389</v>
      </c>
      <c r="S22" s="142">
        <f>COUNTIF('Consolidado Accidentes'!R:R,"LGF1")</f>
        <v>0</v>
      </c>
      <c r="T22" s="148">
        <f t="shared" si="10"/>
        <v>0</v>
      </c>
    </row>
    <row r="23" spans="2:20" ht="13.5" thickBot="1" x14ac:dyDescent="0.25">
      <c r="B23" s="72" t="s">
        <v>237</v>
      </c>
      <c r="C23" s="61">
        <f>COUNTIF('Consolidado Accidentes'!AJ7:AJ443,"Otros")</f>
        <v>19</v>
      </c>
      <c r="D23" s="73">
        <f t="shared" si="7"/>
        <v>9.8958333333333329E-2</v>
      </c>
      <c r="E23" s="60">
        <f t="shared" si="8"/>
        <v>0.78645833333333348</v>
      </c>
      <c r="G23" s="168"/>
      <c r="H23" s="167"/>
      <c r="I23" s="80"/>
      <c r="J23" s="80"/>
      <c r="K23" s="51">
        <v>3</v>
      </c>
      <c r="L23" s="78" t="s">
        <v>1390</v>
      </c>
      <c r="M23" s="81">
        <f>COUNTIF('Consolidado Accidentes'!B6:B512,"Mayo")</f>
        <v>16</v>
      </c>
      <c r="N23" s="73">
        <f t="shared" si="9"/>
        <v>8.4210526315789472E-2</v>
      </c>
      <c r="O23" s="60"/>
      <c r="R23" s="114" t="s">
        <v>1391</v>
      </c>
      <c r="S23" s="142">
        <f>COUNTIF('Consolidado Accidentes'!R:R,"LGF3")</f>
        <v>0</v>
      </c>
      <c r="T23" s="148">
        <f t="shared" si="10"/>
        <v>0</v>
      </c>
    </row>
    <row r="24" spans="2:20" x14ac:dyDescent="0.2">
      <c r="B24" s="72" t="s">
        <v>177</v>
      </c>
      <c r="C24" s="61">
        <f>COUNTIF('Consolidado Accidentes'!AJ7:AJ443,"Atrapamiento")</f>
        <v>10</v>
      </c>
      <c r="D24" s="73">
        <f t="shared" si="7"/>
        <v>5.2083333333333336E-2</v>
      </c>
      <c r="E24" s="60">
        <f t="shared" si="8"/>
        <v>0.83854166666666685</v>
      </c>
      <c r="G24" s="84" t="s">
        <v>1392</v>
      </c>
      <c r="H24" s="85">
        <f>AVERAGE(M19:M30)</f>
        <v>15.833333333333334</v>
      </c>
      <c r="K24" s="51">
        <v>4</v>
      </c>
      <c r="L24" s="78" t="s">
        <v>1393</v>
      </c>
      <c r="M24" s="81">
        <f>COUNTIF('Consolidado Accidentes'!B6:B512,"Junio")</f>
        <v>18</v>
      </c>
      <c r="N24" s="73">
        <f t="shared" si="9"/>
        <v>9.4736842105263161E-2</v>
      </c>
      <c r="O24" s="60"/>
      <c r="R24" s="114" t="s">
        <v>1394</v>
      </c>
      <c r="S24" s="142">
        <f>COUNTIF('Consolidado Accidentes'!R:R,"LGF5")</f>
        <v>0</v>
      </c>
      <c r="T24" s="148">
        <f t="shared" si="10"/>
        <v>0</v>
      </c>
    </row>
    <row r="25" spans="2:20" x14ac:dyDescent="0.2">
      <c r="B25" s="72" t="s">
        <v>156</v>
      </c>
      <c r="C25" s="61">
        <f>COUNTIF('Consolidado Accidentes'!AJ7:AJ443,"Caida de distinto nivel")</f>
        <v>7</v>
      </c>
      <c r="D25" s="73">
        <f t="shared" si="7"/>
        <v>3.6458333333333336E-2</v>
      </c>
      <c r="E25" s="60">
        <f t="shared" si="8"/>
        <v>0.87500000000000022</v>
      </c>
      <c r="K25" s="51">
        <v>5</v>
      </c>
      <c r="L25" s="78" t="s">
        <v>1395</v>
      </c>
      <c r="M25" s="81">
        <f>COUNTIF('Consolidado Accidentes'!B6:B512,"Julio")</f>
        <v>19</v>
      </c>
      <c r="N25" s="73">
        <f t="shared" si="9"/>
        <v>0.1</v>
      </c>
      <c r="O25" s="60"/>
      <c r="R25" s="114" t="s">
        <v>1396</v>
      </c>
      <c r="S25" s="142">
        <f>COUNTIF('Consolidado Accidentes'!R:R,"LGF6")</f>
        <v>0</v>
      </c>
      <c r="T25" s="148">
        <f t="shared" si="10"/>
        <v>0</v>
      </c>
    </row>
    <row r="26" spans="2:20" x14ac:dyDescent="0.2">
      <c r="B26" s="72" t="s">
        <v>560</v>
      </c>
      <c r="C26" s="61">
        <f>COUNTIF('Consolidado Accidentes'!AJ7:AJ443,"Exposicion a humo y gases")</f>
        <v>3</v>
      </c>
      <c r="D26" s="73">
        <f t="shared" si="7"/>
        <v>1.5625E-2</v>
      </c>
      <c r="E26" s="60">
        <f t="shared" si="8"/>
        <v>0.89062500000000022</v>
      </c>
      <c r="G26" s="52" t="s">
        <v>1397</v>
      </c>
      <c r="H26" s="53" t="s">
        <v>1363</v>
      </c>
      <c r="I26" s="75" t="s">
        <v>1364</v>
      </c>
      <c r="J26" s="53" t="s">
        <v>1365</v>
      </c>
      <c r="K26" s="51">
        <v>6</v>
      </c>
      <c r="L26" s="78" t="s">
        <v>1398</v>
      </c>
      <c r="M26" s="81">
        <f>COUNTIF('Consolidado Accidentes'!B6:B512,"Agosto")</f>
        <v>5</v>
      </c>
      <c r="N26" s="73">
        <f t="shared" si="9"/>
        <v>2.6315789473684209E-2</v>
      </c>
      <c r="O26" s="60"/>
      <c r="R26" s="145" t="s">
        <v>1375</v>
      </c>
      <c r="S26" s="149">
        <f>SUM(S19:S25)</f>
        <v>3</v>
      </c>
      <c r="T26" s="146">
        <v>1</v>
      </c>
    </row>
    <row r="27" spans="2:20" x14ac:dyDescent="0.2">
      <c r="B27" s="72" t="s">
        <v>199</v>
      </c>
      <c r="C27" s="61">
        <f>COUNTIF('Consolidado Accidentes'!AJ7:AJ443,"Sobreesfuerzo")</f>
        <v>10</v>
      </c>
      <c r="D27" s="73">
        <f t="shared" si="7"/>
        <v>5.2083333333333336E-2</v>
      </c>
      <c r="E27" s="60">
        <f t="shared" si="8"/>
        <v>0.94270833333333359</v>
      </c>
      <c r="G27" s="221" t="s">
        <v>83</v>
      </c>
      <c r="H27" s="222">
        <f>COUNTIF('Consolidado Accidentes'!AG7:AG446,"Superficies de trabajo")</f>
        <v>26</v>
      </c>
      <c r="I27" s="223">
        <f t="shared" ref="I27:I45" si="11">H27/$H$48</f>
        <v>0.13541666666666666</v>
      </c>
      <c r="J27" s="224">
        <f>I27</f>
        <v>0.13541666666666666</v>
      </c>
      <c r="K27" s="51">
        <v>7</v>
      </c>
      <c r="L27" s="78" t="s">
        <v>1399</v>
      </c>
      <c r="M27" s="81">
        <f>COUNTIF('Consolidado Accidentes'!B14:B354,"Septiembre")</f>
        <v>11</v>
      </c>
      <c r="N27" s="73">
        <f t="shared" si="9"/>
        <v>5.7894736842105263E-2</v>
      </c>
      <c r="O27" s="60"/>
    </row>
    <row r="28" spans="2:20" x14ac:dyDescent="0.2">
      <c r="B28" s="72" t="s">
        <v>101</v>
      </c>
      <c r="C28" s="61">
        <f>COUNTIF('Consolidado Accidentes'!AJ7:AJ443,"Contacto con cuerpo punzante")</f>
        <v>2</v>
      </c>
      <c r="D28" s="73">
        <f t="shared" si="7"/>
        <v>1.0416666666666666E-2</v>
      </c>
      <c r="E28" s="60">
        <f t="shared" si="8"/>
        <v>0.95312500000000022</v>
      </c>
      <c r="G28" s="225" t="s">
        <v>128</v>
      </c>
      <c r="H28" s="222">
        <f>COUNTIF('Consolidado Accidentes'!AG7:AG447,"Infraestructura")</f>
        <v>19</v>
      </c>
      <c r="I28" s="223">
        <f t="shared" si="11"/>
        <v>9.8958333333333329E-2</v>
      </c>
      <c r="J28" s="224">
        <f>J27+I28</f>
        <v>0.234375</v>
      </c>
      <c r="K28" s="51">
        <v>8</v>
      </c>
      <c r="L28" s="78" t="s">
        <v>1400</v>
      </c>
      <c r="M28" s="81">
        <f>COUNTIF('Consolidado Accidentes'!B15:B355,"Octubre")</f>
        <v>16</v>
      </c>
      <c r="N28" s="73">
        <f t="shared" si="9"/>
        <v>8.4210526315789472E-2</v>
      </c>
      <c r="O28" s="60"/>
    </row>
    <row r="29" spans="2:20" x14ac:dyDescent="0.2">
      <c r="B29" s="72" t="s">
        <v>247</v>
      </c>
      <c r="C29" s="61">
        <f>COUNTIF('Consolidado Accidentes'!AJ7:AJ443,"Contacto con temperaturas extremas")</f>
        <v>3</v>
      </c>
      <c r="D29" s="73">
        <f t="shared" si="7"/>
        <v>1.5625E-2</v>
      </c>
      <c r="E29" s="60">
        <f t="shared" si="8"/>
        <v>0.96875000000000022</v>
      </c>
      <c r="G29" s="237" t="s">
        <v>237</v>
      </c>
      <c r="H29" s="222">
        <f>COUNTIF('Consolidado Accidentes'!AG7:AG446,"Otros")</f>
        <v>45</v>
      </c>
      <c r="I29" s="223">
        <f t="shared" si="11"/>
        <v>0.234375</v>
      </c>
      <c r="J29" s="224">
        <f t="shared" ref="J29:J45" si="12">J28+I29</f>
        <v>0.46875</v>
      </c>
      <c r="L29" s="78" t="s">
        <v>1401</v>
      </c>
      <c r="M29" s="81">
        <f>COUNTIF('Consolidado Accidentes'!B16:B356,"Noviembre")</f>
        <v>28</v>
      </c>
      <c r="N29" s="73">
        <f t="shared" si="9"/>
        <v>0.14736842105263157</v>
      </c>
      <c r="O29" s="60"/>
      <c r="R29" s="52" t="s">
        <v>1402</v>
      </c>
      <c r="S29" s="157" t="s">
        <v>141</v>
      </c>
      <c r="T29" s="75" t="s">
        <v>1364</v>
      </c>
    </row>
    <row r="30" spans="2:20" x14ac:dyDescent="0.2">
      <c r="B30" s="100" t="s">
        <v>238</v>
      </c>
      <c r="C30" s="61">
        <f>COUNTIF('Consolidado Accidentes'!AJ7:AJ443,"Picadura")</f>
        <v>1</v>
      </c>
      <c r="D30" s="73">
        <f t="shared" si="7"/>
        <v>5.208333333333333E-3</v>
      </c>
      <c r="E30" s="60">
        <f t="shared" si="8"/>
        <v>0.97395833333333359</v>
      </c>
      <c r="G30" s="225" t="s">
        <v>254</v>
      </c>
      <c r="H30" s="222">
        <f>COUNTIF('Consolidado Accidentes'!AG7:AG446,"Materia Prima")</f>
        <v>15</v>
      </c>
      <c r="I30" s="223">
        <f t="shared" si="11"/>
        <v>7.8125E-2</v>
      </c>
      <c r="J30" s="224">
        <f t="shared" si="12"/>
        <v>0.546875</v>
      </c>
      <c r="K30" s="51">
        <v>9</v>
      </c>
      <c r="L30" s="78" t="s">
        <v>1403</v>
      </c>
      <c r="M30" s="81">
        <f>COUNTIF('Consolidado Accidentes'!B17:B357,"Diciembre")</f>
        <v>28</v>
      </c>
      <c r="N30" s="73">
        <f t="shared" si="9"/>
        <v>0.14736842105263157</v>
      </c>
      <c r="O30" s="60"/>
      <c r="R30" s="163" t="s">
        <v>1237</v>
      </c>
      <c r="S30" s="164">
        <f>COUNTIFS('Consolidado Accidentes'!K:K,"NUEVO",'Consolidado Accidentes'!P:P,"CTP")</f>
        <v>11</v>
      </c>
      <c r="T30" s="165">
        <f>S30*$T$33/$S$33</f>
        <v>0.37931034482758619</v>
      </c>
    </row>
    <row r="31" spans="2:20" x14ac:dyDescent="0.2">
      <c r="B31" s="72" t="s">
        <v>418</v>
      </c>
      <c r="C31" s="61">
        <f>COUNTIF('Consolidado Accidentes'!AJ7:AJ443,"Contacto con sustancias toxicas")</f>
        <v>1</v>
      </c>
      <c r="D31" s="73">
        <f t="shared" si="7"/>
        <v>5.208333333333333E-3</v>
      </c>
      <c r="E31" s="60">
        <f t="shared" si="8"/>
        <v>0.97916666666666696</v>
      </c>
      <c r="G31" s="225" t="s">
        <v>175</v>
      </c>
      <c r="H31" s="222">
        <f>COUNTIF('Consolidado Accidentes'!AG7:AG446,"Maquinarias")</f>
        <v>19</v>
      </c>
      <c r="I31" s="223">
        <f t="shared" si="11"/>
        <v>9.8958333333333329E-2</v>
      </c>
      <c r="J31" s="224">
        <f t="shared" si="12"/>
        <v>0.64583333333333337</v>
      </c>
      <c r="K31" s="51">
        <v>10</v>
      </c>
      <c r="L31" s="87"/>
      <c r="M31" s="88"/>
      <c r="N31" s="89"/>
      <c r="O31" s="90"/>
      <c r="R31" s="114" t="s">
        <v>827</v>
      </c>
      <c r="S31" s="142">
        <f>COUNTIFS('Consolidado Accidentes'!K:K,"INTERMEDIO",'Consolidado Accidentes'!P:P,"CTP")</f>
        <v>6</v>
      </c>
      <c r="T31" s="161">
        <f>S31*$T$33/$S$33</f>
        <v>0.20689655172413793</v>
      </c>
    </row>
    <row r="32" spans="2:20" x14ac:dyDescent="0.2">
      <c r="B32" s="72" t="s">
        <v>1120</v>
      </c>
      <c r="C32" s="61">
        <f>COUNTIF('Consolidado Accidentes'!AJ7:AJ443,"Contacto con electricidad")</f>
        <v>1</v>
      </c>
      <c r="D32" s="73">
        <f t="shared" si="7"/>
        <v>5.208333333333333E-3</v>
      </c>
      <c r="E32" s="60">
        <f t="shared" si="8"/>
        <v>0.98437500000000033</v>
      </c>
      <c r="G32" s="225" t="s">
        <v>60</v>
      </c>
      <c r="H32" s="222">
        <f>COUNTIF('Consolidado Accidentes'!AG7:AG446,"Materiales")</f>
        <v>16</v>
      </c>
      <c r="I32" s="223">
        <f t="shared" si="11"/>
        <v>8.3333333333333329E-2</v>
      </c>
      <c r="J32" s="224">
        <f t="shared" si="12"/>
        <v>0.72916666666666674</v>
      </c>
      <c r="K32" s="51">
        <v>11</v>
      </c>
      <c r="L32" s="91" t="s">
        <v>1363</v>
      </c>
      <c r="M32" s="65">
        <f>SUM(M19:M31)</f>
        <v>190</v>
      </c>
      <c r="N32" s="67">
        <f>SUM(N19:N30)</f>
        <v>1</v>
      </c>
      <c r="O32" s="66"/>
      <c r="R32" s="114" t="s">
        <v>896</v>
      </c>
      <c r="S32" s="142">
        <f>COUNTIFS('Consolidado Accidentes'!K:K,"ANTIGUO",'Consolidado Accidentes'!P:P,"CTP")</f>
        <v>12</v>
      </c>
      <c r="T32" s="161">
        <f>S32*$T$33/$S$33</f>
        <v>0.41379310344827586</v>
      </c>
    </row>
    <row r="33" spans="2:20" x14ac:dyDescent="0.2">
      <c r="B33" s="170" t="s">
        <v>1023</v>
      </c>
      <c r="C33" s="61">
        <f>COUNTIF('Consolidado Accidentes'!AJ7:AJ443,"Contacto con sustancias corrosivas")</f>
        <v>3</v>
      </c>
      <c r="D33" s="73">
        <f t="shared" si="7"/>
        <v>1.5625E-2</v>
      </c>
      <c r="E33" s="60">
        <f t="shared" si="8"/>
        <v>1.0000000000000004</v>
      </c>
      <c r="G33" s="225" t="s">
        <v>112</v>
      </c>
      <c r="H33" s="222">
        <f>COUNTIF('Consolidado Accidentes'!AG7:AG446,"Producto Quimico")</f>
        <v>9</v>
      </c>
      <c r="I33" s="223">
        <f t="shared" si="11"/>
        <v>4.6875E-2</v>
      </c>
      <c r="J33" s="224">
        <f t="shared" si="12"/>
        <v>0.77604166666666674</v>
      </c>
      <c r="K33" s="51">
        <v>12</v>
      </c>
      <c r="R33" s="155" t="s">
        <v>1375</v>
      </c>
      <c r="S33" s="156">
        <f>SUM(S30:S32)</f>
        <v>29</v>
      </c>
      <c r="T33" s="160">
        <v>1</v>
      </c>
    </row>
    <row r="34" spans="2:20" x14ac:dyDescent="0.2">
      <c r="B34" s="92"/>
      <c r="C34" s="61"/>
      <c r="D34" s="73"/>
      <c r="E34" s="60"/>
      <c r="G34" s="86" t="s">
        <v>329</v>
      </c>
      <c r="H34" s="61">
        <f>COUNTIF('Consolidado Accidentes'!AG7:AG446,"Equipos Transporte de carga")</f>
        <v>13</v>
      </c>
      <c r="I34" s="73">
        <f t="shared" si="11"/>
        <v>6.7708333333333329E-2</v>
      </c>
      <c r="J34" s="60">
        <f t="shared" si="12"/>
        <v>0.84375000000000011</v>
      </c>
      <c r="L34" s="52" t="s">
        <v>1404</v>
      </c>
      <c r="M34" s="56" t="s">
        <v>1363</v>
      </c>
      <c r="N34" s="54" t="s">
        <v>1364</v>
      </c>
      <c r="O34" s="53" t="s">
        <v>1365</v>
      </c>
      <c r="R34" s="52" t="s">
        <v>1402</v>
      </c>
      <c r="S34" s="158" t="s">
        <v>49</v>
      </c>
      <c r="T34" s="159" t="s">
        <v>1364</v>
      </c>
    </row>
    <row r="35" spans="2:20" x14ac:dyDescent="0.2">
      <c r="B35" s="92"/>
      <c r="C35" s="61"/>
      <c r="D35" s="73"/>
      <c r="E35" s="60"/>
      <c r="G35" s="86" t="s">
        <v>166</v>
      </c>
      <c r="H35" s="61">
        <f>COUNTIF('Consolidado Accidentes'!AG7:AG446,"Bins")</f>
        <v>4</v>
      </c>
      <c r="I35" s="73">
        <f t="shared" si="11"/>
        <v>2.0833333333333332E-2</v>
      </c>
      <c r="J35" s="60">
        <f t="shared" si="12"/>
        <v>0.86458333333333348</v>
      </c>
      <c r="L35" s="93" t="s">
        <v>1405</v>
      </c>
      <c r="M35" s="94">
        <f>COUNTIF('Consolidado Accidentes'!F7:F365,"MASCULINO")</f>
        <v>133</v>
      </c>
      <c r="N35" s="58">
        <f>M35/$M$37</f>
        <v>0.68205128205128207</v>
      </c>
      <c r="O35" s="59">
        <f>N35</f>
        <v>0.68205128205128207</v>
      </c>
      <c r="P35" s="95"/>
      <c r="R35" s="163" t="s">
        <v>1237</v>
      </c>
      <c r="S35" s="164">
        <f>COUNTIFS('Consolidado Accidentes'!K:K,"NUEVO",'Consolidado Accidentes'!P:P,"STP",'Consolidado Accidentes'!AN:AN,"SI")</f>
        <v>10</v>
      </c>
      <c r="T35" s="165">
        <f>S35*$T$38/$S$38</f>
        <v>0.45454545454545453</v>
      </c>
    </row>
    <row r="36" spans="2:20" ht="13.5" thickBot="1" x14ac:dyDescent="0.25">
      <c r="B36" s="96" t="s">
        <v>1363</v>
      </c>
      <c r="C36" s="64">
        <f>SUM(C18:C33)</f>
        <v>192</v>
      </c>
      <c r="D36" s="97">
        <f>SUM(D18:D33)</f>
        <v>1.0000000000000004</v>
      </c>
      <c r="E36" s="67"/>
      <c r="G36" s="86" t="s">
        <v>289</v>
      </c>
      <c r="H36" s="61">
        <f>COUNTIF('Consolidado Accidentes'!AG7:AG446,"Bandejas")</f>
        <v>5</v>
      </c>
      <c r="I36" s="73">
        <f t="shared" si="11"/>
        <v>2.6041666666666668E-2</v>
      </c>
      <c r="J36" s="60">
        <f t="shared" si="12"/>
        <v>0.89062500000000011</v>
      </c>
      <c r="L36" s="71" t="s">
        <v>1406</v>
      </c>
      <c r="M36" s="57">
        <f>COUNTIF('Consolidado Accidentes'!F7:F365,"FEMENINO")</f>
        <v>62</v>
      </c>
      <c r="N36" s="60">
        <f>M36/$M$37</f>
        <v>0.31794871794871793</v>
      </c>
      <c r="O36" s="59">
        <f>O35+N36</f>
        <v>1</v>
      </c>
      <c r="R36" s="114" t="s">
        <v>827</v>
      </c>
      <c r="S36" s="142">
        <f>COUNTIFS('Consolidado Accidentes'!K:K,"INTERMEDIO",'Consolidado Accidentes'!P:P,"STP",'Consolidado Accidentes'!AN:AN,"SI")</f>
        <v>3</v>
      </c>
      <c r="T36" s="161">
        <f>S36*$T$38/$S$38</f>
        <v>0.13636363636363635</v>
      </c>
    </row>
    <row r="37" spans="2:20" x14ac:dyDescent="0.2">
      <c r="G37" s="86" t="s">
        <v>99</v>
      </c>
      <c r="H37" s="61">
        <f>COUNTIF('Consolidado Accidentes'!AG7:AG447,"Cuchillo")</f>
        <v>5</v>
      </c>
      <c r="I37" s="73">
        <f t="shared" si="11"/>
        <v>2.6041666666666668E-2</v>
      </c>
      <c r="J37" s="60">
        <f t="shared" si="12"/>
        <v>0.91666666666666674</v>
      </c>
      <c r="L37" s="64" t="s">
        <v>1373</v>
      </c>
      <c r="M37" s="98">
        <f>SUM(M35:M36)</f>
        <v>195</v>
      </c>
      <c r="N37" s="67">
        <f>SUM(N35:N36)</f>
        <v>1</v>
      </c>
      <c r="O37" s="67"/>
      <c r="R37" s="114" t="s">
        <v>896</v>
      </c>
      <c r="S37" s="142">
        <f>COUNTIFS('Consolidado Accidentes'!K:K,"ANTIGUO",'Consolidado Accidentes'!P:P,"STP",'Consolidado Accidentes'!AN:AN,"SI")</f>
        <v>9</v>
      </c>
      <c r="T37" s="161">
        <f>S37*$T$38/$S$38</f>
        <v>0.40909090909090912</v>
      </c>
    </row>
    <row r="38" spans="2:20" x14ac:dyDescent="0.2">
      <c r="B38" s="99" t="s">
        <v>26</v>
      </c>
      <c r="C38" s="56" t="s">
        <v>1363</v>
      </c>
      <c r="D38" s="54" t="s">
        <v>1364</v>
      </c>
      <c r="E38" s="53" t="s">
        <v>1365</v>
      </c>
      <c r="G38" s="86" t="s">
        <v>213</v>
      </c>
      <c r="H38" s="61">
        <f>COUNTIF('Consolidado Accidentes'!AG7:AG446,"Pallet")</f>
        <v>3</v>
      </c>
      <c r="I38" s="73">
        <f t="shared" si="11"/>
        <v>1.5625E-2</v>
      </c>
      <c r="J38" s="60">
        <f t="shared" si="12"/>
        <v>0.93229166666666674</v>
      </c>
      <c r="P38" s="95"/>
      <c r="R38" s="153" t="s">
        <v>1375</v>
      </c>
      <c r="S38" s="154">
        <f>SUM(S35:S37)</f>
        <v>22</v>
      </c>
      <c r="T38" s="162">
        <v>1</v>
      </c>
    </row>
    <row r="39" spans="2:20" x14ac:dyDescent="0.2">
      <c r="B39" s="243" t="s">
        <v>1265</v>
      </c>
      <c r="C39" s="232">
        <f>COUNTIF('Consolidado Accidentes'!Z7:Z443,"Jueves")</f>
        <v>39</v>
      </c>
      <c r="D39" s="233">
        <f t="shared" ref="D39:D45" si="13">C39/$C$47</f>
        <v>0.20418848167539266</v>
      </c>
      <c r="E39" s="230">
        <f>D39</f>
        <v>0.20418848167539266</v>
      </c>
      <c r="G39" s="86" t="s">
        <v>147</v>
      </c>
      <c r="H39" s="61">
        <f>COUNTIF('Consolidado Accidentes'!AG7:AG446,"Cajas")</f>
        <v>6</v>
      </c>
      <c r="I39" s="73">
        <f t="shared" si="11"/>
        <v>3.125E-2</v>
      </c>
      <c r="J39" s="60">
        <f t="shared" si="12"/>
        <v>0.96354166666666674</v>
      </c>
      <c r="L39" s="99" t="s">
        <v>1407</v>
      </c>
      <c r="M39" s="56" t="s">
        <v>1363</v>
      </c>
      <c r="N39" s="54" t="s">
        <v>1364</v>
      </c>
      <c r="O39" s="53" t="s">
        <v>1365</v>
      </c>
      <c r="P39" s="95"/>
    </row>
    <row r="40" spans="2:20" x14ac:dyDescent="0.2">
      <c r="B40" s="229" t="s">
        <v>1261</v>
      </c>
      <c r="C40" s="222">
        <f>COUNTIF('Consolidado Accidentes'!Z7:Z443,"MIERCOLES")</f>
        <v>38</v>
      </c>
      <c r="D40" s="230">
        <f t="shared" si="13"/>
        <v>0.19895287958115182</v>
      </c>
      <c r="E40" s="230">
        <f t="shared" ref="E40:E45" si="14">E39+D40</f>
        <v>0.40314136125654448</v>
      </c>
      <c r="G40" s="86" t="s">
        <v>236</v>
      </c>
      <c r="H40" s="61">
        <f>COUNTIF('Consolidado Accidentes'!AG7:AG446,"Animales - Insectos")</f>
        <v>1</v>
      </c>
      <c r="I40" s="73">
        <f t="shared" si="11"/>
        <v>5.208333333333333E-3</v>
      </c>
      <c r="J40" s="60">
        <f t="shared" si="12"/>
        <v>0.96875000000000011</v>
      </c>
      <c r="L40" s="226" t="s">
        <v>1408</v>
      </c>
      <c r="M40" s="227">
        <f>COUNTIF('Consolidado Accidentes'!AL7:AL355,"Accion")</f>
        <v>143</v>
      </c>
      <c r="N40" s="228">
        <f>M40/$M$42</f>
        <v>0.77717391304347827</v>
      </c>
      <c r="O40" s="59">
        <f>N40</f>
        <v>0.77717391304347827</v>
      </c>
    </row>
    <row r="41" spans="2:20" x14ac:dyDescent="0.2">
      <c r="B41" s="229" t="s">
        <v>1251</v>
      </c>
      <c r="C41" s="222">
        <f>COUNTIF('Consolidado Accidentes'!Z7:Z443,"Lunes")</f>
        <v>31</v>
      </c>
      <c r="D41" s="230">
        <f t="shared" si="13"/>
        <v>0.16230366492146597</v>
      </c>
      <c r="E41" s="230">
        <f t="shared" si="14"/>
        <v>0.5654450261780104</v>
      </c>
      <c r="G41" s="86" t="s">
        <v>319</v>
      </c>
      <c r="H41" s="61">
        <f>COUNTIF('Consolidado Accidentes'!AG7:AG446,"Herramientas de mano")</f>
        <v>3</v>
      </c>
      <c r="I41" s="73">
        <f t="shared" si="11"/>
        <v>1.5625E-2</v>
      </c>
      <c r="J41" s="60">
        <f t="shared" si="12"/>
        <v>0.98437500000000011</v>
      </c>
      <c r="L41" s="71" t="s">
        <v>1409</v>
      </c>
      <c r="M41" s="57">
        <f>COUNTIF('Consolidado Accidentes'!AL7:AL355,"Condicion")</f>
        <v>41</v>
      </c>
      <c r="N41" s="60">
        <f>M41/$M$42</f>
        <v>0.22282608695652173</v>
      </c>
      <c r="O41" s="59">
        <f>O40+N41</f>
        <v>1</v>
      </c>
    </row>
    <row r="42" spans="2:20" x14ac:dyDescent="0.2">
      <c r="B42" s="71" t="s">
        <v>1269</v>
      </c>
      <c r="C42" s="61">
        <f>COUNTIF('Consolidado Accidentes'!Z7:Z443,"Viernes")</f>
        <v>34</v>
      </c>
      <c r="D42" s="59">
        <f t="shared" si="13"/>
        <v>0.17801047120418848</v>
      </c>
      <c r="E42" s="244">
        <f t="shared" si="14"/>
        <v>0.74345549738219885</v>
      </c>
      <c r="G42" s="86" t="s">
        <v>905</v>
      </c>
      <c r="H42" s="61">
        <f>COUNTIF('Consolidado Accidentes'!AG7:AG446,"Vehículos")</f>
        <v>1</v>
      </c>
      <c r="I42" s="73">
        <f t="shared" si="11"/>
        <v>5.208333333333333E-3</v>
      </c>
      <c r="J42" s="60">
        <f t="shared" si="12"/>
        <v>0.98958333333333348</v>
      </c>
      <c r="L42" s="64" t="s">
        <v>1373</v>
      </c>
      <c r="M42" s="98">
        <f>SUM(M40:M41)</f>
        <v>184</v>
      </c>
      <c r="N42" s="67">
        <f>SUM(N40:N41)</f>
        <v>1</v>
      </c>
      <c r="O42" s="67"/>
    </row>
    <row r="43" spans="2:20" x14ac:dyDescent="0.2">
      <c r="B43" s="71" t="s">
        <v>1255</v>
      </c>
      <c r="C43" s="61">
        <f>COUNTIF('Consolidado Accidentes'!Z7:Z443,"Martes")</f>
        <v>27</v>
      </c>
      <c r="D43" s="59">
        <f t="shared" si="13"/>
        <v>0.14136125654450263</v>
      </c>
      <c r="E43" s="244">
        <f t="shared" si="14"/>
        <v>0.88481675392670145</v>
      </c>
      <c r="G43" s="86" t="s">
        <v>1119</v>
      </c>
      <c r="H43" s="61">
        <f>COUNTIF('Consolidado Accidentes'!AG7:AG446,"Equipo electricos")</f>
        <v>2</v>
      </c>
      <c r="I43" s="73">
        <f t="shared" si="11"/>
        <v>1.0416666666666666E-2</v>
      </c>
      <c r="J43" s="60">
        <f t="shared" si="12"/>
        <v>1.0000000000000002</v>
      </c>
      <c r="L43" s="101"/>
      <c r="M43" s="101"/>
      <c r="N43" s="90"/>
      <c r="O43" s="102"/>
    </row>
    <row r="44" spans="2:20" x14ac:dyDescent="0.2">
      <c r="B44" s="71" t="s">
        <v>1410</v>
      </c>
      <c r="C44" s="61">
        <f>COUNTIF('Consolidado Accidentes'!Z7:Z443,"Sabado")</f>
        <v>17</v>
      </c>
      <c r="D44" s="59">
        <f t="shared" si="13"/>
        <v>8.9005235602094238E-2</v>
      </c>
      <c r="E44" s="244">
        <f t="shared" si="14"/>
        <v>0.97382198952879573</v>
      </c>
      <c r="G44" s="86" t="s">
        <v>1305</v>
      </c>
      <c r="H44" s="61">
        <f>COUNTIF('Consolidado Accidentes'!AG7:AG446,"Elemento Cortante")</f>
        <v>0</v>
      </c>
      <c r="I44" s="73">
        <f t="shared" si="11"/>
        <v>0</v>
      </c>
      <c r="J44" s="60">
        <f t="shared" si="12"/>
        <v>1.0000000000000002</v>
      </c>
      <c r="L44" s="52" t="s">
        <v>1411</v>
      </c>
      <c r="M44" s="53" t="s">
        <v>1363</v>
      </c>
      <c r="N44" s="75" t="s">
        <v>1364</v>
      </c>
      <c r="O44" s="53" t="s">
        <v>1365</v>
      </c>
    </row>
    <row r="45" spans="2:20" x14ac:dyDescent="0.2">
      <c r="B45" s="100" t="s">
        <v>1277</v>
      </c>
      <c r="C45" s="61">
        <f>COUNTIF('Consolidado Accidentes'!Z7:Z443,"Domingo")</f>
        <v>5</v>
      </c>
      <c r="D45" s="59">
        <f t="shared" si="13"/>
        <v>2.6178010471204188E-2</v>
      </c>
      <c r="E45" s="244">
        <f t="shared" si="14"/>
        <v>0.99999999999999989</v>
      </c>
      <c r="G45" s="86" t="s">
        <v>1288</v>
      </c>
      <c r="H45" s="61">
        <f>COUNTIF('Consolidado Accidentes'!AG7:AG446,"Gases - Vapores")</f>
        <v>0</v>
      </c>
      <c r="I45" s="73">
        <f t="shared" si="11"/>
        <v>0</v>
      </c>
      <c r="J45" s="60">
        <f t="shared" si="12"/>
        <v>1.0000000000000002</v>
      </c>
      <c r="L45" s="229" t="s">
        <v>1412</v>
      </c>
      <c r="M45" s="222">
        <f>COUNTIF('Consolidado Accidentes'!X7:X352,"Mañana")</f>
        <v>70</v>
      </c>
      <c r="N45" s="230">
        <f>M45/$M$49</f>
        <v>0.38251366120218577</v>
      </c>
      <c r="O45" s="60">
        <f>N45</f>
        <v>0.38251366120218577</v>
      </c>
    </row>
    <row r="46" spans="2:20" ht="13.5" thickBot="1" x14ac:dyDescent="0.25">
      <c r="B46" s="101"/>
      <c r="C46" s="90"/>
      <c r="D46" s="102"/>
      <c r="E46" s="102"/>
      <c r="G46" s="50"/>
      <c r="H46" s="61"/>
      <c r="I46" s="73"/>
      <c r="J46" s="60"/>
      <c r="L46" s="229" t="s">
        <v>1413</v>
      </c>
      <c r="M46" s="222">
        <f>COUNTIF('Consolidado Accidentes'!X7:X352,"Tarde")</f>
        <v>88</v>
      </c>
      <c r="N46" s="230">
        <f>M46/$M$49</f>
        <v>0.48087431693989069</v>
      </c>
      <c r="O46" s="224">
        <f>O45+N46</f>
        <v>0.86338797814207646</v>
      </c>
    </row>
    <row r="47" spans="2:20" ht="13.5" thickBot="1" x14ac:dyDescent="0.25">
      <c r="B47" s="103" t="s">
        <v>1373</v>
      </c>
      <c r="C47" s="104">
        <f>SUM(C39:C45)</f>
        <v>191</v>
      </c>
      <c r="D47" s="66">
        <f>SUM(D39:D45)</f>
        <v>0.99999999999999989</v>
      </c>
      <c r="E47" s="66"/>
      <c r="G47" s="90"/>
      <c r="H47" s="61"/>
      <c r="I47" s="73"/>
      <c r="J47" s="60"/>
      <c r="L47" s="71" t="s">
        <v>1414</v>
      </c>
      <c r="M47" s="61">
        <f>COUNTIF('Consolidado Accidentes'!X7:X352,"Noche")</f>
        <v>25</v>
      </c>
      <c r="N47" s="59">
        <f>M47/$M$49</f>
        <v>0.13661202185792351</v>
      </c>
      <c r="O47" s="60">
        <f>O46+N47</f>
        <v>1</v>
      </c>
    </row>
    <row r="48" spans="2:20" ht="13.5" thickBot="1" x14ac:dyDescent="0.25">
      <c r="G48" s="76" t="s">
        <v>1373</v>
      </c>
      <c r="H48" s="64">
        <f>SUM(H27:H45)</f>
        <v>192</v>
      </c>
      <c r="I48" s="77">
        <f>SUM(I27:I46)</f>
        <v>1.0000000000000002</v>
      </c>
      <c r="J48" s="67"/>
      <c r="L48" s="101" t="s">
        <v>1415</v>
      </c>
      <c r="M48" s="105">
        <f>COUNTIF('Consolidado Accidentes'!X7:X352,"Administrativo")</f>
        <v>0</v>
      </c>
      <c r="N48" s="59">
        <f>M48/$M$16</f>
        <v>0</v>
      </c>
      <c r="O48" s="60">
        <f>O47+N48</f>
        <v>1</v>
      </c>
    </row>
    <row r="49" spans="2:15" ht="13.5" thickBot="1" x14ac:dyDescent="0.25">
      <c r="L49" s="64" t="s">
        <v>1373</v>
      </c>
      <c r="M49" s="104">
        <f>SUM(M45:M48)</f>
        <v>183</v>
      </c>
      <c r="N49" s="67">
        <f>SUM(N45:N48)</f>
        <v>1</v>
      </c>
      <c r="O49" s="67"/>
    </row>
    <row r="50" spans="2:15" ht="13.5" thickBot="1" x14ac:dyDescent="0.25">
      <c r="B50" s="99" t="s">
        <v>1416</v>
      </c>
      <c r="C50" s="106" t="s">
        <v>1363</v>
      </c>
      <c r="D50" s="106" t="s">
        <v>1364</v>
      </c>
      <c r="E50" s="54" t="s">
        <v>1365</v>
      </c>
      <c r="G50" s="99" t="s">
        <v>1417</v>
      </c>
      <c r="H50" s="56" t="s">
        <v>1363</v>
      </c>
      <c r="I50" s="54" t="s">
        <v>1364</v>
      </c>
      <c r="J50" s="56" t="s">
        <v>1365</v>
      </c>
    </row>
    <row r="51" spans="2:15" ht="13.5" thickBot="1" x14ac:dyDescent="0.25">
      <c r="B51" s="107" t="s">
        <v>1418</v>
      </c>
      <c r="C51" s="108">
        <f>COUNTIF('Consolidado Accidentes'!K6:K449,"NUEVO")</f>
        <v>83</v>
      </c>
      <c r="D51" s="109">
        <f>C51/$C$54</f>
        <v>0.42783505154639173</v>
      </c>
      <c r="E51" s="110">
        <f>D51</f>
        <v>0.42783505154639173</v>
      </c>
      <c r="G51" s="111" t="s">
        <v>1249</v>
      </c>
      <c r="H51" s="112">
        <f>COUNTIF('Consolidado Accidentes'!$P$7:$P$412,"STP")</f>
        <v>163</v>
      </c>
      <c r="I51" s="113">
        <f>H51/$H$55</f>
        <v>0.84895833333333337</v>
      </c>
      <c r="J51" s="58">
        <f>I51</f>
        <v>0.84895833333333337</v>
      </c>
      <c r="L51" s="52" t="s">
        <v>1419</v>
      </c>
      <c r="M51" s="53" t="s">
        <v>1363</v>
      </c>
      <c r="N51" s="75" t="s">
        <v>1364</v>
      </c>
      <c r="O51" s="53" t="s">
        <v>1365</v>
      </c>
    </row>
    <row r="52" spans="2:15" x14ac:dyDescent="0.2">
      <c r="B52" s="114" t="s">
        <v>1420</v>
      </c>
      <c r="C52" s="115">
        <f>COUNTIF('Consolidado Accidentes'!K6:K449,"ANTIGUO")</f>
        <v>80</v>
      </c>
      <c r="D52" s="116">
        <f>C52/$C$54</f>
        <v>0.41237113402061853</v>
      </c>
      <c r="E52" s="117">
        <f>E51+D52</f>
        <v>0.84020618556701021</v>
      </c>
      <c r="G52" s="118" t="s">
        <v>1241</v>
      </c>
      <c r="H52" s="119">
        <f>COUNTIF('Consolidado Accidentes'!$P$7:$P$412,"CTP")</f>
        <v>29</v>
      </c>
      <c r="I52" s="120">
        <f>H52/$H$55</f>
        <v>0.15104166666666666</v>
      </c>
      <c r="J52" s="60">
        <f>J51+I52</f>
        <v>1</v>
      </c>
      <c r="L52" s="78" t="s">
        <v>1380</v>
      </c>
      <c r="M52" s="79">
        <f>COUNTIFS('Consolidado Accidentes'!B:B,"ENERO",'Consolidado Accidentes'!P:P,"CTP")</f>
        <v>4</v>
      </c>
      <c r="N52" s="73">
        <f t="shared" ref="N52:N63" si="15">M52/$M$65</f>
        <v>0.14285714285714285</v>
      </c>
      <c r="O52" s="60"/>
    </row>
    <row r="53" spans="2:15" x14ac:dyDescent="0.2">
      <c r="B53" s="114" t="s">
        <v>1421</v>
      </c>
      <c r="C53" s="115">
        <f>COUNTIF('Consolidado Accidentes'!K7:K450,"INTERMEDIO")</f>
        <v>31</v>
      </c>
      <c r="D53" s="116">
        <f>C53/$C$54</f>
        <v>0.15979381443298968</v>
      </c>
      <c r="E53" s="59">
        <f>E52+D53</f>
        <v>0.99999999999999989</v>
      </c>
      <c r="G53" s="121" t="s">
        <v>1264</v>
      </c>
      <c r="H53" s="119">
        <f>COUNTIF('Consolidado Accidentes'!$P$7:$P$412,"Acc. Grave")</f>
        <v>0</v>
      </c>
      <c r="I53" s="120">
        <f>H53/$H$55</f>
        <v>0</v>
      </c>
      <c r="J53" s="60">
        <f>J52+I53</f>
        <v>1</v>
      </c>
      <c r="L53" s="78" t="s">
        <v>1382</v>
      </c>
      <c r="M53" s="79">
        <f>COUNTIFS('Consolidado Accidentes'!B:B,"FEBRERO",'Consolidado Accidentes'!P:P,"CTP")</f>
        <v>0</v>
      </c>
      <c r="N53" s="73">
        <f t="shared" si="15"/>
        <v>0</v>
      </c>
      <c r="O53" s="60"/>
    </row>
    <row r="54" spans="2:15" ht="13.5" thickBot="1" x14ac:dyDescent="0.25">
      <c r="B54" s="122" t="s">
        <v>1375</v>
      </c>
      <c r="C54" s="123">
        <f>SUM(C51:C53)</f>
        <v>194</v>
      </c>
      <c r="D54" s="124">
        <f>SUM(D51:D53)</f>
        <v>0.99999999999999989</v>
      </c>
      <c r="E54" s="125"/>
      <c r="G54" s="126" t="s">
        <v>1422</v>
      </c>
      <c r="H54" s="127">
        <f>COUNTIF('Consolidado Accidentes'!$P$7:$P$412,"EP")</f>
        <v>0</v>
      </c>
      <c r="I54" s="128">
        <f>H54/$H$55</f>
        <v>0</v>
      </c>
      <c r="J54" s="63">
        <f>J53+I54</f>
        <v>1</v>
      </c>
      <c r="L54" s="78" t="s">
        <v>1385</v>
      </c>
      <c r="M54" s="79">
        <f>COUNTIFS('Consolidado Accidentes'!B:B,"MARZO",'Consolidado Accidentes'!P:P,"CTP")</f>
        <v>3</v>
      </c>
      <c r="N54" s="73">
        <f t="shared" si="15"/>
        <v>0.10714285714285714</v>
      </c>
      <c r="O54" s="60"/>
    </row>
    <row r="55" spans="2:15" ht="13.5" thickBot="1" x14ac:dyDescent="0.25">
      <c r="G55" s="103" t="s">
        <v>1373</v>
      </c>
      <c r="H55" s="104">
        <f>SUM(H51:H54)</f>
        <v>192</v>
      </c>
      <c r="I55" s="66">
        <f>SUM(I51:I54)</f>
        <v>1</v>
      </c>
      <c r="J55" s="66"/>
      <c r="L55" s="78" t="s">
        <v>1388</v>
      </c>
      <c r="M55" s="79">
        <f>COUNTIFS('Consolidado Accidentes'!B:B,"ABRIL",'Consolidado Accidentes'!P:P,"CTP")</f>
        <v>0</v>
      </c>
      <c r="N55" s="73">
        <f t="shared" si="15"/>
        <v>0</v>
      </c>
      <c r="O55" s="60"/>
    </row>
    <row r="56" spans="2:15" x14ac:dyDescent="0.2">
      <c r="B56" s="129" t="s">
        <v>1423</v>
      </c>
      <c r="C56" s="130" t="s">
        <v>1363</v>
      </c>
      <c r="D56" s="130" t="s">
        <v>1364</v>
      </c>
      <c r="E56" s="131" t="s">
        <v>1365</v>
      </c>
      <c r="L56" s="78" t="s">
        <v>1390</v>
      </c>
      <c r="M56" s="79">
        <f>COUNTIFS('Consolidado Accidentes'!B:B,"MAYO",'Consolidado Accidentes'!P:P,"CTP")</f>
        <v>2</v>
      </c>
      <c r="N56" s="73">
        <f t="shared" si="15"/>
        <v>7.1428571428571425E-2</v>
      </c>
      <c r="O56" s="60"/>
    </row>
    <row r="57" spans="2:15" x14ac:dyDescent="0.2">
      <c r="B57" s="132" t="s">
        <v>1424</v>
      </c>
      <c r="C57" s="115">
        <f>COUNTIF('Consolidado Accidentes'!AM7:AM417,"Si")</f>
        <v>168</v>
      </c>
      <c r="D57" s="116">
        <f>C57/$C$59</f>
        <v>0.87958115183246077</v>
      </c>
      <c r="E57" s="117">
        <f>D57</f>
        <v>0.87958115183246077</v>
      </c>
      <c r="G57" s="133"/>
      <c r="H57" s="134"/>
      <c r="I57" s="135"/>
      <c r="J57" s="80"/>
      <c r="L57" s="78" t="s">
        <v>1393</v>
      </c>
      <c r="M57" s="79">
        <f>COUNTIFS('Consolidado Accidentes'!B:B,"JUNIO",'Consolidado Accidentes'!P:P,"CTP")</f>
        <v>2</v>
      </c>
      <c r="N57" s="73">
        <f t="shared" si="15"/>
        <v>7.1428571428571425E-2</v>
      </c>
      <c r="O57" s="60"/>
    </row>
    <row r="58" spans="2:15" x14ac:dyDescent="0.2">
      <c r="B58" s="132" t="s">
        <v>1425</v>
      </c>
      <c r="C58" s="115">
        <f>COUNTIF('Consolidado Accidentes'!AM7:AM417,"No")</f>
        <v>23</v>
      </c>
      <c r="D58" s="116">
        <f>C58/$C$59</f>
        <v>0.12041884816753927</v>
      </c>
      <c r="E58" s="117">
        <f>E57+D58</f>
        <v>1</v>
      </c>
      <c r="G58" s="136"/>
      <c r="H58" s="134"/>
      <c r="I58" s="135"/>
      <c r="J58" s="80"/>
      <c r="L58" s="78" t="s">
        <v>1395</v>
      </c>
      <c r="M58" s="79">
        <f>COUNTIFS('Consolidado Accidentes'!B:B,"JULIO",'Consolidado Accidentes'!P:P,"CTP")</f>
        <v>1</v>
      </c>
      <c r="N58" s="73">
        <f t="shared" si="15"/>
        <v>3.5714285714285712E-2</v>
      </c>
      <c r="O58" s="60"/>
    </row>
    <row r="59" spans="2:15" ht="13.5" thickBot="1" x14ac:dyDescent="0.25">
      <c r="B59" s="122" t="s">
        <v>1373</v>
      </c>
      <c r="C59" s="123">
        <f>SUM(C57:C58)</f>
        <v>191</v>
      </c>
      <c r="D59" s="124">
        <f>SUM(D57:D58)</f>
        <v>1</v>
      </c>
      <c r="E59" s="125"/>
      <c r="G59" s="133"/>
      <c r="H59" s="134"/>
      <c r="I59" s="135"/>
      <c r="J59" s="80"/>
      <c r="L59" s="78" t="s">
        <v>1398</v>
      </c>
      <c r="M59" s="79">
        <f>COUNTIFS('Consolidado Accidentes'!B:B,"AGOSTO",'Consolidado Accidentes'!P:P,"CTP")</f>
        <v>3</v>
      </c>
      <c r="N59" s="73">
        <f t="shared" si="15"/>
        <v>0.10714285714285714</v>
      </c>
      <c r="O59" s="60"/>
    </row>
    <row r="60" spans="2:15" x14ac:dyDescent="0.2">
      <c r="G60" s="137"/>
      <c r="H60" s="134"/>
      <c r="I60" s="135"/>
      <c r="J60" s="80"/>
      <c r="L60" s="78" t="s">
        <v>1399</v>
      </c>
      <c r="M60" s="79">
        <f>COUNTIFS('Consolidado Accidentes'!B:B,"SEPTIEMBRE",'Consolidado Accidentes'!P:P,"CTP")</f>
        <v>2</v>
      </c>
      <c r="N60" s="73">
        <f t="shared" si="15"/>
        <v>7.1428571428571425E-2</v>
      </c>
      <c r="O60" s="60"/>
    </row>
    <row r="61" spans="2:15" x14ac:dyDescent="0.2">
      <c r="G61" s="136"/>
      <c r="H61" s="134"/>
      <c r="I61" s="135"/>
      <c r="J61" s="80" t="s">
        <v>449</v>
      </c>
      <c r="L61" s="78" t="s">
        <v>1400</v>
      </c>
      <c r="M61" s="79">
        <f>COUNTIFS('Consolidado Accidentes'!B:B,"octubre",'Consolidado Accidentes'!P:P,"CTP")</f>
        <v>5</v>
      </c>
      <c r="N61" s="73">
        <f t="shared" si="15"/>
        <v>0.17857142857142858</v>
      </c>
      <c r="O61" s="60"/>
    </row>
    <row r="62" spans="2:15" x14ac:dyDescent="0.2">
      <c r="G62" s="136"/>
      <c r="H62" s="134"/>
      <c r="I62" s="135"/>
      <c r="J62" s="80" t="s">
        <v>449</v>
      </c>
      <c r="L62" s="78" t="s">
        <v>1401</v>
      </c>
      <c r="M62" s="79">
        <f>COUNTIFS('Consolidado Accidentes'!B:B,"noviembre",'Consolidado Accidentes'!P:P,"CTP")</f>
        <v>4</v>
      </c>
      <c r="N62" s="73">
        <f t="shared" si="15"/>
        <v>0.14285714285714285</v>
      </c>
      <c r="O62" s="60"/>
    </row>
    <row r="63" spans="2:15" x14ac:dyDescent="0.2">
      <c r="G63" s="137"/>
      <c r="H63" s="134"/>
      <c r="I63" s="135"/>
      <c r="J63" s="80" t="s">
        <v>449</v>
      </c>
      <c r="L63" s="78" t="s">
        <v>1403</v>
      </c>
      <c r="M63" s="79">
        <f>COUNTIFS('Consolidado Accidentes'!B:B,"diciembre",'Consolidado Accidentes'!P:P,"CTP")</f>
        <v>2</v>
      </c>
      <c r="N63" s="73">
        <f t="shared" si="15"/>
        <v>7.1428571428571425E-2</v>
      </c>
      <c r="O63" s="60"/>
    </row>
    <row r="64" spans="2:15" ht="13.5" thickBot="1" x14ac:dyDescent="0.25">
      <c r="G64" s="136"/>
      <c r="H64" s="134"/>
      <c r="I64" s="135"/>
      <c r="J64" s="80"/>
      <c r="L64" s="87"/>
      <c r="M64" s="138"/>
      <c r="N64" s="89"/>
      <c r="O64" s="90"/>
    </row>
    <row r="65" spans="7:15" ht="13.5" thickBot="1" x14ac:dyDescent="0.25">
      <c r="G65" s="133"/>
      <c r="H65" s="134"/>
      <c r="I65" s="135"/>
      <c r="J65" s="80"/>
      <c r="L65" s="91" t="s">
        <v>1363</v>
      </c>
      <c r="M65" s="65">
        <f>SUM(M52:M63)</f>
        <v>28</v>
      </c>
      <c r="N65" s="67">
        <f>SUM(N52:N63)</f>
        <v>0.99999999999999978</v>
      </c>
      <c r="O65" s="66"/>
    </row>
    <row r="66" spans="7:15" x14ac:dyDescent="0.2">
      <c r="G66" s="133"/>
      <c r="H66" s="134"/>
      <c r="I66" s="135"/>
      <c r="J66" s="80"/>
    </row>
    <row r="67" spans="7:15" x14ac:dyDescent="0.2">
      <c r="G67" s="139"/>
      <c r="H67" s="134"/>
      <c r="I67" s="135"/>
      <c r="J67" s="80"/>
      <c r="M67" s="51" t="s">
        <v>449</v>
      </c>
    </row>
    <row r="68" spans="7:15" x14ac:dyDescent="0.2">
      <c r="G68" s="140"/>
      <c r="H68" s="134"/>
      <c r="I68" s="135"/>
      <c r="J68" s="135"/>
    </row>
    <row r="104" spans="7:7" x14ac:dyDescent="0.2">
      <c r="G104" s="141"/>
    </row>
    <row r="105" spans="7:7" x14ac:dyDescent="0.2">
      <c r="G105" s="141"/>
    </row>
    <row r="106" spans="7:7" x14ac:dyDescent="0.2">
      <c r="G106" s="141"/>
    </row>
  </sheetData>
  <sortState xmlns:xlrd2="http://schemas.microsoft.com/office/spreadsheetml/2017/richdata2" ref="B39:E45">
    <sortCondition descending="1" ref="C39:C4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M45:N142"/>
  <sheetViews>
    <sheetView showGridLines="0" zoomScale="110" zoomScaleNormal="110" workbookViewId="0">
      <selection activeCell="G8" sqref="G8"/>
    </sheetView>
  </sheetViews>
  <sheetFormatPr baseColWidth="10" defaultColWidth="11" defaultRowHeight="12.75" x14ac:dyDescent="0.2"/>
  <cols>
    <col min="1" max="16384" width="11" style="7"/>
  </cols>
  <sheetData>
    <row r="45" spans="14:14" x14ac:dyDescent="0.2">
      <c r="N45" s="8"/>
    </row>
    <row r="93" spans="13:13" x14ac:dyDescent="0.2">
      <c r="M93" s="8"/>
    </row>
    <row r="94" spans="13:13" x14ac:dyDescent="0.2">
      <c r="M94" s="8"/>
    </row>
    <row r="95" spans="13:13" x14ac:dyDescent="0.2">
      <c r="M95" s="8"/>
    </row>
    <row r="96" spans="13:13" x14ac:dyDescent="0.2">
      <c r="M96" s="8"/>
    </row>
    <row r="97" spans="13:13" x14ac:dyDescent="0.2">
      <c r="M97" s="8"/>
    </row>
    <row r="98" spans="13:13" x14ac:dyDescent="0.2">
      <c r="M98" s="8"/>
    </row>
    <row r="99" spans="13:13" x14ac:dyDescent="0.2">
      <c r="M99" s="8"/>
    </row>
    <row r="100" spans="13:13" x14ac:dyDescent="0.2">
      <c r="M100" s="8"/>
    </row>
    <row r="101" spans="13:13" x14ac:dyDescent="0.2">
      <c r="M101" s="8"/>
    </row>
    <row r="102" spans="13:13" x14ac:dyDescent="0.2">
      <c r="M102" s="8"/>
    </row>
    <row r="103" spans="13:13" x14ac:dyDescent="0.2">
      <c r="M103" s="8"/>
    </row>
    <row r="104" spans="13:13" x14ac:dyDescent="0.2">
      <c r="M104" s="8"/>
    </row>
    <row r="105" spans="13:13" x14ac:dyDescent="0.2">
      <c r="M105" s="8"/>
    </row>
    <row r="106" spans="13:13" x14ac:dyDescent="0.2">
      <c r="M106" s="8"/>
    </row>
    <row r="107" spans="13:13" x14ac:dyDescent="0.2">
      <c r="M107" s="8"/>
    </row>
    <row r="108" spans="13:13" x14ac:dyDescent="0.2">
      <c r="M108" s="8"/>
    </row>
    <row r="109" spans="13:13" x14ac:dyDescent="0.2">
      <c r="M109" s="8"/>
    </row>
    <row r="110" spans="13:13" x14ac:dyDescent="0.2">
      <c r="M110" s="8"/>
    </row>
    <row r="111" spans="13:13" x14ac:dyDescent="0.2">
      <c r="M111" s="8"/>
    </row>
    <row r="112" spans="13:13" x14ac:dyDescent="0.2">
      <c r="M112" s="8"/>
    </row>
    <row r="113" spans="13:13" x14ac:dyDescent="0.2">
      <c r="M113" s="8"/>
    </row>
    <row r="114" spans="13:13" x14ac:dyDescent="0.2">
      <c r="M114" s="8"/>
    </row>
    <row r="115" spans="13:13" x14ac:dyDescent="0.2">
      <c r="M115" s="8"/>
    </row>
    <row r="116" spans="13:13" x14ac:dyDescent="0.2">
      <c r="M116" s="8"/>
    </row>
    <row r="117" spans="13:13" x14ac:dyDescent="0.2">
      <c r="M117" s="8"/>
    </row>
    <row r="118" spans="13:13" x14ac:dyDescent="0.2">
      <c r="M118" s="8"/>
    </row>
    <row r="119" spans="13:13" x14ac:dyDescent="0.2">
      <c r="M119" s="8"/>
    </row>
    <row r="120" spans="13:13" x14ac:dyDescent="0.2">
      <c r="M120" s="8"/>
    </row>
    <row r="121" spans="13:13" x14ac:dyDescent="0.2">
      <c r="M121" s="8"/>
    </row>
    <row r="122" spans="13:13" x14ac:dyDescent="0.2">
      <c r="M122" s="8"/>
    </row>
    <row r="123" spans="13:13" x14ac:dyDescent="0.2">
      <c r="M123" s="8"/>
    </row>
    <row r="124" spans="13:13" x14ac:dyDescent="0.2">
      <c r="M124" s="8"/>
    </row>
    <row r="125" spans="13:13" x14ac:dyDescent="0.2">
      <c r="M125" s="8"/>
    </row>
    <row r="126" spans="13:13" x14ac:dyDescent="0.2">
      <c r="M126" s="8"/>
    </row>
    <row r="127" spans="13:13" x14ac:dyDescent="0.2">
      <c r="M127" s="8"/>
    </row>
    <row r="128" spans="13:13" x14ac:dyDescent="0.2">
      <c r="M128" s="8"/>
    </row>
    <row r="129" spans="13:13" x14ac:dyDescent="0.2">
      <c r="M129" s="8"/>
    </row>
    <row r="130" spans="13:13" x14ac:dyDescent="0.2">
      <c r="M130" s="8"/>
    </row>
    <row r="131" spans="13:13" x14ac:dyDescent="0.2">
      <c r="M131" s="8"/>
    </row>
    <row r="132" spans="13:13" x14ac:dyDescent="0.2">
      <c r="M132" s="8"/>
    </row>
    <row r="133" spans="13:13" x14ac:dyDescent="0.2">
      <c r="M133" s="8"/>
    </row>
    <row r="134" spans="13:13" x14ac:dyDescent="0.2">
      <c r="M134" s="8"/>
    </row>
    <row r="135" spans="13:13" x14ac:dyDescent="0.2">
      <c r="M135" s="8"/>
    </row>
    <row r="136" spans="13:13" x14ac:dyDescent="0.2">
      <c r="M136" s="8"/>
    </row>
    <row r="137" spans="13:13" x14ac:dyDescent="0.2">
      <c r="M137" s="8"/>
    </row>
    <row r="138" spans="13:13" x14ac:dyDescent="0.2">
      <c r="M138" s="8"/>
    </row>
    <row r="139" spans="13:13" x14ac:dyDescent="0.2">
      <c r="M139" s="8"/>
    </row>
    <row r="140" spans="13:13" x14ac:dyDescent="0.2">
      <c r="M140" s="8"/>
    </row>
    <row r="141" spans="13:13" x14ac:dyDescent="0.2">
      <c r="M141" s="8"/>
    </row>
    <row r="142" spans="13:13" x14ac:dyDescent="0.2">
      <c r="M142" s="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31"/>
  <sheetViews>
    <sheetView showGridLines="0" zoomScale="90" zoomScaleNormal="90" workbookViewId="0">
      <selection activeCell="E13" sqref="E13"/>
    </sheetView>
  </sheetViews>
  <sheetFormatPr baseColWidth="10" defaultColWidth="11" defaultRowHeight="15" x14ac:dyDescent="0.25"/>
  <cols>
    <col min="1" max="1" width="14.85546875" bestFit="1" customWidth="1"/>
    <col min="2" max="2" width="25" style="13" customWidth="1"/>
    <col min="4" max="4" width="12.5703125" customWidth="1"/>
    <col min="5" max="5" width="13.42578125" customWidth="1"/>
  </cols>
  <sheetData>
    <row r="1" spans="1:14" x14ac:dyDescent="0.25">
      <c r="B1" s="20"/>
    </row>
    <row r="2" spans="1:14" x14ac:dyDescent="0.25">
      <c r="A2" s="16" t="s">
        <v>19</v>
      </c>
      <c r="B2" s="17" t="s">
        <v>1426</v>
      </c>
      <c r="C2" s="16" t="s">
        <v>1427</v>
      </c>
      <c r="D2" s="16" t="s">
        <v>1428</v>
      </c>
      <c r="E2" s="16" t="s">
        <v>1429</v>
      </c>
    </row>
    <row r="3" spans="1:14" x14ac:dyDescent="0.25">
      <c r="A3" s="305" t="s">
        <v>1367</v>
      </c>
      <c r="B3" s="25" t="s">
        <v>228</v>
      </c>
      <c r="C3" s="9">
        <f>COUNTIF('Consolidado Accidentes'!AE7:AE417,"ARNALDO VERA")</f>
        <v>17</v>
      </c>
      <c r="D3" s="27">
        <f>COUNTIFS('Consolidado Accidentes'!P:P,"CTP",'Consolidado Accidentes'!AE:AE,"ARNALDO VERA")</f>
        <v>0</v>
      </c>
      <c r="E3" s="27">
        <f>COUNTIFS('Consolidado Accidentes'!P:P,"STP",'Consolidado Accidentes'!AE:AE,"ARNALDO VERA",'Consolidado Accidentes'!AN:AN,"SI")</f>
        <v>3</v>
      </c>
      <c r="M3" s="31" t="s">
        <v>1363</v>
      </c>
      <c r="N3" s="30">
        <f>SUM(C9+C25+C38+C50+C62+C77+C98+C108+C127+C138+C157)</f>
        <v>152</v>
      </c>
    </row>
    <row r="4" spans="1:14" x14ac:dyDescent="0.25">
      <c r="A4" s="308"/>
      <c r="B4" s="26" t="s">
        <v>59</v>
      </c>
      <c r="C4" s="9">
        <f>COUNTIF('Consolidado Accidentes'!AE7:AE418,"RAMIRO RAMIREZ")</f>
        <v>12</v>
      </c>
      <c r="D4" s="27">
        <f>COUNTIFS('Consolidado Accidentes'!P:P,"CTP",'Consolidado Accidentes'!AE:AE,"RAMIRO RAMIREZ")</f>
        <v>3</v>
      </c>
      <c r="E4" s="27">
        <f>COUNTIFS('Consolidado Accidentes'!P:P,"STP",'Consolidado Accidentes'!AE:AE,"RAMIRO RAMIREZ",'Consolidado Accidentes'!AN:AN,"SI")</f>
        <v>0</v>
      </c>
      <c r="M4" s="31" t="s">
        <v>1430</v>
      </c>
      <c r="N4">
        <f>SUM(D9,D25,D38,D50,D62,D77,D98,D108,D127,D138,D157)</f>
        <v>27</v>
      </c>
    </row>
    <row r="5" spans="1:14" x14ac:dyDescent="0.25">
      <c r="A5" s="308"/>
      <c r="B5" s="26" t="s">
        <v>1431</v>
      </c>
      <c r="C5" s="9">
        <f>COUNTIF('Consolidado Accidentes'!AE7:AE418,"FABIAN GONZALEZ")</f>
        <v>0</v>
      </c>
      <c r="D5" s="27">
        <f>COUNTIFS('Consolidado Accidentes'!P:P,"CTP",'Consolidado Accidentes'!AE:AE,"FABIAN GONZALEZ")</f>
        <v>0</v>
      </c>
      <c r="E5" s="27">
        <f>COUNTIFS('Consolidado Accidentes'!P:P,"STP",'Consolidado Accidentes'!AE:AE,"FABIAN GONZALEZ",'Consolidado Accidentes'!AN:AN,"SI")</f>
        <v>0</v>
      </c>
      <c r="M5" s="31"/>
    </row>
    <row r="6" spans="1:14" x14ac:dyDescent="0.25">
      <c r="A6" s="308"/>
      <c r="B6" s="25" t="s">
        <v>212</v>
      </c>
      <c r="C6" s="9">
        <f>COUNTIF('Consolidado Accidentes'!AE7:AE419,"JOSE CARVALLO")</f>
        <v>17</v>
      </c>
      <c r="D6" s="27">
        <f>COUNTIFS('Consolidado Accidentes'!P:P,"CTP",'Consolidado Accidentes'!AE:AE,"JOSE CARVALLO")</f>
        <v>2</v>
      </c>
      <c r="E6" s="27">
        <f>COUNTIFS('Consolidado Accidentes'!P:P,"STP",'Consolidado Accidentes'!AE:AE,"JOSE CARVALLO",'Consolidado Accidentes'!AN:AN,"SI")</f>
        <v>0</v>
      </c>
      <c r="M6" s="31" t="s">
        <v>1432</v>
      </c>
      <c r="N6">
        <f>SUM(E9,E25,E38,E50,E62,E77,E98,E108,E127,E138,E157)</f>
        <v>17</v>
      </c>
    </row>
    <row r="7" spans="1:14" x14ac:dyDescent="0.25">
      <c r="A7" s="308"/>
      <c r="B7" s="25" t="s">
        <v>136</v>
      </c>
      <c r="C7" s="9">
        <f>COUNTIF('Consolidado Accidentes'!AE7:AE420,"RAFAEL ASTORGA")</f>
        <v>6</v>
      </c>
      <c r="D7" s="27">
        <f>COUNTIFS('Consolidado Accidentes'!P:P,"CTP",'Consolidado Accidentes'!AE:AE,"RAFAEL ASTORGA")</f>
        <v>0</v>
      </c>
      <c r="E7" s="27">
        <f>COUNTIFS('Consolidado Accidentes'!P:P,"STP",'Consolidado Accidentes'!AE:AE,"RAFAEL ASTORGA",'Consolidado Accidentes'!AN:AN,"SI")</f>
        <v>1</v>
      </c>
      <c r="M7" s="31" t="s">
        <v>1375</v>
      </c>
      <c r="N7">
        <f>SUM(N4:N6)</f>
        <v>44</v>
      </c>
    </row>
    <row r="8" spans="1:14" x14ac:dyDescent="0.25">
      <c r="A8" s="306"/>
      <c r="B8" s="25" t="s">
        <v>522</v>
      </c>
      <c r="C8" s="9">
        <f>COUNTIF('Consolidado Accidentes'!AE7:AE421,"GUSTAVO BLANCO")</f>
        <v>0</v>
      </c>
      <c r="D8" s="27">
        <f>COUNTIFS('Consolidado Accidentes'!P:P,"CTP",'Consolidado Accidentes'!AE:AE,"JORGE MEZA")</f>
        <v>1</v>
      </c>
      <c r="E8" s="27">
        <f>COUNTIFS('Consolidado Accidentes'!P:P,"STP",'Consolidado Accidentes'!AE:AE,"GUSTAVO BLANCO",'Consolidado Accidentes'!AN:AN,"SI")</f>
        <v>0</v>
      </c>
    </row>
    <row r="9" spans="1:14" x14ac:dyDescent="0.25">
      <c r="B9" s="18"/>
      <c r="C9" s="9">
        <f>SUM(C3:C8)</f>
        <v>52</v>
      </c>
      <c r="D9" s="9">
        <f>SUM(D3:D8)</f>
        <v>6</v>
      </c>
      <c r="E9" s="9">
        <f>SUM(E3:E8)</f>
        <v>4</v>
      </c>
    </row>
    <row r="10" spans="1:14" x14ac:dyDescent="0.25">
      <c r="B10" s="18"/>
    </row>
    <row r="11" spans="1:14" x14ac:dyDescent="0.25">
      <c r="B11" s="18"/>
    </row>
    <row r="12" spans="1:14" x14ac:dyDescent="0.25">
      <c r="B12" s="18"/>
    </row>
    <row r="13" spans="1:14" x14ac:dyDescent="0.25">
      <c r="B13" s="18"/>
    </row>
    <row r="14" spans="1:14" x14ac:dyDescent="0.25">
      <c r="B14" s="19"/>
    </row>
    <row r="15" spans="1:14" x14ac:dyDescent="0.25">
      <c r="B15" s="14"/>
    </row>
    <row r="16" spans="1:14" x14ac:dyDescent="0.25">
      <c r="A16" s="24" t="s">
        <v>19</v>
      </c>
      <c r="B16" s="17" t="s">
        <v>1426</v>
      </c>
      <c r="C16" s="16" t="s">
        <v>1427</v>
      </c>
      <c r="D16" s="16" t="s">
        <v>1428</v>
      </c>
      <c r="E16" s="16" t="s">
        <v>1429</v>
      </c>
    </row>
    <row r="17" spans="1:5" x14ac:dyDescent="0.25">
      <c r="A17" s="307" t="s">
        <v>75</v>
      </c>
      <c r="B17" s="36" t="s">
        <v>82</v>
      </c>
      <c r="C17" s="9">
        <f>COUNTIF('Consolidado Accidentes'!AE7:AE417,"SERGIO AQUEVEQUE")</f>
        <v>8</v>
      </c>
      <c r="D17" s="27">
        <f>COUNTIFS('Consolidado Accidentes'!P:P,"CTP",'Consolidado Accidentes'!AE:AE,"SERGIO AQUEVEQUE")</f>
        <v>2</v>
      </c>
      <c r="E17" s="27">
        <f>COUNTIFS('Consolidado Accidentes'!P:P,"STP",'Consolidado Accidentes'!AE:AE,"SERGIO AQUEVEQUE",'Consolidado Accidentes'!AN:AN,"SI")</f>
        <v>0</v>
      </c>
    </row>
    <row r="18" spans="1:5" x14ac:dyDescent="0.25">
      <c r="A18" s="307"/>
      <c r="B18" s="36" t="s">
        <v>1433</v>
      </c>
      <c r="C18" s="9">
        <f>COUNTIF('Consolidado Accidentes'!AE7:AE419,"FELIPE HERRERA")</f>
        <v>0</v>
      </c>
      <c r="D18" s="27">
        <f>COUNTIFS('Consolidado Accidentes'!P:P,"CTP",'Consolidado Accidentes'!AE:AE,"FELIPE HERRERA")</f>
        <v>0</v>
      </c>
      <c r="E18" s="27">
        <f>COUNTIFS('Consolidado Accidentes'!P:P,"STP",'Consolidado Accidentes'!AE:AE,"FELIPE HERRERA",'Consolidado Accidentes'!AN:AN,"SI")</f>
        <v>0</v>
      </c>
    </row>
    <row r="19" spans="1:5" x14ac:dyDescent="0.25">
      <c r="A19" s="307"/>
      <c r="B19" s="36" t="s">
        <v>765</v>
      </c>
      <c r="C19" s="9">
        <f>COUNTIF('Consolidado Accidentes'!AE7:AE420,"DAVID ROMO")</f>
        <v>1</v>
      </c>
      <c r="D19" s="27">
        <f>COUNTIFS('Consolidado Accidentes'!P:P,"CTP",'Consolidado Accidentes'!AE:AE,"DAVID ROMO")</f>
        <v>1</v>
      </c>
      <c r="E19" s="27">
        <f>COUNTIFS('Consolidado Accidentes'!P:P,"STP",'Consolidado Accidentes'!AE:AE,"DAVID ROMO",'Consolidado Accidentes'!AN:AN,"SI")</f>
        <v>0</v>
      </c>
    </row>
    <row r="20" spans="1:5" x14ac:dyDescent="0.25">
      <c r="A20" s="307"/>
      <c r="B20" s="36" t="s">
        <v>111</v>
      </c>
      <c r="C20" s="9">
        <f>COUNTIF('Consolidado Accidentes'!AE7:AE423,"ROLANDO EMIHUEQUE")</f>
        <v>4</v>
      </c>
      <c r="D20" s="27">
        <f>COUNTIFS('Consolidado Accidentes'!P:P,"CTP",'Consolidado Accidentes'!AE:AE,"ROLANDO EMIHUEQUE")</f>
        <v>0</v>
      </c>
      <c r="E20" s="27">
        <f>COUNTIFS('Consolidado Accidentes'!P:P,"STP",'Consolidado Accidentes'!AE:AE,"ROLANDO EMIHUEQUE",'Consolidado Accidentes'!AN:AN,"SI")</f>
        <v>0</v>
      </c>
    </row>
    <row r="21" spans="1:5" x14ac:dyDescent="0.25">
      <c r="A21" s="307"/>
      <c r="B21" s="36" t="s">
        <v>337</v>
      </c>
      <c r="C21" s="9">
        <f>COUNTIF('Consolidado Accidentes'!AE7:AE423,"PATRICIO PALACIOS")</f>
        <v>4</v>
      </c>
      <c r="D21" s="27">
        <f>COUNTIFS('Consolidado Accidentes'!P:P,"CTP",'Consolidado Accidentes'!AE:AE,"PATRICIO PALACIOS")</f>
        <v>1</v>
      </c>
      <c r="E21" s="27">
        <f>COUNTIFS('Consolidado Accidentes'!P:P,"STP",'Consolidado Accidentes'!AE:AE,"PATRICIO PALACIOS",'Consolidado Accidentes'!AN:AN,"SI")</f>
        <v>0</v>
      </c>
    </row>
    <row r="22" spans="1:5" x14ac:dyDescent="0.25">
      <c r="A22" s="307"/>
      <c r="B22" s="36" t="s">
        <v>1434</v>
      </c>
      <c r="C22" s="9">
        <f>COUNTIF('Consolidado Accidentes'!AE7:AE423,"ORLANDO FARIAS")</f>
        <v>0</v>
      </c>
      <c r="D22" s="27">
        <f>COUNTIFS('Consolidado Accidentes'!P:P,"CTP",'Consolidado Accidentes'!AE:AE,"ORLANDO FARIAS")</f>
        <v>0</v>
      </c>
      <c r="E22" s="27">
        <f>COUNTIFS('Consolidado Accidentes'!P:P,"STP",'Consolidado Accidentes'!AE:AE,"ORLANDO FARIAS",'Consolidado Accidentes'!AN:AN,"SI")</f>
        <v>0</v>
      </c>
    </row>
    <row r="23" spans="1:5" x14ac:dyDescent="0.25">
      <c r="A23" s="307"/>
      <c r="B23" s="37" t="s">
        <v>235</v>
      </c>
      <c r="C23" s="9">
        <f>COUNTIF('Consolidado Accidentes'!AE15:AE424,"LUIS URBINA")</f>
        <v>8</v>
      </c>
      <c r="D23" s="27">
        <f>COUNTIFS('Consolidado Accidentes'!P:P,"CTP",'Consolidado Accidentes'!AE:AE,"LUIS URBINA")</f>
        <v>2</v>
      </c>
      <c r="E23" s="27">
        <f>COUNTIFS('Consolidado Accidentes'!P:P,"STP",'Consolidado Accidentes'!AE:AE,"LUIS URBINA",'Consolidado Accidentes'!AN:AN,"SI")</f>
        <v>1</v>
      </c>
    </row>
    <row r="24" spans="1:5" x14ac:dyDescent="0.25">
      <c r="A24" s="48"/>
      <c r="B24" s="37" t="s">
        <v>206</v>
      </c>
      <c r="C24" s="9">
        <f>COUNTIF('Consolidado Accidentes'!AE15:AE424,"CRISTIAN DURAN")</f>
        <v>1</v>
      </c>
      <c r="D24" s="27">
        <f>COUNTIFS('Consolidado Accidentes'!P:P,"CTP",'Consolidado Accidentes'!AE:AE,"CRISTIAN DURAN")</f>
        <v>0</v>
      </c>
      <c r="E24" s="27">
        <f>COUNTIFS('Consolidado Accidentes'!P:P,"STP",'Consolidado Accidentes'!AE:AE,"CRISTIAN DURAN",'Consolidado Accidentes'!AN:AN,"SI")</f>
        <v>0</v>
      </c>
    </row>
    <row r="25" spans="1:5" x14ac:dyDescent="0.25">
      <c r="B25" s="15"/>
      <c r="C25" s="9">
        <f>SUM(C17:C23)</f>
        <v>25</v>
      </c>
      <c r="D25" s="9">
        <f>SUM(D17:D23)</f>
        <v>6</v>
      </c>
      <c r="E25" s="9">
        <f>SUM(E17:E23)</f>
        <v>1</v>
      </c>
    </row>
    <row r="26" spans="1:5" x14ac:dyDescent="0.25">
      <c r="B26" s="18"/>
    </row>
    <row r="27" spans="1:5" x14ac:dyDescent="0.25">
      <c r="B27" s="14"/>
    </row>
    <row r="28" spans="1:5" x14ac:dyDescent="0.25">
      <c r="B28" s="14"/>
    </row>
    <row r="29" spans="1:5" x14ac:dyDescent="0.25">
      <c r="B29" s="14"/>
    </row>
    <row r="30" spans="1:5" x14ac:dyDescent="0.25">
      <c r="B30" s="14"/>
    </row>
    <row r="31" spans="1:5" x14ac:dyDescent="0.25">
      <c r="B31" s="14"/>
    </row>
    <row r="32" spans="1:5" x14ac:dyDescent="0.25">
      <c r="A32" s="16" t="s">
        <v>19</v>
      </c>
      <c r="B32" s="17" t="s">
        <v>1426</v>
      </c>
      <c r="C32" s="16" t="s">
        <v>1427</v>
      </c>
      <c r="D32" s="16" t="s">
        <v>1428</v>
      </c>
      <c r="E32" s="16" t="s">
        <v>1429</v>
      </c>
    </row>
    <row r="33" spans="1:5" x14ac:dyDescent="0.25">
      <c r="A33" s="309" t="s">
        <v>1370</v>
      </c>
      <c r="B33" s="38" t="s">
        <v>276</v>
      </c>
      <c r="C33" s="9">
        <f>COUNTIF('Consolidado Accidentes'!AE7:AE436,"RONALD ONELL")</f>
        <v>1</v>
      </c>
      <c r="D33" s="27">
        <f>COUNTIFS('Consolidado Accidentes'!P:P,"CTP",'Consolidado Accidentes'!AE:AE,"RONALD ONELL")</f>
        <v>0</v>
      </c>
      <c r="E33" s="27">
        <f>COUNTIFS('Consolidado Accidentes'!P:P,"STP",'Consolidado Accidentes'!AE:AE,"RONALD ONELL",'Consolidado Accidentes'!AN:AN,"SI")</f>
        <v>0</v>
      </c>
    </row>
    <row r="34" spans="1:5" x14ac:dyDescent="0.25">
      <c r="A34" s="309"/>
      <c r="B34" s="38" t="s">
        <v>1435</v>
      </c>
      <c r="C34" s="9">
        <f>COUNTIF('Consolidado Accidentes'!AE7:AE441,"MARCO QUINTANILLA")</f>
        <v>0</v>
      </c>
      <c r="D34" s="27">
        <f>COUNTIFS('Consolidado Accidentes'!P:P,"CTP",'Consolidado Accidentes'!AE:AE,"MARCO QUINTANILLA")</f>
        <v>0</v>
      </c>
      <c r="E34" s="27">
        <f>COUNTIFS('Consolidado Accidentes'!P:P,"STP",'Consolidado Accidentes'!AE:AE,"RONALD ONELL",'Consolidado Accidentes'!AN:AN,"SI")</f>
        <v>0</v>
      </c>
    </row>
    <row r="35" spans="1:5" x14ac:dyDescent="0.25">
      <c r="A35" s="310"/>
      <c r="B35" s="39" t="s">
        <v>1436</v>
      </c>
      <c r="C35" s="9">
        <f>COUNTIF('Consolidado Accidentes'!AE7:AE445,"EDGAR HERNANDEZ")</f>
        <v>0</v>
      </c>
      <c r="D35" s="27">
        <f>COUNTIFS('Consolidado Accidentes'!P:P,"CTP",'Consolidado Accidentes'!AE:AE,"EDGAR HERNANDEZ")</f>
        <v>0</v>
      </c>
      <c r="E35" s="27">
        <f>COUNTIFS('Consolidado Accidentes'!P:P,"STP",'Consolidado Accidentes'!AE:AE,"EDGAR HERNANDEZ",'Consolidado Accidentes'!AN:AN,"SI")</f>
        <v>0</v>
      </c>
    </row>
    <row r="36" spans="1:5" x14ac:dyDescent="0.25">
      <c r="A36" s="48"/>
      <c r="B36" s="39" t="s">
        <v>1437</v>
      </c>
      <c r="C36" s="9">
        <f>COUNTIF('Consolidado Accidentes'!AE7:AE446,"GERMAN RODRIGUEZ")</f>
        <v>0</v>
      </c>
      <c r="D36" s="27">
        <f>COUNTIFS('Consolidado Accidentes'!P:P,"CTP",'Consolidado Accidentes'!AE:AE,"GERMAN RODRIGUEZ")</f>
        <v>0</v>
      </c>
      <c r="E36" s="27">
        <f>COUNTIFS('Consolidado Accidentes'!P:P,"STP",'Consolidado Accidentes'!AE:AE,"GERMAN RODRIGUEZ",'Consolidado Accidentes'!AN:AN,"SI")</f>
        <v>0</v>
      </c>
    </row>
    <row r="37" spans="1:5" x14ac:dyDescent="0.25">
      <c r="A37" s="48"/>
      <c r="B37" s="217" t="s">
        <v>314</v>
      </c>
      <c r="C37" s="34">
        <f>COUNTIF('Consolidado Accidentes'!AE7:AE446,"ALEJANDRO SALAS")</f>
        <v>6</v>
      </c>
      <c r="D37" s="218">
        <f>COUNTIFS('Consolidado Accidentes'!P:P,"CTP",'Consolidado Accidentes'!AE:AE,"ALEJANDRO SALAS")</f>
        <v>2</v>
      </c>
      <c r="E37" s="218">
        <f>COUNTIFS('Consolidado Accidentes'!P:P,"STP",'Consolidado Accidentes'!AE:AE,"ALEJANDRO SALAS",'Consolidado Accidentes'!AN:AN,"SI")</f>
        <v>0</v>
      </c>
    </row>
    <row r="38" spans="1:5" x14ac:dyDescent="0.25">
      <c r="B38" s="14"/>
      <c r="C38" s="34">
        <f>SUM(C33:C37)</f>
        <v>7</v>
      </c>
      <c r="D38" s="34">
        <f t="shared" ref="D38:E38" si="0">SUM(D33:D37)</f>
        <v>2</v>
      </c>
      <c r="E38" s="34">
        <f t="shared" si="0"/>
        <v>0</v>
      </c>
    </row>
    <row r="39" spans="1:5" x14ac:dyDescent="0.25">
      <c r="B39" s="14"/>
    </row>
    <row r="40" spans="1:5" x14ac:dyDescent="0.25">
      <c r="B40" s="14"/>
    </row>
    <row r="41" spans="1:5" x14ac:dyDescent="0.25">
      <c r="B41" s="14"/>
    </row>
    <row r="42" spans="1:5" x14ac:dyDescent="0.25">
      <c r="B42" s="15"/>
      <c r="C42" s="6"/>
      <c r="D42" s="6"/>
      <c r="E42" s="6"/>
    </row>
    <row r="43" spans="1:5" x14ac:dyDescent="0.25">
      <c r="B43" s="14"/>
    </row>
    <row r="44" spans="1:5" x14ac:dyDescent="0.25">
      <c r="B44" s="14"/>
    </row>
    <row r="45" spans="1:5" x14ac:dyDescent="0.25">
      <c r="A45" s="24" t="s">
        <v>19</v>
      </c>
      <c r="B45" s="17" t="s">
        <v>1426</v>
      </c>
      <c r="C45" s="16" t="s">
        <v>1427</v>
      </c>
      <c r="D45" s="16" t="s">
        <v>1428</v>
      </c>
      <c r="E45" s="16" t="s">
        <v>1429</v>
      </c>
    </row>
    <row r="46" spans="1:5" x14ac:dyDescent="0.25">
      <c r="A46" s="307" t="s">
        <v>703</v>
      </c>
      <c r="B46" s="36" t="s">
        <v>98</v>
      </c>
      <c r="C46" s="9">
        <f>COUNTIF('Consolidado Accidentes'!AE7:AE435,"ERWIN GATICA")</f>
        <v>8</v>
      </c>
      <c r="D46" s="27">
        <f>COUNTIFS('Consolidado Accidentes'!P:P,"CTP",'Consolidado Accidentes'!AE:AE,"ERWIN GATICA")</f>
        <v>2</v>
      </c>
      <c r="E46" s="27">
        <f>COUNTIFS('Consolidado Accidentes'!P:P,"STP",'Consolidado Accidentes'!AE:AE,"ERWIN GATICA",'Consolidado Accidentes'!AN:AN,"SI")</f>
        <v>2</v>
      </c>
    </row>
    <row r="47" spans="1:5" x14ac:dyDescent="0.25">
      <c r="A47" s="307"/>
      <c r="B47" s="29" t="s">
        <v>155</v>
      </c>
      <c r="C47" s="42">
        <f>COUNTIF('Consolidado Accidentes'!AE7:AE436,"CESAR CARTAGENA")</f>
        <v>5</v>
      </c>
      <c r="D47" s="27">
        <f>COUNTIFS('Consolidado Accidentes'!P:P,"CTP",'Consolidado Accidentes'!AE:AE,"CESAR CARTAGENA")</f>
        <v>0</v>
      </c>
      <c r="E47" s="27">
        <f>COUNTIFS('Consolidado Accidentes'!P:P,"STP",'Consolidado Accidentes'!AE:AE,"CESAR CARTAGENA",'Consolidado Accidentes'!AN:AN,"SI")</f>
        <v>1</v>
      </c>
    </row>
    <row r="48" spans="1:5" x14ac:dyDescent="0.25">
      <c r="A48" s="307"/>
      <c r="B48" s="38" t="s">
        <v>265</v>
      </c>
      <c r="C48" s="9">
        <f>COUNTIF('Consolidado Accidentes'!AE7:AE437,"ANTONIO RIVAS")</f>
        <v>6</v>
      </c>
      <c r="D48" s="27">
        <f>COUNTIFS('Consolidado Accidentes'!P:P,"CTP",'Consolidado Accidentes'!AE:AE,"ANTONIO RIVAS")</f>
        <v>2</v>
      </c>
      <c r="E48" s="27">
        <f>COUNTIFS('Consolidado Accidentes'!P:P,"STP",'Consolidado Accidentes'!AE:AE,"ANTONIO RIVAS",'Consolidado Accidentes'!AN:AN,"SI")</f>
        <v>2</v>
      </c>
    </row>
    <row r="49" spans="1:5" x14ac:dyDescent="0.25">
      <c r="A49" s="307"/>
      <c r="B49" s="36" t="s">
        <v>1438</v>
      </c>
      <c r="C49" s="9">
        <f>COUNTIF('Consolidado Accidentes'!AE7:AE439,"CRISTIAN MEZA")</f>
        <v>0</v>
      </c>
      <c r="D49" s="27">
        <f>COUNTIFS('Consolidado Accidentes'!P:P,"CTP",'Consolidado Accidentes'!AE:AE,"CRISTIAN MEZA")</f>
        <v>0</v>
      </c>
      <c r="E49" s="27">
        <f>COUNTIFS('Consolidado Accidentes'!P:P,"STP",'Consolidado Accidentes'!AE:AE,"CRISTIAN MEZA",'Consolidado Accidentes'!AN:AN,"SI")</f>
        <v>0</v>
      </c>
    </row>
    <row r="50" spans="1:5" x14ac:dyDescent="0.25">
      <c r="B50" s="14"/>
      <c r="C50" s="9">
        <f>SUM(C46:C49)</f>
        <v>19</v>
      </c>
      <c r="D50" s="9">
        <f>SUM(D46:D49)</f>
        <v>4</v>
      </c>
      <c r="E50" s="9">
        <f>SUM(E46:E49)</f>
        <v>5</v>
      </c>
    </row>
    <row r="51" spans="1:5" x14ac:dyDescent="0.25">
      <c r="B51" s="14"/>
    </row>
    <row r="52" spans="1:5" x14ac:dyDescent="0.25">
      <c r="B52" s="14"/>
    </row>
    <row r="53" spans="1:5" x14ac:dyDescent="0.25">
      <c r="B53" s="14"/>
    </row>
    <row r="54" spans="1:5" x14ac:dyDescent="0.25">
      <c r="B54" s="14"/>
    </row>
    <row r="55" spans="1:5" x14ac:dyDescent="0.25">
      <c r="B55" s="14"/>
    </row>
    <row r="56" spans="1:5" x14ac:dyDescent="0.25">
      <c r="B56" s="14"/>
    </row>
    <row r="57" spans="1:5" x14ac:dyDescent="0.25">
      <c r="B57" s="14"/>
    </row>
    <row r="58" spans="1:5" x14ac:dyDescent="0.25">
      <c r="B58" s="15"/>
      <c r="C58" s="6"/>
      <c r="D58" s="6"/>
      <c r="E58" s="6"/>
    </row>
    <row r="59" spans="1:5" x14ac:dyDescent="0.25">
      <c r="A59" s="24" t="s">
        <v>19</v>
      </c>
      <c r="B59" s="17" t="s">
        <v>1426</v>
      </c>
      <c r="C59" s="16" t="s">
        <v>1427</v>
      </c>
      <c r="D59" s="16" t="s">
        <v>1428</v>
      </c>
      <c r="E59" s="16" t="s">
        <v>1429</v>
      </c>
    </row>
    <row r="60" spans="1:5" x14ac:dyDescent="0.25">
      <c r="A60" s="307" t="s">
        <v>1368</v>
      </c>
      <c r="B60" s="28" t="s">
        <v>569</v>
      </c>
      <c r="C60" s="9">
        <f>COUNTIF('Consolidado Accidentes'!AE7:AE435,"JAQUELINE PAVEZ")</f>
        <v>3</v>
      </c>
      <c r="D60" s="27">
        <f>COUNTIFS('Consolidado Accidentes'!P:P,"CTP",'Consolidado Accidentes'!AE:AE,"JAQUELINE PAVEZ")</f>
        <v>0</v>
      </c>
      <c r="E60" s="27">
        <f>COUNTIFS('Consolidado Accidentes'!P:P,"STP",'Consolidado Accidentes'!AE:AE,"JAQUELINE PAVEZ",'Consolidado Accidentes'!AN:AN,"SI")</f>
        <v>0</v>
      </c>
    </row>
    <row r="61" spans="1:5" x14ac:dyDescent="0.25">
      <c r="A61" s="307"/>
      <c r="B61" s="26" t="s">
        <v>1439</v>
      </c>
      <c r="C61" s="9">
        <f>COUNTIF('Consolidado Accidentes'!AE7:AE436,"ADRIAN TEJIAS")</f>
        <v>0</v>
      </c>
      <c r="D61" s="27">
        <f>COUNTIFS('Consolidado Accidentes'!P:P,"CTP",'Consolidado Accidentes'!AE:AE,"MARCELA MARDONES")</f>
        <v>0</v>
      </c>
      <c r="E61" s="27">
        <f>COUNTIFS('Consolidado Accidentes'!P:P,"STP",'Consolidado Accidentes'!AE:AE,"MARCELA MARDONES",'Consolidado Accidentes'!AN:AN,"SI")</f>
        <v>1</v>
      </c>
    </row>
    <row r="62" spans="1:5" x14ac:dyDescent="0.25">
      <c r="B62" s="14"/>
      <c r="C62" s="9">
        <f>SUM(C60:C61)</f>
        <v>3</v>
      </c>
      <c r="D62" s="9">
        <f>SUM(D60:D61)</f>
        <v>0</v>
      </c>
      <c r="E62" s="9">
        <f>SUM(E60:E61)</f>
        <v>1</v>
      </c>
    </row>
    <row r="63" spans="1:5" x14ac:dyDescent="0.25">
      <c r="B63" s="14"/>
    </row>
    <row r="64" spans="1:5" x14ac:dyDescent="0.25">
      <c r="B64" s="14"/>
    </row>
    <row r="65" spans="1:5" x14ac:dyDescent="0.25">
      <c r="B65" s="14"/>
    </row>
    <row r="66" spans="1:5" x14ac:dyDescent="0.25">
      <c r="B66" s="14"/>
    </row>
    <row r="67" spans="1:5" x14ac:dyDescent="0.25">
      <c r="B67" s="14"/>
    </row>
    <row r="68" spans="1:5" x14ac:dyDescent="0.25">
      <c r="B68" s="14"/>
    </row>
    <row r="69" spans="1:5" x14ac:dyDescent="0.25">
      <c r="B69" s="14"/>
    </row>
    <row r="70" spans="1:5" x14ac:dyDescent="0.25">
      <c r="B70" s="14"/>
    </row>
    <row r="71" spans="1:5" x14ac:dyDescent="0.25">
      <c r="B71" s="14"/>
    </row>
    <row r="72" spans="1:5" x14ac:dyDescent="0.25">
      <c r="B72" s="15"/>
      <c r="C72" s="6"/>
      <c r="D72" s="6"/>
      <c r="E72" s="6"/>
    </row>
    <row r="73" spans="1:5" x14ac:dyDescent="0.25">
      <c r="A73" s="24" t="s">
        <v>19</v>
      </c>
      <c r="B73" s="17" t="s">
        <v>1426</v>
      </c>
      <c r="C73" s="16" t="s">
        <v>1427</v>
      </c>
      <c r="D73" s="16" t="s">
        <v>1428</v>
      </c>
      <c r="E73" s="16" t="s">
        <v>1429</v>
      </c>
    </row>
    <row r="74" spans="1:5" x14ac:dyDescent="0.25">
      <c r="A74" s="305" t="s">
        <v>219</v>
      </c>
      <c r="B74" s="36" t="s">
        <v>407</v>
      </c>
      <c r="C74" s="9">
        <f>COUNTIF('Consolidado Accidentes'!AE7:AE435,"MAURICIO HERNANDEZ")</f>
        <v>2</v>
      </c>
      <c r="D74" s="27">
        <f>COUNTIFS('Consolidado Accidentes'!P:P,"CTP",'Consolidado Accidentes'!AE:AE,"MAURICIO HERNANDEZ")</f>
        <v>0</v>
      </c>
      <c r="E74" s="27">
        <f>COUNTIFS('Consolidado Accidentes'!P:P,"STP",'Consolidado Accidentes'!AE:AE,"MAURICIO HERNANDEZ",'Consolidado Accidentes'!AN:AN,"SI")</f>
        <v>0</v>
      </c>
    </row>
    <row r="75" spans="1:5" x14ac:dyDescent="0.25">
      <c r="A75" s="308"/>
      <c r="B75" s="36" t="s">
        <v>1440</v>
      </c>
      <c r="C75" s="9">
        <f>COUNTIF('Consolidado Accidentes'!AE7:AE438,"MARIA EUGENIA YAÑEZ")</f>
        <v>0</v>
      </c>
      <c r="D75" s="27">
        <f>COUNTIFS('Consolidado Accidentes'!P:P,"CTP",'Consolidado Accidentes'!AE:AE,"MARIA EUGENIA YAÑEZ")</f>
        <v>0</v>
      </c>
      <c r="E75" s="27">
        <f>COUNTIFS('Consolidado Accidentes'!P:P,"STP",'Consolidado Accidentes'!AE:AE,"MARIA EUGENIA YAÑEZ",'Consolidado Accidentes'!AN:AN,"SI")</f>
        <v>0</v>
      </c>
    </row>
    <row r="76" spans="1:5" x14ac:dyDescent="0.25">
      <c r="A76" s="306"/>
      <c r="B76" s="37" t="s">
        <v>222</v>
      </c>
      <c r="C76" s="9">
        <f>COUNTIF('Consolidado Accidentes'!AE7:AE440,"JUAN VILLAVICENCIO")</f>
        <v>5</v>
      </c>
      <c r="D76" s="27">
        <f>COUNTIFS('Consolidado Accidentes'!P:P,"CTP",'Consolidado Accidentes'!AE:AE,"JUAN VILLAVICENCIO")</f>
        <v>2</v>
      </c>
      <c r="E76" s="27">
        <f>COUNTIFS('Consolidado Accidentes'!P:P,"STP",'Consolidado Accidentes'!AE:AE,"JUAN VILLAVICENCIO",'Consolidado Accidentes'!AN:AN,"SI")</f>
        <v>1</v>
      </c>
    </row>
    <row r="77" spans="1:5" x14ac:dyDescent="0.25">
      <c r="B77" s="14"/>
      <c r="C77" s="9">
        <f>SUM(C74:C76)</f>
        <v>7</v>
      </c>
      <c r="D77" s="9">
        <f>SUM(D74:D76)</f>
        <v>2</v>
      </c>
      <c r="E77" s="9">
        <f>SUM(E74:E76)</f>
        <v>1</v>
      </c>
    </row>
    <row r="78" spans="1:5" x14ac:dyDescent="0.25">
      <c r="B78" s="14"/>
    </row>
    <row r="79" spans="1:5" x14ac:dyDescent="0.25">
      <c r="B79" s="14"/>
    </row>
    <row r="80" spans="1:5" x14ac:dyDescent="0.25">
      <c r="B80" s="14"/>
    </row>
    <row r="81" spans="1:5" x14ac:dyDescent="0.25">
      <c r="B81" s="14"/>
    </row>
    <row r="82" spans="1:5" x14ac:dyDescent="0.25">
      <c r="B82" s="14"/>
    </row>
    <row r="83" spans="1:5" x14ac:dyDescent="0.25">
      <c r="B83" s="14"/>
    </row>
    <row r="84" spans="1:5" x14ac:dyDescent="0.25">
      <c r="B84" s="14"/>
    </row>
    <row r="85" spans="1:5" x14ac:dyDescent="0.25">
      <c r="B85" s="14"/>
    </row>
    <row r="86" spans="1:5" x14ac:dyDescent="0.25">
      <c r="A86" s="24" t="s">
        <v>19</v>
      </c>
      <c r="B86" s="17" t="s">
        <v>1426</v>
      </c>
      <c r="C86" s="16" t="s">
        <v>1427</v>
      </c>
      <c r="D86" s="16" t="s">
        <v>1428</v>
      </c>
      <c r="E86" s="16" t="s">
        <v>1429</v>
      </c>
    </row>
    <row r="87" spans="1:5" x14ac:dyDescent="0.25">
      <c r="A87" s="304" t="s">
        <v>182</v>
      </c>
      <c r="B87" s="43" t="s">
        <v>1441</v>
      </c>
      <c r="C87" s="9">
        <f>COUNTIF('Consolidado Accidentes'!AE7:AE436,"MICHEL CARVAJAL")</f>
        <v>0</v>
      </c>
      <c r="D87" s="27">
        <f>COUNTIFS('Consolidado Accidentes'!P:P,"CTP",'Consolidado Accidentes'!AE:AE,"MICHEL CARVAJAL")</f>
        <v>0</v>
      </c>
      <c r="E87" s="27">
        <f>COUNTIFS('Consolidado Accidentes'!P:P,"STP",'Consolidado Accidentes'!AE:AE,"MICHEL CARVAJAL",'Consolidado Accidentes'!AN:AN,"SI")</f>
        <v>0</v>
      </c>
    </row>
    <row r="88" spans="1:5" x14ac:dyDescent="0.25">
      <c r="A88" s="304"/>
      <c r="B88" s="44" t="s">
        <v>1334</v>
      </c>
      <c r="C88" s="9">
        <f>COUNTIF('Consolidado Accidentes'!AE7:AE437,"ISMAEL SANTIS")</f>
        <v>0</v>
      </c>
      <c r="D88" s="27">
        <f>COUNTIFS('Consolidado Accidentes'!P:P,"CTP",'Consolidado Accidentes'!AE:AE,"ISMAEL SANTIS")</f>
        <v>0</v>
      </c>
      <c r="E88" s="27">
        <f>COUNTIFS('Consolidado Accidentes'!P:P,"STP",'Consolidado Accidentes'!AE:AE,"ISMAEL SANTIS",'Consolidado Accidentes'!AN:AN,"SI")</f>
        <v>0</v>
      </c>
    </row>
    <row r="89" spans="1:5" x14ac:dyDescent="0.25">
      <c r="A89" s="304"/>
      <c r="B89" s="28" t="s">
        <v>1442</v>
      </c>
      <c r="C89" s="9">
        <f>COUNTIF('Consolidado Accidentes'!AE7:AE438,"DANIEL GONZALEZ")</f>
        <v>0</v>
      </c>
      <c r="D89" s="27">
        <f>COUNTIFS('Consolidado Accidentes'!P:P,"CTP",'Consolidado Accidentes'!AE:AE,"DANIEL GONZALEZ")</f>
        <v>0</v>
      </c>
      <c r="E89" s="27">
        <f>COUNTIFS('Consolidado Accidentes'!P:P,"STP",'Consolidado Accidentes'!AE:AE,"DANIEL GONZALEZ",'Consolidado Accidentes'!AN:AN,"SI")</f>
        <v>0</v>
      </c>
    </row>
    <row r="90" spans="1:5" x14ac:dyDescent="0.25">
      <c r="A90" s="304"/>
      <c r="B90" s="28" t="s">
        <v>185</v>
      </c>
      <c r="C90" s="9">
        <f>COUNTIF('Consolidado Accidentes'!AE7:AE441,"NICOLAS ROJAS")</f>
        <v>1</v>
      </c>
      <c r="D90" s="27">
        <f>COUNTIFS('Consolidado Accidentes'!P:P,"CTP",'Consolidado Accidentes'!AE:AE,"NICOLAS ROJAS")</f>
        <v>0</v>
      </c>
      <c r="E90" s="27">
        <f>COUNTIFS('Consolidado Accidentes'!P:P,"STP",'Consolidado Accidentes'!AE:AE,"NICOLAS ROJAS",'Consolidado Accidentes'!AN:AN,"SI")</f>
        <v>0</v>
      </c>
    </row>
    <row r="91" spans="1:5" x14ac:dyDescent="0.25">
      <c r="A91" s="304"/>
      <c r="B91" s="28" t="s">
        <v>1443</v>
      </c>
      <c r="C91" s="9">
        <f>COUNTIF('Consolidado Accidentes'!AE7:AE442,"EMANUEL MELLADO")</f>
        <v>0</v>
      </c>
      <c r="D91" s="27">
        <f>COUNTIFS('Consolidado Accidentes'!P:P,"CTP",'Consolidado Accidentes'!AE:AE,"EMANUEL MELLADO")</f>
        <v>0</v>
      </c>
      <c r="E91" s="27">
        <f>COUNTIFS('Consolidado Accidentes'!P:P,"STP",'Consolidado Accidentes'!AE:AE,"EMANUEL MELLADO",'Consolidado Accidentes'!AN:AN,"SI")</f>
        <v>0</v>
      </c>
    </row>
    <row r="92" spans="1:5" x14ac:dyDescent="0.25">
      <c r="A92" s="304"/>
      <c r="B92" s="44" t="s">
        <v>368</v>
      </c>
      <c r="C92" s="9">
        <f>COUNTIF('Consolidado Accidentes'!AE7:AE443,"DAVID ROJAS")</f>
        <v>2</v>
      </c>
      <c r="D92" s="27">
        <f>COUNTIFS('Consolidado Accidentes'!P:P,"CTP",'Consolidado Accidentes'!AE:AE,"DAVID ROJAS")</f>
        <v>0</v>
      </c>
      <c r="E92" s="27">
        <f>COUNTIFS('Consolidado Accidentes'!P:P,"STP",'Consolidado Accidentes'!AE:AE,"DAVID ROJAS",'Consolidado Accidentes'!AN:AN,"SI")</f>
        <v>0</v>
      </c>
    </row>
    <row r="93" spans="1:5" x14ac:dyDescent="0.25">
      <c r="A93" s="304"/>
      <c r="B93" s="29" t="s">
        <v>1444</v>
      </c>
      <c r="C93" s="9">
        <f>COUNTIF('Consolidado Accidentes'!AE7:AE444,"DAVID MADARIAGA")</f>
        <v>0</v>
      </c>
      <c r="D93" s="27">
        <f>COUNTIFS('Consolidado Accidentes'!P:P,"CTP",'Consolidado Accidentes'!AE:AE,"DAVID MADARIAGA")</f>
        <v>0</v>
      </c>
      <c r="E93" s="27">
        <f>COUNTIFS('Consolidado Accidentes'!P:P,"STP",'Consolidado Accidentes'!AE:AE,"DAVID MADARIAGA",'Consolidado Accidentes'!AN:AN,"SI")</f>
        <v>0</v>
      </c>
    </row>
    <row r="94" spans="1:5" x14ac:dyDescent="0.25">
      <c r="A94" s="304"/>
      <c r="B94" s="28" t="s">
        <v>1445</v>
      </c>
      <c r="C94" s="9">
        <f>COUNTIF('Consolidado Accidentes'!AE7:AE445,"JORGE CONTRERAS")</f>
        <v>0</v>
      </c>
      <c r="D94" s="27">
        <f>COUNTIFS('Consolidado Accidentes'!P:P,"CTP",'Consolidado Accidentes'!AE:AE,"JORGE CONTRERAS")</f>
        <v>0</v>
      </c>
      <c r="E94" s="27">
        <f>COUNTIFS('Consolidado Accidentes'!P:P,"STP",'Consolidado Accidentes'!AE:AE,"JORGE CONTRERAS",'Consolidado Accidentes'!AN:AN,"SI")</f>
        <v>0</v>
      </c>
    </row>
    <row r="95" spans="1:5" x14ac:dyDescent="0.25">
      <c r="A95" s="304"/>
      <c r="B95" s="28" t="s">
        <v>401</v>
      </c>
      <c r="C95" s="9">
        <f>COUNTIF('Consolidado Accidentes'!AE9:AE446,"SERGIO LETELIER")</f>
        <v>1</v>
      </c>
      <c r="D95" s="27">
        <f>COUNTIFS('Consolidado Accidentes'!P:P,"CTP",'Consolidado Accidentes'!AE:AE,"SERGIO LETELIER")</f>
        <v>0</v>
      </c>
      <c r="E95" s="27">
        <f>COUNTIFS('Consolidado Accidentes'!P:P,"STP",'Consolidado Accidentes'!AE:AE,"SERGIO LETELIER",'Consolidado Accidentes'!AN:AN,"SI")</f>
        <v>1</v>
      </c>
    </row>
    <row r="96" spans="1:5" x14ac:dyDescent="0.25">
      <c r="A96" s="304"/>
      <c r="B96" s="28" t="s">
        <v>1446</v>
      </c>
      <c r="C96" s="9">
        <f>COUNTIF('Consolidado Accidentes'!AE10:AE447,"FRANCISCO ACEVEDO")</f>
        <v>0</v>
      </c>
      <c r="D96" s="27">
        <f>COUNTIFS('Consolidado Accidentes'!P:P,"CTP",'Consolidado Accidentes'!AE:AE,"FRANCISCO ACEVEDO")</f>
        <v>0</v>
      </c>
      <c r="E96" s="27">
        <f>COUNTIFS('Consolidado Accidentes'!P:P,"STP",'Consolidado Accidentes'!AE:AE,"FRANCISCO ACEVEDO",'Consolidado Accidentes'!AN:AN,"SI")</f>
        <v>0</v>
      </c>
    </row>
    <row r="97" spans="1:5" x14ac:dyDescent="0.25">
      <c r="A97" s="304"/>
      <c r="B97" s="44" t="s">
        <v>1447</v>
      </c>
      <c r="C97" s="9">
        <f>COUNTIF('Consolidado Accidentes'!AE7:AE446,"PEDRO HUERTA")</f>
        <v>0</v>
      </c>
      <c r="D97" s="27">
        <f>COUNTIFS('Consolidado Accidentes'!P:P,"CTP",'Consolidado Accidentes'!AE:AE,"PEDRO HUERTA")</f>
        <v>0</v>
      </c>
      <c r="E97" s="27">
        <f>COUNTIFS('Consolidado Accidentes'!P:P,"STP",'Consolidado Accidentes'!AE:AE,"PEDRO HUERTA",'Consolidado Accidentes'!AN:AN,"SI")</f>
        <v>0</v>
      </c>
    </row>
    <row r="98" spans="1:5" x14ac:dyDescent="0.25">
      <c r="B98" s="14"/>
      <c r="C98" s="9">
        <f>SUM(C87:C97)</f>
        <v>4</v>
      </c>
      <c r="D98" s="9">
        <f>SUM(D87:D97)</f>
        <v>0</v>
      </c>
      <c r="E98" s="9">
        <f>SUM(E87:E97)</f>
        <v>1</v>
      </c>
    </row>
    <row r="99" spans="1:5" x14ac:dyDescent="0.25">
      <c r="B99" s="14"/>
    </row>
    <row r="100" spans="1:5" x14ac:dyDescent="0.25">
      <c r="B100" s="14"/>
    </row>
    <row r="101" spans="1:5" x14ac:dyDescent="0.25">
      <c r="B101" s="14"/>
    </row>
    <row r="102" spans="1:5" x14ac:dyDescent="0.25">
      <c r="B102" s="14"/>
    </row>
    <row r="103" spans="1:5" x14ac:dyDescent="0.25">
      <c r="B103" s="14"/>
    </row>
    <row r="104" spans="1:5" x14ac:dyDescent="0.25">
      <c r="B104" s="14"/>
    </row>
    <row r="105" spans="1:5" x14ac:dyDescent="0.25">
      <c r="A105" s="24" t="s">
        <v>19</v>
      </c>
      <c r="B105" s="17" t="s">
        <v>1426</v>
      </c>
      <c r="C105" s="16" t="s">
        <v>1427</v>
      </c>
      <c r="D105" s="16" t="s">
        <v>1428</v>
      </c>
      <c r="E105" s="16" t="s">
        <v>1429</v>
      </c>
    </row>
    <row r="106" spans="1:5" x14ac:dyDescent="0.25">
      <c r="A106" s="305" t="s">
        <v>423</v>
      </c>
      <c r="B106" s="29" t="s">
        <v>427</v>
      </c>
      <c r="C106" s="9">
        <f>COUNTIF('Consolidado Accidentes'!AE7:AE450,"SOLEDAD CARRASCO")</f>
        <v>3</v>
      </c>
      <c r="D106" s="27">
        <f>COUNTIFS('Consolidado Accidentes'!P:P,"CTP",'Consolidado Accidentes'!AE:AE,"SOLEDAD CARRASCO")</f>
        <v>0</v>
      </c>
      <c r="E106" s="27">
        <v>0</v>
      </c>
    </row>
    <row r="107" spans="1:5" x14ac:dyDescent="0.25">
      <c r="A107" s="306"/>
      <c r="B107" s="25" t="s">
        <v>1448</v>
      </c>
      <c r="C107" s="9">
        <f>COUNTIF('Consolidado Accidentes'!AE7:AE451,"HECNIMAR URDANETA")</f>
        <v>0</v>
      </c>
      <c r="D107" s="27">
        <f>COUNTIFS('Consolidado Accidentes'!P:P,"CTP",'Consolidado Accidentes'!AE:AE,"HECNIMAR URDANETA")</f>
        <v>0</v>
      </c>
      <c r="E107" s="27">
        <v>0</v>
      </c>
    </row>
    <row r="108" spans="1:5" x14ac:dyDescent="0.25">
      <c r="B108" s="14"/>
      <c r="C108" s="9">
        <f>SUM(C106:C107)</f>
        <v>3</v>
      </c>
      <c r="D108" s="9">
        <f>SUM(D106:D107)</f>
        <v>0</v>
      </c>
      <c r="E108" s="9">
        <f>SUM(E106:E107)</f>
        <v>0</v>
      </c>
    </row>
    <row r="109" spans="1:5" x14ac:dyDescent="0.25">
      <c r="B109" s="14"/>
    </row>
    <row r="110" spans="1:5" x14ac:dyDescent="0.25">
      <c r="B110" s="14"/>
    </row>
    <row r="111" spans="1:5" x14ac:dyDescent="0.25">
      <c r="B111" s="14"/>
    </row>
    <row r="112" spans="1:5" x14ac:dyDescent="0.25">
      <c r="B112" s="14"/>
    </row>
    <row r="113" spans="1:5" x14ac:dyDescent="0.25">
      <c r="B113" s="14"/>
    </row>
    <row r="114" spans="1:5" x14ac:dyDescent="0.25">
      <c r="B114" s="14"/>
    </row>
    <row r="115" spans="1:5" x14ac:dyDescent="0.25">
      <c r="B115" s="14"/>
    </row>
    <row r="116" spans="1:5" x14ac:dyDescent="0.25">
      <c r="B116" s="14"/>
    </row>
    <row r="117" spans="1:5" x14ac:dyDescent="0.25">
      <c r="B117" s="14"/>
    </row>
    <row r="118" spans="1:5" x14ac:dyDescent="0.25">
      <c r="B118" s="14"/>
    </row>
    <row r="119" spans="1:5" x14ac:dyDescent="0.25">
      <c r="B119" s="14"/>
    </row>
    <row r="120" spans="1:5" x14ac:dyDescent="0.25">
      <c r="B120" s="14"/>
    </row>
    <row r="121" spans="1:5" x14ac:dyDescent="0.25">
      <c r="A121" s="16" t="s">
        <v>19</v>
      </c>
      <c r="B121" s="17" t="s">
        <v>1426</v>
      </c>
      <c r="C121" s="16" t="s">
        <v>1427</v>
      </c>
      <c r="D121" s="16" t="s">
        <v>1428</v>
      </c>
      <c r="E121" s="16" t="s">
        <v>1429</v>
      </c>
    </row>
    <row r="122" spans="1:5" ht="15" customHeight="1" x14ac:dyDescent="0.25">
      <c r="A122" s="307" t="s">
        <v>142</v>
      </c>
      <c r="B122" s="45" t="s">
        <v>1449</v>
      </c>
      <c r="C122" s="9">
        <f>COUNTIF('Consolidado Accidentes'!AE7:AE466,"MAXIMO CAMPOS")</f>
        <v>8</v>
      </c>
      <c r="D122" s="27">
        <f>COUNTIFS('Consolidado Accidentes'!P:P,"CTP",'Consolidado Accidentes'!AE:AE,"MAXIMO CAMPOS")</f>
        <v>2</v>
      </c>
      <c r="E122" s="9">
        <f>COUNTIFS('Consolidado Accidentes'!P:P,"STP",'Consolidado Accidentes'!AE:AE,"MAXIMO CAMPOS",'Consolidado Accidentes'!AN:AN,"SI")</f>
        <v>1</v>
      </c>
    </row>
    <row r="123" spans="1:5" x14ac:dyDescent="0.25">
      <c r="A123" s="307"/>
      <c r="B123" s="46" t="s">
        <v>174</v>
      </c>
      <c r="C123" s="9">
        <f>COUNTIF('Consolidado Accidentes'!AE7:AE467,"FERNANDO FUENTEALBA")</f>
        <v>9</v>
      </c>
      <c r="D123" s="27">
        <f>COUNTIFS('Consolidado Accidentes'!P:P,"CTP",'Consolidado Accidentes'!AE:AE,"FERNANDO FUENTEALBA")</f>
        <v>4</v>
      </c>
      <c r="E123" s="9">
        <f>COUNTIFS('Consolidado Accidentes'!P:P,"STP",'Consolidado Accidentes'!AE:AE,"FERNANDO FUENTEALBA",'Consolidado Accidentes'!AN:AN,"SI")</f>
        <v>0</v>
      </c>
    </row>
    <row r="124" spans="1:5" x14ac:dyDescent="0.25">
      <c r="A124" s="307"/>
      <c r="B124" s="45" t="s">
        <v>449</v>
      </c>
      <c r="C124" s="9" t="s">
        <v>449</v>
      </c>
      <c r="D124" s="27" t="s">
        <v>449</v>
      </c>
      <c r="E124" s="9" t="s">
        <v>449</v>
      </c>
    </row>
    <row r="125" spans="1:5" x14ac:dyDescent="0.25">
      <c r="A125" s="307"/>
      <c r="B125" s="45" t="s">
        <v>461</v>
      </c>
      <c r="C125" s="9">
        <f>COUNTIF('Consolidado Accidentes'!AE9:AE469,"FRANCISCO SANCHEZ")</f>
        <v>8</v>
      </c>
      <c r="D125" s="27">
        <f>COUNTIFS('Consolidado Accidentes'!P:P,"CTP",'Consolidado Accidentes'!AE:AE,"FRANCISCO SANCHEZ")</f>
        <v>0</v>
      </c>
      <c r="E125" s="9">
        <f>COUNTIFS('Consolidado Accidentes'!P:P,"STP",'Consolidado Accidentes'!AE:AE,"FRANCISCO SANCHEZ",'Consolidado Accidentes'!AN:AN,"SI")</f>
        <v>2</v>
      </c>
    </row>
    <row r="126" spans="1:5" x14ac:dyDescent="0.25">
      <c r="A126" s="307"/>
      <c r="B126" s="46" t="s">
        <v>253</v>
      </c>
      <c r="C126" s="9">
        <f>COUNTIF('Consolidado Accidentes'!AE7:AE469,"MIGUEL HENRRIQUEZ")</f>
        <v>6</v>
      </c>
      <c r="D126" s="27">
        <f>COUNTIFS('Consolidado Accidentes'!P:P,"CTP",'Consolidado Accidentes'!AE:AE,"MIGUEL HENRRIQUEZ")</f>
        <v>0</v>
      </c>
      <c r="E126" s="9">
        <f>COUNTIFS('Consolidado Accidentes'!P:P,"STP",'Consolidado Accidentes'!AE:AE,"MIGUEL HENRRIQUEZ",'Consolidado Accidentes'!AN:AN,"SI")</f>
        <v>1</v>
      </c>
    </row>
    <row r="127" spans="1:5" x14ac:dyDescent="0.25">
      <c r="B127" s="14"/>
      <c r="C127" s="34">
        <f>SUM(C122:C126)</f>
        <v>31</v>
      </c>
      <c r="D127" s="34">
        <f>SUM(D122:D126)</f>
        <v>6</v>
      </c>
      <c r="E127" s="34">
        <f>SUM(E122:E126)</f>
        <v>4</v>
      </c>
    </row>
    <row r="128" spans="1:5" x14ac:dyDescent="0.25">
      <c r="B128" s="14"/>
    </row>
    <row r="129" spans="1:5" x14ac:dyDescent="0.25">
      <c r="B129" s="14"/>
    </row>
    <row r="130" spans="1:5" x14ac:dyDescent="0.25">
      <c r="B130" s="14"/>
    </row>
    <row r="131" spans="1:5" x14ac:dyDescent="0.25">
      <c r="B131" s="14"/>
      <c r="D131" t="s">
        <v>449</v>
      </c>
    </row>
    <row r="132" spans="1:5" x14ac:dyDescent="0.25">
      <c r="B132" s="14"/>
      <c r="D132" t="s">
        <v>449</v>
      </c>
    </row>
    <row r="133" spans="1:5" x14ac:dyDescent="0.25">
      <c r="B133" s="14"/>
    </row>
    <row r="134" spans="1:5" x14ac:dyDescent="0.25">
      <c r="B134" s="14"/>
    </row>
    <row r="135" spans="1:5" x14ac:dyDescent="0.25">
      <c r="B135" s="14"/>
    </row>
    <row r="136" spans="1:5" x14ac:dyDescent="0.25">
      <c r="B136" s="14"/>
    </row>
    <row r="137" spans="1:5" x14ac:dyDescent="0.25">
      <c r="A137" s="16" t="s">
        <v>19</v>
      </c>
      <c r="B137" s="17" t="s">
        <v>1426</v>
      </c>
      <c r="C137" s="16" t="s">
        <v>1427</v>
      </c>
      <c r="D137" s="16" t="s">
        <v>1428</v>
      </c>
      <c r="E137" s="16" t="s">
        <v>1429</v>
      </c>
    </row>
    <row r="138" spans="1:5" x14ac:dyDescent="0.25">
      <c r="A138" s="1" t="s">
        <v>531</v>
      </c>
      <c r="B138" s="46" t="s">
        <v>537</v>
      </c>
      <c r="C138" s="9">
        <f>COUNTIF('Consolidado Accidentes'!AE20:AE481,"VICTORIA MILLARES")</f>
        <v>1</v>
      </c>
      <c r="D138" s="27">
        <f>COUNTIFS('Consolidado Accidentes'!P:P,"CTP",'Consolidado Accidentes'!AE:AE,"VICTORIA MILLARES")</f>
        <v>1</v>
      </c>
      <c r="E138" s="9">
        <f>COUNTIFS('Consolidado Accidentes'!P:P,"STP",'Consolidado Accidentes'!AE:AE,"VICTORIA MILLARES")</f>
        <v>0</v>
      </c>
    </row>
    <row r="139" spans="1:5" x14ac:dyDescent="0.25">
      <c r="B139" s="14"/>
    </row>
    <row r="140" spans="1:5" x14ac:dyDescent="0.25">
      <c r="B140" s="14"/>
    </row>
    <row r="141" spans="1:5" x14ac:dyDescent="0.25">
      <c r="B141" s="14"/>
    </row>
    <row r="142" spans="1:5" x14ac:dyDescent="0.25">
      <c r="B142" s="14"/>
    </row>
    <row r="143" spans="1:5" x14ac:dyDescent="0.25">
      <c r="B143" s="14"/>
    </row>
    <row r="144" spans="1:5" x14ac:dyDescent="0.25">
      <c r="B144" s="14"/>
    </row>
    <row r="145" spans="1:5" x14ac:dyDescent="0.25">
      <c r="B145" s="14"/>
    </row>
    <row r="146" spans="1:5" x14ac:dyDescent="0.25">
      <c r="B146" s="14"/>
    </row>
    <row r="147" spans="1:5" x14ac:dyDescent="0.25">
      <c r="B147" s="14"/>
    </row>
    <row r="148" spans="1:5" x14ac:dyDescent="0.25">
      <c r="B148" s="14"/>
    </row>
    <row r="149" spans="1:5" x14ac:dyDescent="0.25">
      <c r="B149" s="14"/>
    </row>
    <row r="150" spans="1:5" x14ac:dyDescent="0.25">
      <c r="B150" s="14"/>
    </row>
    <row r="151" spans="1:5" x14ac:dyDescent="0.25">
      <c r="B151" s="14"/>
    </row>
    <row r="152" spans="1:5" x14ac:dyDescent="0.25">
      <c r="B152" s="14"/>
    </row>
    <row r="153" spans="1:5" x14ac:dyDescent="0.25">
      <c r="B153" s="14"/>
    </row>
    <row r="154" spans="1:5" x14ac:dyDescent="0.25">
      <c r="A154" s="16" t="s">
        <v>19</v>
      </c>
      <c r="B154" s="17" t="s">
        <v>1426</v>
      </c>
      <c r="C154" s="16" t="s">
        <v>1427</v>
      </c>
      <c r="D154" s="16" t="s">
        <v>1428</v>
      </c>
      <c r="E154" s="16" t="s">
        <v>1429</v>
      </c>
    </row>
    <row r="155" spans="1:5" x14ac:dyDescent="0.25">
      <c r="A155" s="1" t="s">
        <v>1450</v>
      </c>
      <c r="B155" s="46" t="s">
        <v>1451</v>
      </c>
      <c r="C155" s="9">
        <f>COUNTIF('Consolidado Accidentes'!AE7:AE498,"FRANCISCA YANTEN")</f>
        <v>0</v>
      </c>
      <c r="D155" s="9">
        <v>0</v>
      </c>
      <c r="E155" s="9">
        <v>0</v>
      </c>
    </row>
    <row r="156" spans="1:5" x14ac:dyDescent="0.25">
      <c r="B156" s="46" t="s">
        <v>1452</v>
      </c>
      <c r="C156" s="9">
        <f>COUNTIF('Consolidado Accidentes'!AE7:AE498,"CALIXTO DIAZ")</f>
        <v>0</v>
      </c>
      <c r="D156" s="9">
        <v>0</v>
      </c>
      <c r="E156" s="9">
        <v>0</v>
      </c>
    </row>
    <row r="157" spans="1:5" x14ac:dyDescent="0.25">
      <c r="B157" s="14"/>
      <c r="C157" s="40">
        <f>SUM(C155:C156)</f>
        <v>0</v>
      </c>
      <c r="D157" s="40">
        <f>SUM(D155:D156)</f>
        <v>0</v>
      </c>
      <c r="E157" s="40">
        <f>SUM(E155:E156)</f>
        <v>0</v>
      </c>
    </row>
    <row r="158" spans="1:5" x14ac:dyDescent="0.25">
      <c r="B158" s="14"/>
    </row>
    <row r="159" spans="1:5" x14ac:dyDescent="0.25">
      <c r="B159" s="14"/>
    </row>
    <row r="160" spans="1:5" x14ac:dyDescent="0.25">
      <c r="B160" s="14"/>
    </row>
    <row r="161" spans="2:2" x14ac:dyDescent="0.25">
      <c r="B161" s="14"/>
    </row>
    <row r="162" spans="2:2" x14ac:dyDescent="0.25">
      <c r="B162" s="14"/>
    </row>
    <row r="163" spans="2:2" x14ac:dyDescent="0.25">
      <c r="B163" s="14"/>
    </row>
    <row r="164" spans="2:2" x14ac:dyDescent="0.25">
      <c r="B164" s="14"/>
    </row>
    <row r="165" spans="2:2" x14ac:dyDescent="0.25">
      <c r="B165" s="14"/>
    </row>
    <row r="166" spans="2:2" x14ac:dyDescent="0.25">
      <c r="B166" s="14"/>
    </row>
    <row r="167" spans="2:2" x14ac:dyDescent="0.25">
      <c r="B167" s="14"/>
    </row>
    <row r="168" spans="2:2" x14ac:dyDescent="0.25">
      <c r="B168" s="14"/>
    </row>
    <row r="169" spans="2:2" x14ac:dyDescent="0.25">
      <c r="B169" s="14"/>
    </row>
    <row r="170" spans="2:2" x14ac:dyDescent="0.25">
      <c r="B170" s="14"/>
    </row>
    <row r="171" spans="2:2" x14ac:dyDescent="0.25">
      <c r="B171" s="14"/>
    </row>
    <row r="172" spans="2:2" x14ac:dyDescent="0.25">
      <c r="B172" s="14"/>
    </row>
    <row r="173" spans="2:2" x14ac:dyDescent="0.25">
      <c r="B173" s="14"/>
    </row>
    <row r="174" spans="2:2" x14ac:dyDescent="0.25">
      <c r="B174" s="14"/>
    </row>
    <row r="175" spans="2:2" x14ac:dyDescent="0.25">
      <c r="B175" s="14"/>
    </row>
    <row r="176" spans="2:2" x14ac:dyDescent="0.25">
      <c r="B176" s="14"/>
    </row>
    <row r="177" spans="2:2" x14ac:dyDescent="0.25">
      <c r="B177" s="14"/>
    </row>
    <row r="178" spans="2:2" x14ac:dyDescent="0.25">
      <c r="B178" s="14"/>
    </row>
    <row r="179" spans="2:2" x14ac:dyDescent="0.25">
      <c r="B179" s="14"/>
    </row>
    <row r="180" spans="2:2" x14ac:dyDescent="0.25">
      <c r="B180" s="14"/>
    </row>
    <row r="181" spans="2:2" x14ac:dyDescent="0.25">
      <c r="B181" s="14"/>
    </row>
    <row r="182" spans="2:2" x14ac:dyDescent="0.25">
      <c r="B182" s="14"/>
    </row>
    <row r="183" spans="2:2" x14ac:dyDescent="0.25">
      <c r="B183" s="14"/>
    </row>
    <row r="184" spans="2:2" x14ac:dyDescent="0.25">
      <c r="B184" s="14"/>
    </row>
    <row r="185" spans="2:2" x14ac:dyDescent="0.25">
      <c r="B185" s="14"/>
    </row>
    <row r="186" spans="2:2" x14ac:dyDescent="0.25">
      <c r="B186" s="14"/>
    </row>
    <row r="187" spans="2:2" x14ac:dyDescent="0.25">
      <c r="B187" s="14"/>
    </row>
    <row r="188" spans="2:2" x14ac:dyDescent="0.25">
      <c r="B188" s="14"/>
    </row>
    <row r="189" spans="2:2" x14ac:dyDescent="0.25">
      <c r="B189" s="14"/>
    </row>
    <row r="190" spans="2:2" x14ac:dyDescent="0.25">
      <c r="B190" s="14"/>
    </row>
    <row r="191" spans="2:2" x14ac:dyDescent="0.25">
      <c r="B191" s="14"/>
    </row>
    <row r="192" spans="2:2" x14ac:dyDescent="0.25">
      <c r="B192" s="14"/>
    </row>
    <row r="193" spans="2:2" x14ac:dyDescent="0.25">
      <c r="B193" s="14"/>
    </row>
    <row r="194" spans="2:2" x14ac:dyDescent="0.25">
      <c r="B194" s="14"/>
    </row>
    <row r="195" spans="2:2" x14ac:dyDescent="0.25">
      <c r="B195" s="14"/>
    </row>
    <row r="196" spans="2:2" x14ac:dyDescent="0.25">
      <c r="B196" s="14"/>
    </row>
    <row r="197" spans="2:2" x14ac:dyDescent="0.25">
      <c r="B197" s="14"/>
    </row>
    <row r="198" spans="2:2" x14ac:dyDescent="0.25">
      <c r="B198" s="14"/>
    </row>
    <row r="199" spans="2:2" x14ac:dyDescent="0.25">
      <c r="B199" s="14"/>
    </row>
    <row r="200" spans="2:2" x14ac:dyDescent="0.25">
      <c r="B200" s="14"/>
    </row>
    <row r="201" spans="2:2" x14ac:dyDescent="0.25">
      <c r="B201" s="14"/>
    </row>
    <row r="202" spans="2:2" x14ac:dyDescent="0.25">
      <c r="B202" s="14"/>
    </row>
    <row r="203" spans="2:2" x14ac:dyDescent="0.25">
      <c r="B203" s="14"/>
    </row>
    <row r="204" spans="2:2" x14ac:dyDescent="0.25">
      <c r="B204" s="14"/>
    </row>
    <row r="205" spans="2:2" x14ac:dyDescent="0.25">
      <c r="B205" s="14"/>
    </row>
    <row r="206" spans="2:2" x14ac:dyDescent="0.25">
      <c r="B206" s="14"/>
    </row>
    <row r="207" spans="2:2" x14ac:dyDescent="0.25">
      <c r="B207" s="14"/>
    </row>
    <row r="208" spans="2:2" x14ac:dyDescent="0.25">
      <c r="B208" s="14"/>
    </row>
    <row r="209" spans="2:2" x14ac:dyDescent="0.25">
      <c r="B209" s="14"/>
    </row>
    <row r="210" spans="2:2" x14ac:dyDescent="0.25">
      <c r="B210" s="14"/>
    </row>
    <row r="211" spans="2:2" x14ac:dyDescent="0.25">
      <c r="B211" s="14"/>
    </row>
    <row r="212" spans="2:2" x14ac:dyDescent="0.25">
      <c r="B212" s="14"/>
    </row>
    <row r="213" spans="2:2" x14ac:dyDescent="0.25">
      <c r="B213" s="14"/>
    </row>
    <row r="214" spans="2:2" x14ac:dyDescent="0.25">
      <c r="B214" s="14"/>
    </row>
    <row r="215" spans="2:2" x14ac:dyDescent="0.25">
      <c r="B215" s="14"/>
    </row>
    <row r="216" spans="2:2" x14ac:dyDescent="0.25">
      <c r="B216" s="14"/>
    </row>
    <row r="217" spans="2:2" x14ac:dyDescent="0.25">
      <c r="B217" s="14"/>
    </row>
    <row r="218" spans="2:2" x14ac:dyDescent="0.25">
      <c r="B218" s="14"/>
    </row>
    <row r="219" spans="2:2" x14ac:dyDescent="0.25">
      <c r="B219" s="14"/>
    </row>
    <row r="220" spans="2:2" x14ac:dyDescent="0.25">
      <c r="B220" s="14"/>
    </row>
    <row r="221" spans="2:2" x14ac:dyDescent="0.25">
      <c r="B221" s="14"/>
    </row>
    <row r="222" spans="2:2" x14ac:dyDescent="0.25">
      <c r="B222" s="14"/>
    </row>
    <row r="223" spans="2:2" x14ac:dyDescent="0.25">
      <c r="B223" s="14"/>
    </row>
    <row r="224" spans="2:2" x14ac:dyDescent="0.25">
      <c r="B224" s="14"/>
    </row>
    <row r="225" spans="2:2" x14ac:dyDescent="0.25">
      <c r="B225" s="14"/>
    </row>
    <row r="226" spans="2:2" x14ac:dyDescent="0.25">
      <c r="B226" s="14"/>
    </row>
    <row r="227" spans="2:2" x14ac:dyDescent="0.25">
      <c r="B227" s="14"/>
    </row>
    <row r="228" spans="2:2" x14ac:dyDescent="0.25">
      <c r="B228" s="14"/>
    </row>
    <row r="229" spans="2:2" x14ac:dyDescent="0.25">
      <c r="B229" s="14"/>
    </row>
    <row r="230" spans="2:2" x14ac:dyDescent="0.25">
      <c r="B230" s="14"/>
    </row>
    <row r="231" spans="2:2" x14ac:dyDescent="0.25">
      <c r="B231" s="14"/>
    </row>
    <row r="232" spans="2:2" x14ac:dyDescent="0.25">
      <c r="B232" s="14"/>
    </row>
    <row r="233" spans="2:2" x14ac:dyDescent="0.25">
      <c r="B233" s="14"/>
    </row>
    <row r="234" spans="2:2" x14ac:dyDescent="0.25">
      <c r="B234" s="14"/>
    </row>
    <row r="235" spans="2:2" x14ac:dyDescent="0.25">
      <c r="B235" s="14"/>
    </row>
    <row r="236" spans="2:2" x14ac:dyDescent="0.25">
      <c r="B236" s="14"/>
    </row>
    <row r="237" spans="2:2" x14ac:dyDescent="0.25">
      <c r="B237" s="14"/>
    </row>
    <row r="238" spans="2:2" x14ac:dyDescent="0.25">
      <c r="B238" s="14"/>
    </row>
    <row r="239" spans="2:2" x14ac:dyDescent="0.25">
      <c r="B239" s="14"/>
    </row>
    <row r="240" spans="2:2" x14ac:dyDescent="0.25">
      <c r="B240" s="14"/>
    </row>
    <row r="241" spans="2:2" x14ac:dyDescent="0.25">
      <c r="B241" s="14"/>
    </row>
    <row r="242" spans="2:2" x14ac:dyDescent="0.25">
      <c r="B242" s="14"/>
    </row>
    <row r="243" spans="2:2" x14ac:dyDescent="0.25">
      <c r="B243" s="14"/>
    </row>
    <row r="244" spans="2:2" x14ac:dyDescent="0.25">
      <c r="B244" s="14"/>
    </row>
    <row r="245" spans="2:2" x14ac:dyDescent="0.25">
      <c r="B245" s="14"/>
    </row>
    <row r="246" spans="2:2" x14ac:dyDescent="0.25">
      <c r="B246" s="14"/>
    </row>
    <row r="247" spans="2:2" x14ac:dyDescent="0.25">
      <c r="B247" s="14"/>
    </row>
    <row r="248" spans="2:2" x14ac:dyDescent="0.25">
      <c r="B248" s="14"/>
    </row>
    <row r="249" spans="2:2" x14ac:dyDescent="0.25">
      <c r="B249" s="14"/>
    </row>
    <row r="250" spans="2:2" x14ac:dyDescent="0.25">
      <c r="B250" s="14"/>
    </row>
    <row r="251" spans="2:2" x14ac:dyDescent="0.25">
      <c r="B251" s="14"/>
    </row>
    <row r="252" spans="2:2" x14ac:dyDescent="0.25">
      <c r="B252" s="14"/>
    </row>
    <row r="253" spans="2:2" x14ac:dyDescent="0.25">
      <c r="B253" s="14"/>
    </row>
    <row r="254" spans="2:2" x14ac:dyDescent="0.25">
      <c r="B254" s="14"/>
    </row>
    <row r="255" spans="2:2" x14ac:dyDescent="0.25">
      <c r="B255" s="14"/>
    </row>
    <row r="256" spans="2:2" x14ac:dyDescent="0.25">
      <c r="B256" s="14"/>
    </row>
    <row r="257" spans="2:2" x14ac:dyDescent="0.25">
      <c r="B257" s="14"/>
    </row>
    <row r="258" spans="2:2" x14ac:dyDescent="0.25">
      <c r="B258" s="14"/>
    </row>
    <row r="259" spans="2:2" x14ac:dyDescent="0.25">
      <c r="B259" s="14"/>
    </row>
    <row r="260" spans="2:2" x14ac:dyDescent="0.25">
      <c r="B260" s="14"/>
    </row>
    <row r="261" spans="2:2" x14ac:dyDescent="0.25">
      <c r="B261" s="14"/>
    </row>
    <row r="262" spans="2:2" x14ac:dyDescent="0.25">
      <c r="B262" s="14"/>
    </row>
    <row r="263" spans="2:2" x14ac:dyDescent="0.25">
      <c r="B263" s="14"/>
    </row>
    <row r="264" spans="2:2" x14ac:dyDescent="0.25">
      <c r="B264" s="14"/>
    </row>
    <row r="265" spans="2:2" x14ac:dyDescent="0.25">
      <c r="B265" s="14"/>
    </row>
    <row r="266" spans="2:2" x14ac:dyDescent="0.25">
      <c r="B266" s="14"/>
    </row>
    <row r="267" spans="2:2" x14ac:dyDescent="0.25">
      <c r="B267" s="14"/>
    </row>
    <row r="268" spans="2:2" x14ac:dyDescent="0.25">
      <c r="B268" s="14"/>
    </row>
    <row r="269" spans="2:2" x14ac:dyDescent="0.25">
      <c r="B269" s="14"/>
    </row>
    <row r="270" spans="2:2" x14ac:dyDescent="0.25">
      <c r="B270" s="14"/>
    </row>
    <row r="271" spans="2:2" x14ac:dyDescent="0.25">
      <c r="B271" s="14"/>
    </row>
    <row r="272" spans="2:2" x14ac:dyDescent="0.25">
      <c r="B272" s="14"/>
    </row>
    <row r="273" spans="2:2" x14ac:dyDescent="0.25">
      <c r="B273" s="14"/>
    </row>
    <row r="274" spans="2:2" x14ac:dyDescent="0.25">
      <c r="B274" s="14"/>
    </row>
    <row r="275" spans="2:2" x14ac:dyDescent="0.25">
      <c r="B275" s="14"/>
    </row>
    <row r="276" spans="2:2" x14ac:dyDescent="0.25">
      <c r="B276" s="14"/>
    </row>
    <row r="277" spans="2:2" x14ac:dyDescent="0.25">
      <c r="B277" s="14"/>
    </row>
    <row r="278" spans="2:2" x14ac:dyDescent="0.25">
      <c r="B278" s="14"/>
    </row>
    <row r="279" spans="2:2" x14ac:dyDescent="0.25">
      <c r="B279" s="14"/>
    </row>
    <row r="280" spans="2:2" x14ac:dyDescent="0.25">
      <c r="B280" s="14"/>
    </row>
    <row r="281" spans="2:2" x14ac:dyDescent="0.25">
      <c r="B281" s="14"/>
    </row>
    <row r="282" spans="2:2" x14ac:dyDescent="0.25">
      <c r="B282" s="14"/>
    </row>
    <row r="283" spans="2:2" x14ac:dyDescent="0.25">
      <c r="B283" s="14"/>
    </row>
    <row r="284" spans="2:2" x14ac:dyDescent="0.25">
      <c r="B284" s="14"/>
    </row>
    <row r="285" spans="2:2" x14ac:dyDescent="0.25">
      <c r="B285" s="14"/>
    </row>
    <row r="286" spans="2:2" x14ac:dyDescent="0.25">
      <c r="B286" s="14"/>
    </row>
    <row r="287" spans="2:2" x14ac:dyDescent="0.25">
      <c r="B287" s="14"/>
    </row>
    <row r="288" spans="2:2" x14ac:dyDescent="0.25">
      <c r="B288" s="14"/>
    </row>
    <row r="289" spans="2:2" x14ac:dyDescent="0.25">
      <c r="B289" s="14"/>
    </row>
    <row r="290" spans="2:2" x14ac:dyDescent="0.25">
      <c r="B290" s="14"/>
    </row>
    <row r="291" spans="2:2" x14ac:dyDescent="0.25">
      <c r="B291" s="14"/>
    </row>
    <row r="292" spans="2:2" x14ac:dyDescent="0.25">
      <c r="B292" s="14"/>
    </row>
    <row r="293" spans="2:2" x14ac:dyDescent="0.25">
      <c r="B293" s="14"/>
    </row>
    <row r="294" spans="2:2" x14ac:dyDescent="0.25">
      <c r="B294" s="14"/>
    </row>
    <row r="295" spans="2:2" x14ac:dyDescent="0.25">
      <c r="B295" s="14"/>
    </row>
    <row r="296" spans="2:2" x14ac:dyDescent="0.25">
      <c r="B296" s="14"/>
    </row>
    <row r="297" spans="2:2" x14ac:dyDescent="0.25">
      <c r="B297" s="14"/>
    </row>
    <row r="298" spans="2:2" x14ac:dyDescent="0.25">
      <c r="B298" s="14"/>
    </row>
    <row r="299" spans="2:2" x14ac:dyDescent="0.25">
      <c r="B299" s="14"/>
    </row>
    <row r="300" spans="2:2" x14ac:dyDescent="0.25">
      <c r="B300" s="14"/>
    </row>
    <row r="301" spans="2:2" x14ac:dyDescent="0.25">
      <c r="B301" s="14"/>
    </row>
    <row r="302" spans="2:2" x14ac:dyDescent="0.25">
      <c r="B302" s="14"/>
    </row>
    <row r="303" spans="2:2" x14ac:dyDescent="0.25">
      <c r="B303" s="14"/>
    </row>
    <row r="304" spans="2:2" x14ac:dyDescent="0.25">
      <c r="B304" s="14"/>
    </row>
    <row r="305" spans="2:2" x14ac:dyDescent="0.25">
      <c r="B305" s="14"/>
    </row>
    <row r="306" spans="2:2" x14ac:dyDescent="0.25">
      <c r="B306" s="14"/>
    </row>
    <row r="307" spans="2:2" x14ac:dyDescent="0.25">
      <c r="B307" s="14"/>
    </row>
    <row r="308" spans="2:2" x14ac:dyDescent="0.25">
      <c r="B308" s="14"/>
    </row>
    <row r="309" spans="2:2" x14ac:dyDescent="0.25">
      <c r="B309" s="14"/>
    </row>
    <row r="310" spans="2:2" x14ac:dyDescent="0.25">
      <c r="B310" s="14"/>
    </row>
    <row r="311" spans="2:2" x14ac:dyDescent="0.25">
      <c r="B311" s="14"/>
    </row>
    <row r="312" spans="2:2" x14ac:dyDescent="0.25">
      <c r="B312" s="14"/>
    </row>
    <row r="313" spans="2:2" x14ac:dyDescent="0.25">
      <c r="B313" s="14"/>
    </row>
    <row r="314" spans="2:2" x14ac:dyDescent="0.25">
      <c r="B314" s="14"/>
    </row>
    <row r="315" spans="2:2" x14ac:dyDescent="0.25">
      <c r="B315" s="14"/>
    </row>
    <row r="316" spans="2:2" x14ac:dyDescent="0.25">
      <c r="B316" s="14"/>
    </row>
    <row r="317" spans="2:2" x14ac:dyDescent="0.25">
      <c r="B317" s="14"/>
    </row>
    <row r="318" spans="2:2" x14ac:dyDescent="0.25">
      <c r="B318" s="14"/>
    </row>
    <row r="319" spans="2:2" x14ac:dyDescent="0.25">
      <c r="B319" s="14"/>
    </row>
    <row r="320" spans="2:2" x14ac:dyDescent="0.25">
      <c r="B320" s="14"/>
    </row>
    <row r="321" spans="2:2" x14ac:dyDescent="0.25">
      <c r="B321" s="14"/>
    </row>
    <row r="322" spans="2:2" x14ac:dyDescent="0.25">
      <c r="B322" s="14"/>
    </row>
    <row r="323" spans="2:2" x14ac:dyDescent="0.25">
      <c r="B323" s="14"/>
    </row>
    <row r="324" spans="2:2" x14ac:dyDescent="0.25">
      <c r="B324" s="14"/>
    </row>
    <row r="325" spans="2:2" x14ac:dyDescent="0.25">
      <c r="B325" s="14"/>
    </row>
    <row r="326" spans="2:2" x14ac:dyDescent="0.25">
      <c r="B326" s="14"/>
    </row>
    <row r="327" spans="2:2" x14ac:dyDescent="0.25">
      <c r="B327" s="14"/>
    </row>
    <row r="328" spans="2:2" x14ac:dyDescent="0.25">
      <c r="B328" s="14"/>
    </row>
    <row r="329" spans="2:2" x14ac:dyDescent="0.25">
      <c r="B329" s="14"/>
    </row>
    <row r="330" spans="2:2" x14ac:dyDescent="0.25">
      <c r="B330" s="14"/>
    </row>
    <row r="331" spans="2:2" x14ac:dyDescent="0.25">
      <c r="B331" s="14"/>
    </row>
  </sheetData>
  <mergeCells count="9">
    <mergeCell ref="A87:A97"/>
    <mergeCell ref="A106:A107"/>
    <mergeCell ref="A122:A126"/>
    <mergeCell ref="A3:A8"/>
    <mergeCell ref="A17:A23"/>
    <mergeCell ref="A33:A35"/>
    <mergeCell ref="A46:A49"/>
    <mergeCell ref="A60:A61"/>
    <mergeCell ref="A74:A76"/>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B6EA0-56AC-4D6E-8B9D-6E7146802977}">
  <dimension ref="A1:K59"/>
  <sheetViews>
    <sheetView workbookViewId="0">
      <selection activeCell="D7" sqref="D7"/>
    </sheetView>
  </sheetViews>
  <sheetFormatPr baseColWidth="10" defaultColWidth="11.42578125" defaultRowHeight="15" x14ac:dyDescent="0.25"/>
  <cols>
    <col min="1" max="1" width="17.5703125" bestFit="1" customWidth="1"/>
    <col min="2" max="2" width="25.140625" bestFit="1" customWidth="1"/>
    <col min="3" max="3" width="5.28515625" customWidth="1"/>
    <col min="4" max="4" width="17.5703125" bestFit="1" customWidth="1"/>
    <col min="5" max="5" width="15.140625" bestFit="1" customWidth="1"/>
    <col min="6" max="6" width="5" customWidth="1"/>
    <col min="7" max="7" width="17.5703125" bestFit="1" customWidth="1"/>
    <col min="8" max="8" width="25.140625" bestFit="1" customWidth="1"/>
    <col min="9" max="9" width="4.140625" customWidth="1"/>
    <col min="10" max="10" width="17.5703125" bestFit="1" customWidth="1"/>
    <col min="11" max="11" width="25.140625" bestFit="1" customWidth="1"/>
    <col min="12" max="12" width="20.42578125" bestFit="1" customWidth="1"/>
  </cols>
  <sheetData>
    <row r="1" spans="1:11" x14ac:dyDescent="0.25">
      <c r="A1" s="219" t="s">
        <v>16</v>
      </c>
      <c r="B1" t="s">
        <v>141</v>
      </c>
      <c r="G1" s="219" t="s">
        <v>1453</v>
      </c>
      <c r="H1" t="s">
        <v>1454</v>
      </c>
      <c r="J1" s="219" t="s">
        <v>1453</v>
      </c>
      <c r="K1" t="s">
        <v>1454</v>
      </c>
    </row>
    <row r="2" spans="1:11" x14ac:dyDescent="0.25">
      <c r="G2" s="30" t="s">
        <v>70</v>
      </c>
      <c r="H2">
        <v>19</v>
      </c>
      <c r="J2" s="30" t="s">
        <v>1455</v>
      </c>
      <c r="K2">
        <v>1</v>
      </c>
    </row>
    <row r="3" spans="1:11" x14ac:dyDescent="0.25">
      <c r="A3" s="219" t="s">
        <v>1453</v>
      </c>
      <c r="B3" t="s">
        <v>1456</v>
      </c>
      <c r="G3" s="30" t="s">
        <v>249</v>
      </c>
      <c r="H3">
        <v>8</v>
      </c>
      <c r="J3" s="30" t="s">
        <v>1457</v>
      </c>
      <c r="K3">
        <v>1</v>
      </c>
    </row>
    <row r="4" spans="1:11" x14ac:dyDescent="0.25">
      <c r="A4" s="30" t="s">
        <v>93</v>
      </c>
      <c r="B4">
        <v>1</v>
      </c>
      <c r="G4" s="30" t="s">
        <v>302</v>
      </c>
      <c r="H4">
        <v>10</v>
      </c>
    </row>
    <row r="5" spans="1:11" x14ac:dyDescent="0.25">
      <c r="A5" s="30" t="s">
        <v>142</v>
      </c>
      <c r="B5">
        <v>1</v>
      </c>
      <c r="G5" s="30" t="s">
        <v>1457</v>
      </c>
      <c r="H5">
        <v>37</v>
      </c>
    </row>
    <row r="6" spans="1:11" x14ac:dyDescent="0.25">
      <c r="A6" s="30" t="s">
        <v>271</v>
      </c>
      <c r="B6">
        <v>1</v>
      </c>
    </row>
    <row r="7" spans="1:11" x14ac:dyDescent="0.25">
      <c r="A7" s="30" t="s">
        <v>75</v>
      </c>
      <c r="B7">
        <v>2</v>
      </c>
    </row>
    <row r="8" spans="1:11" x14ac:dyDescent="0.25">
      <c r="A8" s="30" t="s">
        <v>1457</v>
      </c>
      <c r="B8">
        <v>5</v>
      </c>
      <c r="J8" s="219" t="s">
        <v>16</v>
      </c>
      <c r="K8" t="s">
        <v>141</v>
      </c>
    </row>
    <row r="10" spans="1:11" x14ac:dyDescent="0.25">
      <c r="J10" s="219" t="s">
        <v>1453</v>
      </c>
      <c r="K10" t="s">
        <v>1458</v>
      </c>
    </row>
    <row r="11" spans="1:11" x14ac:dyDescent="0.25">
      <c r="A11" s="219" t="s">
        <v>1453</v>
      </c>
      <c r="B11" t="s">
        <v>1454</v>
      </c>
      <c r="J11" s="30" t="s">
        <v>896</v>
      </c>
      <c r="K11">
        <v>1</v>
      </c>
    </row>
    <row r="12" spans="1:11" x14ac:dyDescent="0.25">
      <c r="A12" s="30" t="s">
        <v>177</v>
      </c>
      <c r="B12">
        <v>1</v>
      </c>
      <c r="D12" s="219" t="s">
        <v>1453</v>
      </c>
      <c r="E12" t="s">
        <v>1459</v>
      </c>
      <c r="J12" s="30" t="s">
        <v>827</v>
      </c>
      <c r="K12">
        <v>3</v>
      </c>
    </row>
    <row r="13" spans="1:11" x14ac:dyDescent="0.25">
      <c r="A13" s="30" t="s">
        <v>156</v>
      </c>
      <c r="B13">
        <v>2</v>
      </c>
      <c r="D13" s="30" t="s">
        <v>236</v>
      </c>
      <c r="E13">
        <v>1</v>
      </c>
      <c r="G13" s="219" t="s">
        <v>1453</v>
      </c>
      <c r="H13" t="s">
        <v>1454</v>
      </c>
      <c r="J13" s="30" t="s">
        <v>1237</v>
      </c>
      <c r="K13">
        <v>1</v>
      </c>
    </row>
    <row r="14" spans="1:11" x14ac:dyDescent="0.25">
      <c r="A14" s="30" t="s">
        <v>85</v>
      </c>
      <c r="B14">
        <v>8</v>
      </c>
      <c r="D14" s="30" t="s">
        <v>289</v>
      </c>
      <c r="E14">
        <v>2</v>
      </c>
      <c r="G14" s="30" t="s">
        <v>47</v>
      </c>
      <c r="H14">
        <v>13</v>
      </c>
      <c r="J14" s="30" t="s">
        <v>1457</v>
      </c>
      <c r="K14">
        <v>5</v>
      </c>
    </row>
    <row r="15" spans="1:11" x14ac:dyDescent="0.25">
      <c r="A15" s="30" t="s">
        <v>130</v>
      </c>
      <c r="B15">
        <v>3</v>
      </c>
      <c r="D15" s="30" t="s">
        <v>166</v>
      </c>
      <c r="E15">
        <v>3</v>
      </c>
      <c r="G15" s="30" t="s">
        <v>73</v>
      </c>
      <c r="H15">
        <v>24</v>
      </c>
    </row>
    <row r="16" spans="1:11" x14ac:dyDescent="0.25">
      <c r="A16" s="30" t="s">
        <v>101</v>
      </c>
      <c r="B16">
        <v>1</v>
      </c>
      <c r="D16" s="30" t="s">
        <v>147</v>
      </c>
      <c r="E16">
        <v>1</v>
      </c>
      <c r="G16" s="30" t="s">
        <v>1457</v>
      </c>
      <c r="H16">
        <v>37</v>
      </c>
    </row>
    <row r="17" spans="1:11" x14ac:dyDescent="0.25">
      <c r="A17" s="30" t="s">
        <v>247</v>
      </c>
      <c r="B17">
        <v>1</v>
      </c>
      <c r="D17" s="30" t="s">
        <v>99</v>
      </c>
      <c r="E17">
        <v>2</v>
      </c>
      <c r="J17" s="219" t="s">
        <v>40</v>
      </c>
      <c r="K17" t="s">
        <v>66</v>
      </c>
    </row>
    <row r="18" spans="1:11" x14ac:dyDescent="0.25">
      <c r="A18" s="30" t="s">
        <v>63</v>
      </c>
      <c r="B18">
        <v>5</v>
      </c>
      <c r="D18" s="30" t="s">
        <v>329</v>
      </c>
      <c r="E18">
        <v>1</v>
      </c>
      <c r="J18" s="219" t="s">
        <v>16</v>
      </c>
      <c r="K18" t="s">
        <v>49</v>
      </c>
    </row>
    <row r="19" spans="1:11" x14ac:dyDescent="0.25">
      <c r="A19" s="30" t="s">
        <v>148</v>
      </c>
      <c r="B19">
        <v>10</v>
      </c>
      <c r="D19" s="30" t="s">
        <v>319</v>
      </c>
      <c r="E19">
        <v>1</v>
      </c>
      <c r="G19" s="219" t="s">
        <v>1453</v>
      </c>
      <c r="H19" t="s">
        <v>1454</v>
      </c>
    </row>
    <row r="20" spans="1:11" x14ac:dyDescent="0.25">
      <c r="A20" s="30" t="s">
        <v>238</v>
      </c>
      <c r="B20">
        <v>1</v>
      </c>
      <c r="D20" s="30" t="s">
        <v>128</v>
      </c>
      <c r="E20">
        <v>5</v>
      </c>
      <c r="G20" s="30" t="s">
        <v>65</v>
      </c>
      <c r="H20">
        <v>27</v>
      </c>
      <c r="J20" s="219" t="s">
        <v>1453</v>
      </c>
      <c r="K20" t="s">
        <v>1458</v>
      </c>
    </row>
    <row r="21" spans="1:11" x14ac:dyDescent="0.25">
      <c r="A21" s="30" t="s">
        <v>115</v>
      </c>
      <c r="B21">
        <v>3</v>
      </c>
      <c r="D21" s="30" t="s">
        <v>175</v>
      </c>
      <c r="E21">
        <v>1</v>
      </c>
      <c r="G21" s="30" t="s">
        <v>87</v>
      </c>
      <c r="H21">
        <v>10</v>
      </c>
      <c r="J21" s="30" t="s">
        <v>896</v>
      </c>
      <c r="K21">
        <v>1</v>
      </c>
    </row>
    <row r="22" spans="1:11" x14ac:dyDescent="0.25">
      <c r="A22" s="30" t="s">
        <v>199</v>
      </c>
      <c r="B22">
        <v>2</v>
      </c>
      <c r="D22" s="30" t="s">
        <v>254</v>
      </c>
      <c r="E22">
        <v>6</v>
      </c>
      <c r="G22" s="30" t="s">
        <v>1457</v>
      </c>
      <c r="H22">
        <v>37</v>
      </c>
      <c r="J22" s="30" t="s">
        <v>1237</v>
      </c>
      <c r="K22">
        <v>1</v>
      </c>
    </row>
    <row r="23" spans="1:11" x14ac:dyDescent="0.25">
      <c r="A23" s="30" t="s">
        <v>1457</v>
      </c>
      <c r="B23">
        <v>37</v>
      </c>
      <c r="D23" s="30" t="s">
        <v>60</v>
      </c>
      <c r="E23">
        <v>3</v>
      </c>
      <c r="J23" s="30" t="s">
        <v>1457</v>
      </c>
      <c r="K23">
        <v>2</v>
      </c>
    </row>
    <row r="24" spans="1:11" x14ac:dyDescent="0.25">
      <c r="D24" s="30" t="s">
        <v>213</v>
      </c>
      <c r="E24">
        <v>2</v>
      </c>
    </row>
    <row r="25" spans="1:11" x14ac:dyDescent="0.25">
      <c r="D25" s="30" t="s">
        <v>112</v>
      </c>
      <c r="E25">
        <v>2</v>
      </c>
    </row>
    <row r="26" spans="1:11" x14ac:dyDescent="0.25">
      <c r="A26" s="219" t="s">
        <v>1453</v>
      </c>
      <c r="B26" t="s">
        <v>1456</v>
      </c>
      <c r="D26" s="30" t="s">
        <v>83</v>
      </c>
      <c r="E26">
        <v>7</v>
      </c>
      <c r="G26" s="219" t="s">
        <v>1453</v>
      </c>
      <c r="H26" t="s">
        <v>1454</v>
      </c>
    </row>
    <row r="27" spans="1:11" x14ac:dyDescent="0.25">
      <c r="A27" s="30" t="s">
        <v>79</v>
      </c>
      <c r="B27">
        <v>9</v>
      </c>
      <c r="D27" s="30" t="s">
        <v>1457</v>
      </c>
      <c r="E27">
        <v>37</v>
      </c>
      <c r="G27" s="30" t="s">
        <v>78</v>
      </c>
      <c r="H27">
        <v>13</v>
      </c>
    </row>
    <row r="28" spans="1:11" x14ac:dyDescent="0.25">
      <c r="A28" s="30" t="s">
        <v>96</v>
      </c>
      <c r="B28">
        <v>8</v>
      </c>
      <c r="G28" s="30" t="s">
        <v>110</v>
      </c>
      <c r="H28">
        <v>10</v>
      </c>
    </row>
    <row r="29" spans="1:11" x14ac:dyDescent="0.25">
      <c r="A29" s="30" t="s">
        <v>1460</v>
      </c>
      <c r="B29">
        <v>8</v>
      </c>
      <c r="G29" s="30" t="s">
        <v>55</v>
      </c>
      <c r="H29">
        <v>14</v>
      </c>
    </row>
    <row r="30" spans="1:11" x14ac:dyDescent="0.25">
      <c r="A30" s="30" t="s">
        <v>164</v>
      </c>
      <c r="B30">
        <v>7</v>
      </c>
      <c r="G30" s="30" t="s">
        <v>1457</v>
      </c>
      <c r="H30">
        <v>37</v>
      </c>
    </row>
    <row r="31" spans="1:11" x14ac:dyDescent="0.25">
      <c r="A31" s="30" t="s">
        <v>183</v>
      </c>
      <c r="B31">
        <v>3</v>
      </c>
      <c r="D31" s="219" t="s">
        <v>1453</v>
      </c>
      <c r="E31" t="s">
        <v>1456</v>
      </c>
    </row>
    <row r="32" spans="1:11" x14ac:dyDescent="0.25">
      <c r="A32" s="30" t="s">
        <v>154</v>
      </c>
      <c r="B32">
        <v>2</v>
      </c>
      <c r="D32" s="30" t="s">
        <v>141</v>
      </c>
      <c r="E32">
        <v>5</v>
      </c>
    </row>
    <row r="33" spans="1:8" x14ac:dyDescent="0.25">
      <c r="A33" s="30" t="s">
        <v>1457</v>
      </c>
      <c r="B33">
        <v>37</v>
      </c>
      <c r="D33" s="30" t="s">
        <v>49</v>
      </c>
      <c r="E33">
        <v>31</v>
      </c>
      <c r="G33" s="219" t="s">
        <v>16</v>
      </c>
      <c r="H33" t="s">
        <v>141</v>
      </c>
    </row>
    <row r="34" spans="1:8" x14ac:dyDescent="0.25">
      <c r="D34" s="30" t="s">
        <v>1457</v>
      </c>
      <c r="E34">
        <v>36</v>
      </c>
    </row>
    <row r="35" spans="1:8" x14ac:dyDescent="0.25">
      <c r="A35" s="219" t="s">
        <v>1453</v>
      </c>
      <c r="B35" t="s">
        <v>1456</v>
      </c>
      <c r="G35" s="219" t="s">
        <v>1453</v>
      </c>
      <c r="H35" t="s">
        <v>1454</v>
      </c>
    </row>
    <row r="36" spans="1:8" x14ac:dyDescent="0.25">
      <c r="A36" s="30" t="s">
        <v>896</v>
      </c>
      <c r="B36">
        <v>9</v>
      </c>
      <c r="G36" s="30" t="s">
        <v>70</v>
      </c>
      <c r="H36">
        <v>3</v>
      </c>
    </row>
    <row r="37" spans="1:8" x14ac:dyDescent="0.25">
      <c r="A37" s="30" t="s">
        <v>827</v>
      </c>
      <c r="B37">
        <v>8</v>
      </c>
      <c r="G37" s="30" t="s">
        <v>302</v>
      </c>
      <c r="H37">
        <v>2</v>
      </c>
    </row>
    <row r="38" spans="1:8" x14ac:dyDescent="0.25">
      <c r="A38" s="30" t="s">
        <v>1237</v>
      </c>
      <c r="B38">
        <v>20</v>
      </c>
      <c r="D38" s="219" t="s">
        <v>1453</v>
      </c>
      <c r="E38" t="s">
        <v>1456</v>
      </c>
      <c r="G38" s="30" t="s">
        <v>1457</v>
      </c>
      <c r="H38">
        <v>5</v>
      </c>
    </row>
    <row r="39" spans="1:8" x14ac:dyDescent="0.25">
      <c r="A39" s="30" t="s">
        <v>1457</v>
      </c>
      <c r="B39">
        <v>37</v>
      </c>
      <c r="D39" s="30" t="s">
        <v>75</v>
      </c>
      <c r="E39">
        <v>9</v>
      </c>
    </row>
    <row r="40" spans="1:8" x14ac:dyDescent="0.25">
      <c r="D40" s="30" t="s">
        <v>1457</v>
      </c>
      <c r="E40">
        <v>9</v>
      </c>
    </row>
    <row r="42" spans="1:8" x14ac:dyDescent="0.25">
      <c r="A42" s="219" t="s">
        <v>1453</v>
      </c>
      <c r="B42" t="s">
        <v>1456</v>
      </c>
    </row>
    <row r="43" spans="1:8" x14ac:dyDescent="0.25">
      <c r="A43" s="30" t="s">
        <v>67</v>
      </c>
      <c r="B43">
        <v>2</v>
      </c>
    </row>
    <row r="44" spans="1:8" x14ac:dyDescent="0.25">
      <c r="A44" s="30" t="s">
        <v>66</v>
      </c>
      <c r="B44">
        <v>35</v>
      </c>
      <c r="G44" s="219" t="s">
        <v>1453</v>
      </c>
      <c r="H44" t="s">
        <v>1461</v>
      </c>
    </row>
    <row r="45" spans="1:8" x14ac:dyDescent="0.25">
      <c r="A45" s="30" t="s">
        <v>1457</v>
      </c>
      <c r="B45">
        <v>37</v>
      </c>
      <c r="G45" s="30" t="s">
        <v>93</v>
      </c>
    </row>
    <row r="46" spans="1:8" x14ac:dyDescent="0.25">
      <c r="G46" s="30" t="s">
        <v>219</v>
      </c>
    </row>
    <row r="47" spans="1:8" x14ac:dyDescent="0.25">
      <c r="G47" s="30" t="s">
        <v>142</v>
      </c>
      <c r="H47">
        <v>1</v>
      </c>
    </row>
    <row r="48" spans="1:8" x14ac:dyDescent="0.25">
      <c r="G48" s="30" t="s">
        <v>182</v>
      </c>
    </row>
    <row r="49" spans="1:8" x14ac:dyDescent="0.25">
      <c r="G49" s="30" t="s">
        <v>271</v>
      </c>
    </row>
    <row r="50" spans="1:8" x14ac:dyDescent="0.25">
      <c r="G50" s="30" t="s">
        <v>75</v>
      </c>
    </row>
    <row r="51" spans="1:8" x14ac:dyDescent="0.25">
      <c r="A51" s="219" t="s">
        <v>1453</v>
      </c>
      <c r="B51" t="s">
        <v>1454</v>
      </c>
      <c r="G51" s="30" t="s">
        <v>121</v>
      </c>
    </row>
    <row r="52" spans="1:8" x14ac:dyDescent="0.25">
      <c r="A52" s="30" t="s">
        <v>61</v>
      </c>
      <c r="B52">
        <v>16</v>
      </c>
      <c r="G52" s="30" t="s">
        <v>50</v>
      </c>
    </row>
    <row r="53" spans="1:8" x14ac:dyDescent="0.25">
      <c r="A53" s="30" t="s">
        <v>113</v>
      </c>
      <c r="B53">
        <v>6</v>
      </c>
      <c r="G53" s="30" t="s">
        <v>1457</v>
      </c>
      <c r="H53">
        <v>1</v>
      </c>
    </row>
    <row r="54" spans="1:8" x14ac:dyDescent="0.25">
      <c r="A54" s="30" t="s">
        <v>207</v>
      </c>
      <c r="B54">
        <v>3</v>
      </c>
    </row>
    <row r="55" spans="1:8" x14ac:dyDescent="0.25">
      <c r="A55" s="30" t="s">
        <v>84</v>
      </c>
      <c r="B55">
        <v>6</v>
      </c>
    </row>
    <row r="56" spans="1:8" x14ac:dyDescent="0.25">
      <c r="A56" s="30" t="s">
        <v>129</v>
      </c>
      <c r="B56">
        <v>3</v>
      </c>
    </row>
    <row r="57" spans="1:8" x14ac:dyDescent="0.25">
      <c r="A57" s="30" t="s">
        <v>186</v>
      </c>
      <c r="B57">
        <v>1</v>
      </c>
    </row>
    <row r="58" spans="1:8" x14ac:dyDescent="0.25">
      <c r="A58" s="30" t="s">
        <v>338</v>
      </c>
      <c r="B58">
        <v>2</v>
      </c>
    </row>
    <row r="59" spans="1:8" x14ac:dyDescent="0.25">
      <c r="A59" s="30" t="s">
        <v>1457</v>
      </c>
      <c r="B59">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B06F6-D731-4D8E-92FE-EC53950F7AB8}">
  <dimension ref="A1:B26"/>
  <sheetViews>
    <sheetView topLeftCell="A10" workbookViewId="0">
      <selection activeCell="D27" sqref="D27"/>
    </sheetView>
  </sheetViews>
  <sheetFormatPr baseColWidth="10" defaultColWidth="11.42578125" defaultRowHeight="15" x14ac:dyDescent="0.25"/>
  <cols>
    <col min="1" max="1" width="17.5703125" bestFit="1" customWidth="1"/>
    <col min="2" max="2" width="14.28515625" bestFit="1" customWidth="1"/>
    <col min="3" max="3" width="20.42578125" bestFit="1" customWidth="1"/>
  </cols>
  <sheetData>
    <row r="1" spans="1:2" x14ac:dyDescent="0.25">
      <c r="A1" s="219" t="s">
        <v>40</v>
      </c>
      <c r="B1" t="s">
        <v>66</v>
      </c>
    </row>
    <row r="3" spans="1:2" x14ac:dyDescent="0.25">
      <c r="A3" s="219" t="s">
        <v>1453</v>
      </c>
      <c r="B3" t="s">
        <v>1456</v>
      </c>
    </row>
    <row r="4" spans="1:2" x14ac:dyDescent="0.25">
      <c r="A4" s="30" t="s">
        <v>141</v>
      </c>
      <c r="B4">
        <v>5</v>
      </c>
    </row>
    <row r="5" spans="1:2" x14ac:dyDescent="0.25">
      <c r="A5" s="30" t="s">
        <v>49</v>
      </c>
      <c r="B5">
        <v>2</v>
      </c>
    </row>
    <row r="6" spans="1:2" x14ac:dyDescent="0.25">
      <c r="A6" s="30" t="s">
        <v>1264</v>
      </c>
      <c r="B6">
        <v>1</v>
      </c>
    </row>
    <row r="7" spans="1:2" x14ac:dyDescent="0.25">
      <c r="A7" s="220" t="s">
        <v>142</v>
      </c>
      <c r="B7">
        <v>1</v>
      </c>
    </row>
    <row r="8" spans="1:2" x14ac:dyDescent="0.25">
      <c r="A8" s="30" t="s">
        <v>1457</v>
      </c>
      <c r="B8">
        <v>8</v>
      </c>
    </row>
    <row r="12" spans="1:2" x14ac:dyDescent="0.25">
      <c r="A12" s="219" t="s">
        <v>1453</v>
      </c>
      <c r="B12" t="s">
        <v>1462</v>
      </c>
    </row>
    <row r="13" spans="1:2" x14ac:dyDescent="0.25">
      <c r="A13" s="30" t="s">
        <v>70</v>
      </c>
      <c r="B13">
        <v>19</v>
      </c>
    </row>
    <row r="14" spans="1:2" x14ac:dyDescent="0.25">
      <c r="A14" s="30" t="s">
        <v>249</v>
      </c>
      <c r="B14">
        <v>8</v>
      </c>
    </row>
    <row r="15" spans="1:2" x14ac:dyDescent="0.25">
      <c r="A15" s="30" t="s">
        <v>302</v>
      </c>
      <c r="B15">
        <v>13</v>
      </c>
    </row>
    <row r="16" spans="1:2" x14ac:dyDescent="0.25">
      <c r="A16" s="30" t="s">
        <v>443</v>
      </c>
      <c r="B16">
        <v>16</v>
      </c>
    </row>
    <row r="17" spans="1:2" x14ac:dyDescent="0.25">
      <c r="A17" s="30" t="s">
        <v>43</v>
      </c>
      <c r="B17">
        <v>18</v>
      </c>
    </row>
    <row r="18" spans="1:2" x14ac:dyDescent="0.25">
      <c r="A18" s="30" t="s">
        <v>640</v>
      </c>
      <c r="B18">
        <v>19</v>
      </c>
    </row>
    <row r="19" spans="1:2" x14ac:dyDescent="0.25">
      <c r="A19" s="30" t="s">
        <v>735</v>
      </c>
      <c r="B19">
        <v>5</v>
      </c>
    </row>
    <row r="20" spans="1:2" x14ac:dyDescent="0.25">
      <c r="A20" s="30" t="s">
        <v>767</v>
      </c>
      <c r="B20">
        <v>8</v>
      </c>
    </row>
    <row r="21" spans="1:2" x14ac:dyDescent="0.25">
      <c r="A21" s="30" t="s">
        <v>816</v>
      </c>
      <c r="B21">
        <v>14</v>
      </c>
    </row>
    <row r="22" spans="1:2" x14ac:dyDescent="0.25">
      <c r="A22" s="30" t="s">
        <v>908</v>
      </c>
      <c r="B22">
        <v>28</v>
      </c>
    </row>
    <row r="23" spans="1:2" x14ac:dyDescent="0.25">
      <c r="A23" s="30" t="s">
        <v>1056</v>
      </c>
      <c r="B23">
        <v>28</v>
      </c>
    </row>
    <row r="24" spans="1:2" x14ac:dyDescent="0.25">
      <c r="A24" s="30" t="s">
        <v>383</v>
      </c>
      <c r="B24">
        <v>10</v>
      </c>
    </row>
    <row r="25" spans="1:2" x14ac:dyDescent="0.25">
      <c r="A25" s="30" t="s">
        <v>992</v>
      </c>
      <c r="B25">
        <v>1</v>
      </c>
    </row>
    <row r="26" spans="1:2" x14ac:dyDescent="0.25">
      <c r="A26" s="30" t="s">
        <v>1457</v>
      </c>
      <c r="B26">
        <v>187</v>
      </c>
    </row>
  </sheetData>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234B4-E47C-48E1-A07F-6AA5F6103D3D}">
  <dimension ref="A1:B45"/>
  <sheetViews>
    <sheetView topLeftCell="A49" workbookViewId="0">
      <selection activeCell="D37" sqref="D37"/>
    </sheetView>
  </sheetViews>
  <sheetFormatPr baseColWidth="10" defaultColWidth="9.140625" defaultRowHeight="15" x14ac:dyDescent="0.25"/>
  <cols>
    <col min="1" max="1" width="20.140625" bestFit="1" customWidth="1"/>
    <col min="2" max="2" width="27" customWidth="1"/>
    <col min="3" max="3" width="8" customWidth="1"/>
    <col min="4" max="4" width="13.5703125" bestFit="1" customWidth="1"/>
    <col min="5" max="5" width="18" bestFit="1" customWidth="1"/>
    <col min="6" max="6" width="17.140625" bestFit="1" customWidth="1"/>
    <col min="7" max="7" width="10" bestFit="1" customWidth="1"/>
    <col min="8" max="8" width="23.140625" bestFit="1" customWidth="1"/>
    <col min="9" max="9" width="13.7109375" bestFit="1" customWidth="1"/>
    <col min="10" max="10" width="31.5703125" bestFit="1" customWidth="1"/>
    <col min="11" max="11" width="23.42578125" bestFit="1" customWidth="1"/>
    <col min="12" max="12" width="12.85546875" bestFit="1" customWidth="1"/>
    <col min="13" max="13" width="19.140625" bestFit="1" customWidth="1"/>
    <col min="14" max="14" width="13.5703125" bestFit="1" customWidth="1"/>
    <col min="15" max="15" width="12.42578125" bestFit="1" customWidth="1"/>
    <col min="16" max="16" width="18" bestFit="1" customWidth="1"/>
    <col min="17" max="17" width="32.5703125" bestFit="1" customWidth="1"/>
    <col min="18" max="18" width="19.140625" bestFit="1" customWidth="1"/>
    <col min="19" max="19" width="11.5703125" bestFit="1" customWidth="1"/>
    <col min="20" max="20" width="20.85546875" bestFit="1" customWidth="1"/>
    <col min="21" max="21" width="21.5703125" bestFit="1" customWidth="1"/>
    <col min="22" max="22" width="12.5703125" bestFit="1" customWidth="1"/>
    <col min="23" max="23" width="18.42578125" bestFit="1" customWidth="1"/>
    <col min="24" max="24" width="7.42578125" bestFit="1" customWidth="1"/>
    <col min="25" max="25" width="4.140625" bestFit="1" customWidth="1"/>
    <col min="26" max="26" width="5.7109375" bestFit="1" customWidth="1"/>
    <col min="27" max="27" width="5.28515625" bestFit="1" customWidth="1"/>
    <col min="28" max="28" width="7.28515625" bestFit="1" customWidth="1"/>
    <col min="29" max="29" width="11.42578125" bestFit="1" customWidth="1"/>
    <col min="30" max="30" width="12" bestFit="1" customWidth="1"/>
    <col min="31" max="31" width="17.140625" bestFit="1" customWidth="1"/>
    <col min="32" max="32" width="11.7109375" bestFit="1" customWidth="1"/>
    <col min="33" max="33" width="10" bestFit="1" customWidth="1"/>
    <col min="34" max="34" width="23.140625" bestFit="1" customWidth="1"/>
    <col min="35" max="35" width="12.42578125" bestFit="1" customWidth="1"/>
    <col min="36" max="36" width="13.7109375" bestFit="1" customWidth="1"/>
    <col min="37" max="37" width="19" bestFit="1" customWidth="1"/>
    <col min="38" max="38" width="31.5703125" bestFit="1" customWidth="1"/>
    <col min="39" max="39" width="17.140625" bestFit="1" customWidth="1"/>
    <col min="40" max="40" width="35" bestFit="1" customWidth="1"/>
    <col min="41" max="41" width="13.5703125" bestFit="1" customWidth="1"/>
    <col min="42" max="42" width="7" bestFit="1" customWidth="1"/>
    <col min="43" max="43" width="20.5703125" bestFit="1" customWidth="1"/>
    <col min="44" max="44" width="18.5703125" bestFit="1" customWidth="1"/>
    <col min="45" max="45" width="19" bestFit="1" customWidth="1"/>
    <col min="46" max="46" width="28.42578125" bestFit="1" customWidth="1"/>
    <col min="47" max="47" width="15.5703125" bestFit="1" customWidth="1"/>
    <col min="48" max="48" width="16.7109375" bestFit="1" customWidth="1"/>
    <col min="49" max="49" width="9.140625" bestFit="1" customWidth="1"/>
    <col min="50" max="50" width="7.28515625" bestFit="1" customWidth="1"/>
    <col min="51" max="51" width="23.42578125" bestFit="1" customWidth="1"/>
    <col min="52" max="52" width="18.85546875" bestFit="1" customWidth="1"/>
    <col min="53" max="54" width="8.5703125" bestFit="1" customWidth="1"/>
    <col min="55" max="55" width="11.140625" bestFit="1" customWidth="1"/>
    <col min="56" max="57" width="12.85546875" bestFit="1" customWidth="1"/>
  </cols>
  <sheetData>
    <row r="1" spans="1:2" x14ac:dyDescent="0.25">
      <c r="A1" s="219" t="s">
        <v>1</v>
      </c>
      <c r="B1" s="30">
        <v>2022</v>
      </c>
    </row>
    <row r="2" spans="1:2" x14ac:dyDescent="0.25">
      <c r="A2" s="219" t="s">
        <v>19</v>
      </c>
      <c r="B2" t="s">
        <v>50</v>
      </c>
    </row>
    <row r="4" spans="1:2" x14ac:dyDescent="0.25">
      <c r="A4" s="219" t="s">
        <v>34</v>
      </c>
      <c r="B4" t="s">
        <v>1463</v>
      </c>
    </row>
    <row r="5" spans="1:2" x14ac:dyDescent="0.25">
      <c r="A5" t="s">
        <v>338</v>
      </c>
      <c r="B5">
        <v>1</v>
      </c>
    </row>
    <row r="6" spans="1:2" x14ac:dyDescent="0.25">
      <c r="A6" t="s">
        <v>441</v>
      </c>
      <c r="B6">
        <v>3</v>
      </c>
    </row>
    <row r="7" spans="1:2" x14ac:dyDescent="0.25">
      <c r="A7" t="s">
        <v>414</v>
      </c>
      <c r="B7">
        <v>1</v>
      </c>
    </row>
    <row r="8" spans="1:2" x14ac:dyDescent="0.25">
      <c r="A8" t="s">
        <v>61</v>
      </c>
      <c r="B8">
        <v>10</v>
      </c>
    </row>
    <row r="9" spans="1:2" x14ac:dyDescent="0.25">
      <c r="A9" t="s">
        <v>514</v>
      </c>
      <c r="B9">
        <v>1</v>
      </c>
    </row>
    <row r="10" spans="1:2" x14ac:dyDescent="0.25">
      <c r="A10" t="s">
        <v>113</v>
      </c>
      <c r="B10">
        <v>3</v>
      </c>
    </row>
    <row r="11" spans="1:2" x14ac:dyDescent="0.25">
      <c r="A11" t="s">
        <v>454</v>
      </c>
      <c r="B11">
        <v>1</v>
      </c>
    </row>
    <row r="12" spans="1:2" x14ac:dyDescent="0.25">
      <c r="A12" t="s">
        <v>369</v>
      </c>
      <c r="B12">
        <v>1</v>
      </c>
    </row>
    <row r="13" spans="1:2" x14ac:dyDescent="0.25">
      <c r="A13" t="s">
        <v>207</v>
      </c>
      <c r="B13">
        <v>1</v>
      </c>
    </row>
    <row r="14" spans="1:2" x14ac:dyDescent="0.25">
      <c r="A14" t="s">
        <v>84</v>
      </c>
      <c r="B14">
        <v>4</v>
      </c>
    </row>
    <row r="15" spans="1:2" x14ac:dyDescent="0.25">
      <c r="A15" t="s">
        <v>129</v>
      </c>
      <c r="B15">
        <v>2</v>
      </c>
    </row>
    <row r="16" spans="1:2" x14ac:dyDescent="0.25">
      <c r="A16" t="s">
        <v>186</v>
      </c>
      <c r="B16">
        <v>1</v>
      </c>
    </row>
    <row r="17" spans="1:2" x14ac:dyDescent="0.25">
      <c r="A17" t="s">
        <v>1457</v>
      </c>
      <c r="B17">
        <v>29</v>
      </c>
    </row>
    <row r="23" spans="1:2" x14ac:dyDescent="0.25">
      <c r="A23" s="219" t="s">
        <v>1</v>
      </c>
      <c r="B23" s="30">
        <v>2022</v>
      </c>
    </row>
    <row r="24" spans="1:2" x14ac:dyDescent="0.25">
      <c r="A24" s="219" t="s">
        <v>19</v>
      </c>
      <c r="B24" t="s">
        <v>75</v>
      </c>
    </row>
    <row r="26" spans="1:2" x14ac:dyDescent="0.25">
      <c r="A26" s="219" t="s">
        <v>34</v>
      </c>
      <c r="B26" t="s">
        <v>1463</v>
      </c>
    </row>
    <row r="27" spans="1:2" x14ac:dyDescent="0.25">
      <c r="A27" t="s">
        <v>338</v>
      </c>
      <c r="B27">
        <v>3</v>
      </c>
    </row>
    <row r="28" spans="1:2" x14ac:dyDescent="0.25">
      <c r="A28" t="s">
        <v>61</v>
      </c>
      <c r="B28">
        <v>3</v>
      </c>
    </row>
    <row r="29" spans="1:2" x14ac:dyDescent="0.25">
      <c r="A29" t="s">
        <v>113</v>
      </c>
      <c r="B29">
        <v>1</v>
      </c>
    </row>
    <row r="30" spans="1:2" x14ac:dyDescent="0.25">
      <c r="A30" t="s">
        <v>454</v>
      </c>
      <c r="B30">
        <v>2</v>
      </c>
    </row>
    <row r="31" spans="1:2" x14ac:dyDescent="0.25">
      <c r="A31" t="s">
        <v>207</v>
      </c>
      <c r="B31">
        <v>2</v>
      </c>
    </row>
    <row r="32" spans="1:2" x14ac:dyDescent="0.25">
      <c r="A32" t="s">
        <v>84</v>
      </c>
      <c r="B32">
        <v>3</v>
      </c>
    </row>
    <row r="33" spans="1:2" x14ac:dyDescent="0.25">
      <c r="A33" t="s">
        <v>1457</v>
      </c>
      <c r="B33">
        <v>14</v>
      </c>
    </row>
    <row r="37" spans="1:2" x14ac:dyDescent="0.25">
      <c r="A37" s="219" t="s">
        <v>1</v>
      </c>
      <c r="B37" s="30">
        <v>2022</v>
      </c>
    </row>
    <row r="38" spans="1:2" x14ac:dyDescent="0.25">
      <c r="A38" s="219" t="s">
        <v>19</v>
      </c>
      <c r="B38" t="s">
        <v>93</v>
      </c>
    </row>
    <row r="40" spans="1:2" x14ac:dyDescent="0.25">
      <c r="A40" s="219" t="s">
        <v>34</v>
      </c>
      <c r="B40" t="s">
        <v>1463</v>
      </c>
    </row>
    <row r="41" spans="1:2" x14ac:dyDescent="0.25">
      <c r="A41" t="s">
        <v>61</v>
      </c>
      <c r="B41">
        <v>4</v>
      </c>
    </row>
    <row r="42" spans="1:2" x14ac:dyDescent="0.25">
      <c r="A42" t="s">
        <v>113</v>
      </c>
      <c r="B42">
        <v>4</v>
      </c>
    </row>
    <row r="43" spans="1:2" x14ac:dyDescent="0.25">
      <c r="A43" t="s">
        <v>207</v>
      </c>
      <c r="B43">
        <v>1</v>
      </c>
    </row>
    <row r="44" spans="1:2" x14ac:dyDescent="0.25">
      <c r="A44" t="s">
        <v>84</v>
      </c>
      <c r="B44">
        <v>1</v>
      </c>
    </row>
    <row r="45" spans="1:2" x14ac:dyDescent="0.25">
      <c r="A45" t="s">
        <v>1457</v>
      </c>
      <c r="B45">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7D3A4-9667-444C-9E94-3BABF739757A}">
  <dimension ref="A1"/>
  <sheetViews>
    <sheetView workbookViewId="0"/>
  </sheetViews>
  <sheetFormatPr baseColWidth="10" defaultColWidth="11.42578125"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4D349-F71A-40BF-9AA2-F474325DD3AA}">
  <dimension ref="A1:C80"/>
  <sheetViews>
    <sheetView topLeftCell="A79" workbookViewId="0">
      <selection activeCell="E98" sqref="E98"/>
    </sheetView>
  </sheetViews>
  <sheetFormatPr baseColWidth="10" defaultColWidth="11.42578125" defaultRowHeight="15" x14ac:dyDescent="0.25"/>
  <cols>
    <col min="1" max="1" width="21.85546875" bestFit="1" customWidth="1"/>
    <col min="2" max="2" width="22.42578125" bestFit="1" customWidth="1"/>
    <col min="3" max="3" width="15.42578125" hidden="1" customWidth="1"/>
    <col min="4" max="4" width="18.5703125" bestFit="1" customWidth="1"/>
    <col min="5" max="5" width="20.42578125" bestFit="1" customWidth="1"/>
    <col min="6" max="6" width="18.5703125" bestFit="1" customWidth="1"/>
    <col min="7" max="7" width="20.85546875" bestFit="1" customWidth="1"/>
    <col min="8" max="8" width="12.5703125" bestFit="1" customWidth="1"/>
    <col min="9" max="13" width="22.42578125" bestFit="1" customWidth="1"/>
    <col min="14" max="14" width="12.5703125" bestFit="1" customWidth="1"/>
    <col min="15" max="15" width="20.42578125" bestFit="1" customWidth="1"/>
    <col min="16" max="16" width="12.5703125" bestFit="1" customWidth="1"/>
    <col min="17" max="61" width="28.42578125" bestFit="1" customWidth="1"/>
    <col min="62" max="62" width="12.5703125" bestFit="1" customWidth="1"/>
  </cols>
  <sheetData>
    <row r="1" spans="1:3" x14ac:dyDescent="0.25">
      <c r="A1" s="219" t="s">
        <v>19</v>
      </c>
      <c r="B1" t="s" vm="1">
        <v>50</v>
      </c>
    </row>
    <row r="3" spans="1:3" x14ac:dyDescent="0.25">
      <c r="A3" s="219" t="s">
        <v>1453</v>
      </c>
      <c r="B3" t="s">
        <v>1464</v>
      </c>
    </row>
    <row r="4" spans="1:3" x14ac:dyDescent="0.25">
      <c r="A4" s="30" t="s">
        <v>135</v>
      </c>
      <c r="B4">
        <v>32</v>
      </c>
    </row>
    <row r="5" spans="1:3" x14ac:dyDescent="0.25">
      <c r="A5" s="30" t="s">
        <v>730</v>
      </c>
      <c r="B5">
        <v>31</v>
      </c>
    </row>
    <row r="6" spans="1:3" x14ac:dyDescent="0.25">
      <c r="A6" s="30" t="s">
        <v>1457</v>
      </c>
      <c r="B6">
        <v>63</v>
      </c>
    </row>
    <row r="8" spans="1:3" x14ac:dyDescent="0.25">
      <c r="A8" s="219" t="s">
        <v>1465</v>
      </c>
      <c r="B8" s="219" t="s">
        <v>1466</v>
      </c>
    </row>
    <row r="9" spans="1:3" x14ac:dyDescent="0.25">
      <c r="A9" s="219" t="s">
        <v>1453</v>
      </c>
      <c r="B9" t="s">
        <v>50</v>
      </c>
      <c r="C9" t="s">
        <v>1457</v>
      </c>
    </row>
    <row r="10" spans="1:3" x14ac:dyDescent="0.25">
      <c r="A10" s="30" t="s">
        <v>135</v>
      </c>
      <c r="B10">
        <v>2</v>
      </c>
      <c r="C10">
        <v>2</v>
      </c>
    </row>
    <row r="11" spans="1:3" x14ac:dyDescent="0.25">
      <c r="A11" s="30" t="s">
        <v>51</v>
      </c>
      <c r="B11">
        <v>6</v>
      </c>
      <c r="C11">
        <v>6</v>
      </c>
    </row>
    <row r="12" spans="1:3" x14ac:dyDescent="0.25">
      <c r="A12" s="30" t="s">
        <v>1457</v>
      </c>
      <c r="B12">
        <v>8</v>
      </c>
      <c r="C12">
        <v>8</v>
      </c>
    </row>
    <row r="16" spans="1:3" x14ac:dyDescent="0.25">
      <c r="A16" s="219" t="s">
        <v>1467</v>
      </c>
      <c r="B16" s="219" t="s">
        <v>1466</v>
      </c>
    </row>
    <row r="17" spans="1:3" x14ac:dyDescent="0.25">
      <c r="A17" s="219" t="s">
        <v>1453</v>
      </c>
      <c r="B17" t="s">
        <v>50</v>
      </c>
      <c r="C17" t="s">
        <v>1457</v>
      </c>
    </row>
    <row r="18" spans="1:3" x14ac:dyDescent="0.25">
      <c r="A18" s="30" t="s">
        <v>228</v>
      </c>
      <c r="B18">
        <v>17</v>
      </c>
      <c r="C18">
        <v>17</v>
      </c>
    </row>
    <row r="19" spans="1:3" x14ac:dyDescent="0.25">
      <c r="A19" s="30" t="s">
        <v>212</v>
      </c>
      <c r="B19">
        <v>17</v>
      </c>
      <c r="C19">
        <v>17</v>
      </c>
    </row>
    <row r="20" spans="1:3" x14ac:dyDescent="0.25">
      <c r="A20" s="30" t="s">
        <v>59</v>
      </c>
      <c r="B20">
        <v>12</v>
      </c>
      <c r="C20">
        <v>12</v>
      </c>
    </row>
    <row r="21" spans="1:3" x14ac:dyDescent="0.25">
      <c r="A21" s="30" t="s">
        <v>522</v>
      </c>
      <c r="B21">
        <v>11</v>
      </c>
      <c r="C21">
        <v>11</v>
      </c>
    </row>
    <row r="22" spans="1:3" x14ac:dyDescent="0.25">
      <c r="A22" s="30" t="s">
        <v>136</v>
      </c>
      <c r="B22">
        <v>6</v>
      </c>
      <c r="C22">
        <v>6</v>
      </c>
    </row>
    <row r="23" spans="1:3" x14ac:dyDescent="0.25">
      <c r="A23" s="30" t="s">
        <v>1457</v>
      </c>
      <c r="B23">
        <v>63</v>
      </c>
      <c r="C23">
        <v>63</v>
      </c>
    </row>
    <row r="25" spans="1:3" x14ac:dyDescent="0.25">
      <c r="A25" s="219" t="s">
        <v>1459</v>
      </c>
      <c r="B25" s="219" t="s">
        <v>1466</v>
      </c>
    </row>
    <row r="26" spans="1:3" x14ac:dyDescent="0.25">
      <c r="A26" s="219" t="s">
        <v>1453</v>
      </c>
      <c r="B26" t="s">
        <v>50</v>
      </c>
      <c r="C26" t="s">
        <v>1457</v>
      </c>
    </row>
    <row r="27" spans="1:3" x14ac:dyDescent="0.25">
      <c r="A27" s="30" t="s">
        <v>237</v>
      </c>
      <c r="B27">
        <v>14</v>
      </c>
      <c r="C27">
        <v>14</v>
      </c>
    </row>
    <row r="28" spans="1:3" x14ac:dyDescent="0.25">
      <c r="A28" s="30" t="s">
        <v>83</v>
      </c>
      <c r="B28">
        <v>9</v>
      </c>
      <c r="C28">
        <v>9</v>
      </c>
    </row>
    <row r="29" spans="1:3" x14ac:dyDescent="0.25">
      <c r="A29" s="30" t="s">
        <v>329</v>
      </c>
      <c r="B29">
        <v>7</v>
      </c>
      <c r="C29">
        <v>7</v>
      </c>
    </row>
    <row r="30" spans="1:3" x14ac:dyDescent="0.25">
      <c r="A30" s="30" t="s">
        <v>128</v>
      </c>
      <c r="B30">
        <v>6</v>
      </c>
      <c r="C30">
        <v>6</v>
      </c>
    </row>
    <row r="31" spans="1:3" x14ac:dyDescent="0.25">
      <c r="A31" s="30" t="s">
        <v>166</v>
      </c>
      <c r="B31">
        <v>4</v>
      </c>
      <c r="C31">
        <v>4</v>
      </c>
    </row>
    <row r="32" spans="1:3" x14ac:dyDescent="0.25">
      <c r="A32" s="30" t="s">
        <v>254</v>
      </c>
      <c r="B32">
        <v>4</v>
      </c>
      <c r="C32">
        <v>4</v>
      </c>
    </row>
    <row r="33" spans="1:3" x14ac:dyDescent="0.25">
      <c r="A33" s="30" t="s">
        <v>147</v>
      </c>
      <c r="B33">
        <v>3</v>
      </c>
      <c r="C33">
        <v>3</v>
      </c>
    </row>
    <row r="34" spans="1:3" x14ac:dyDescent="0.25">
      <c r="A34" s="30" t="s">
        <v>289</v>
      </c>
      <c r="B34">
        <v>3</v>
      </c>
      <c r="C34">
        <v>3</v>
      </c>
    </row>
    <row r="35" spans="1:3" x14ac:dyDescent="0.25">
      <c r="A35" s="30" t="s">
        <v>99</v>
      </c>
      <c r="B35">
        <v>3</v>
      </c>
      <c r="C35">
        <v>3</v>
      </c>
    </row>
    <row r="36" spans="1:3" x14ac:dyDescent="0.25">
      <c r="A36" s="30" t="s">
        <v>319</v>
      </c>
      <c r="B36">
        <v>3</v>
      </c>
      <c r="C36">
        <v>3</v>
      </c>
    </row>
    <row r="37" spans="1:3" x14ac:dyDescent="0.25">
      <c r="A37" s="30" t="s">
        <v>60</v>
      </c>
      <c r="B37">
        <v>3</v>
      </c>
      <c r="C37">
        <v>3</v>
      </c>
    </row>
    <row r="38" spans="1:3" x14ac:dyDescent="0.25">
      <c r="A38" s="30" t="s">
        <v>175</v>
      </c>
      <c r="B38">
        <v>2</v>
      </c>
      <c r="C38">
        <v>2</v>
      </c>
    </row>
    <row r="39" spans="1:3" x14ac:dyDescent="0.25">
      <c r="A39" s="30" t="s">
        <v>213</v>
      </c>
      <c r="B39">
        <v>1</v>
      </c>
      <c r="C39">
        <v>1</v>
      </c>
    </row>
    <row r="40" spans="1:3" x14ac:dyDescent="0.25">
      <c r="A40" s="30" t="s">
        <v>112</v>
      </c>
      <c r="B40">
        <v>1</v>
      </c>
      <c r="C40">
        <v>1</v>
      </c>
    </row>
    <row r="41" spans="1:3" x14ac:dyDescent="0.25">
      <c r="A41" s="30" t="s">
        <v>1457</v>
      </c>
      <c r="B41">
        <v>63</v>
      </c>
      <c r="C41">
        <v>63</v>
      </c>
    </row>
    <row r="43" spans="1:3" x14ac:dyDescent="0.25">
      <c r="A43" s="219" t="s">
        <v>1468</v>
      </c>
      <c r="B43" s="219" t="s">
        <v>1466</v>
      </c>
    </row>
    <row r="44" spans="1:3" x14ac:dyDescent="0.25">
      <c r="A44" s="219" t="s">
        <v>1453</v>
      </c>
      <c r="B44" t="s">
        <v>50</v>
      </c>
      <c r="C44" t="s">
        <v>1457</v>
      </c>
    </row>
    <row r="45" spans="1:3" x14ac:dyDescent="0.25">
      <c r="A45" s="30" t="s">
        <v>61</v>
      </c>
      <c r="B45">
        <v>20</v>
      </c>
      <c r="C45">
        <v>20</v>
      </c>
    </row>
    <row r="46" spans="1:3" x14ac:dyDescent="0.25">
      <c r="A46" s="30" t="s">
        <v>338</v>
      </c>
      <c r="B46">
        <v>9</v>
      </c>
      <c r="C46">
        <v>9</v>
      </c>
    </row>
    <row r="47" spans="1:3" x14ac:dyDescent="0.25">
      <c r="A47" s="30" t="s">
        <v>84</v>
      </c>
      <c r="B47">
        <v>8</v>
      </c>
      <c r="C47">
        <v>8</v>
      </c>
    </row>
    <row r="48" spans="1:3" x14ac:dyDescent="0.25">
      <c r="A48" s="30" t="s">
        <v>113</v>
      </c>
      <c r="B48">
        <v>7</v>
      </c>
      <c r="C48">
        <v>7</v>
      </c>
    </row>
    <row r="49" spans="1:3" x14ac:dyDescent="0.25">
      <c r="A49" s="30" t="s">
        <v>129</v>
      </c>
      <c r="B49">
        <v>5</v>
      </c>
      <c r="C49">
        <v>5</v>
      </c>
    </row>
    <row r="50" spans="1:3" x14ac:dyDescent="0.25">
      <c r="A50" s="30" t="s">
        <v>441</v>
      </c>
      <c r="B50">
        <v>4</v>
      </c>
      <c r="C50">
        <v>4</v>
      </c>
    </row>
    <row r="51" spans="1:3" x14ac:dyDescent="0.25">
      <c r="A51" s="30" t="s">
        <v>207</v>
      </c>
      <c r="B51">
        <v>3</v>
      </c>
      <c r="C51">
        <v>3</v>
      </c>
    </row>
    <row r="52" spans="1:3" x14ac:dyDescent="0.25">
      <c r="A52" s="30" t="s">
        <v>414</v>
      </c>
      <c r="B52">
        <v>2</v>
      </c>
      <c r="C52">
        <v>2</v>
      </c>
    </row>
    <row r="53" spans="1:3" x14ac:dyDescent="0.25">
      <c r="A53" s="30" t="s">
        <v>186</v>
      </c>
      <c r="B53">
        <v>2</v>
      </c>
      <c r="C53">
        <v>2</v>
      </c>
    </row>
    <row r="54" spans="1:3" x14ac:dyDescent="0.25">
      <c r="A54" s="30" t="s">
        <v>454</v>
      </c>
      <c r="B54">
        <v>1</v>
      </c>
      <c r="C54">
        <v>1</v>
      </c>
    </row>
    <row r="55" spans="1:3" x14ac:dyDescent="0.25">
      <c r="A55" s="30" t="s">
        <v>514</v>
      </c>
      <c r="B55">
        <v>1</v>
      </c>
      <c r="C55">
        <v>1</v>
      </c>
    </row>
    <row r="56" spans="1:3" x14ac:dyDescent="0.25">
      <c r="A56" s="30" t="s">
        <v>369</v>
      </c>
      <c r="B56">
        <v>1</v>
      </c>
      <c r="C56">
        <v>1</v>
      </c>
    </row>
    <row r="57" spans="1:3" x14ac:dyDescent="0.25">
      <c r="A57" s="30" t="s">
        <v>1457</v>
      </c>
      <c r="B57">
        <v>63</v>
      </c>
      <c r="C57">
        <v>63</v>
      </c>
    </row>
    <row r="59" spans="1:3" x14ac:dyDescent="0.25">
      <c r="A59" s="219" t="s">
        <v>1469</v>
      </c>
      <c r="B59" s="219" t="s">
        <v>1466</v>
      </c>
    </row>
    <row r="60" spans="1:3" x14ac:dyDescent="0.25">
      <c r="A60" s="219" t="s">
        <v>1453</v>
      </c>
      <c r="B60" t="s">
        <v>50</v>
      </c>
      <c r="C60" t="s">
        <v>1457</v>
      </c>
    </row>
    <row r="61" spans="1:3" x14ac:dyDescent="0.25">
      <c r="A61" s="30" t="s">
        <v>62</v>
      </c>
      <c r="B61">
        <v>38</v>
      </c>
      <c r="C61">
        <v>38</v>
      </c>
    </row>
    <row r="62" spans="1:3" x14ac:dyDescent="0.25">
      <c r="A62" s="30" t="s">
        <v>237</v>
      </c>
      <c r="B62">
        <v>12</v>
      </c>
      <c r="C62">
        <v>12</v>
      </c>
    </row>
    <row r="63" spans="1:3" x14ac:dyDescent="0.25">
      <c r="A63" s="30" t="s">
        <v>100</v>
      </c>
      <c r="B63">
        <v>9</v>
      </c>
      <c r="C63">
        <v>9</v>
      </c>
    </row>
    <row r="64" spans="1:3" x14ac:dyDescent="0.25">
      <c r="A64" s="30" t="s">
        <v>408</v>
      </c>
      <c r="B64">
        <v>3</v>
      </c>
      <c r="C64">
        <v>3</v>
      </c>
    </row>
    <row r="65" spans="1:3" x14ac:dyDescent="0.25">
      <c r="A65" s="30" t="s">
        <v>266</v>
      </c>
      <c r="B65">
        <v>1</v>
      </c>
      <c r="C65">
        <v>1</v>
      </c>
    </row>
    <row r="66" spans="1:3" x14ac:dyDescent="0.25">
      <c r="A66" s="30" t="s">
        <v>1457</v>
      </c>
      <c r="B66">
        <v>63</v>
      </c>
      <c r="C66">
        <v>63</v>
      </c>
    </row>
    <row r="68" spans="1:3" x14ac:dyDescent="0.25">
      <c r="A68" s="219" t="s">
        <v>1470</v>
      </c>
      <c r="B68" s="219" t="s">
        <v>1466</v>
      </c>
    </row>
    <row r="69" spans="1:3" x14ac:dyDescent="0.25">
      <c r="A69" s="219" t="s">
        <v>1453</v>
      </c>
      <c r="B69" t="s">
        <v>50</v>
      </c>
      <c r="C69" t="s">
        <v>1457</v>
      </c>
    </row>
    <row r="70" spans="1:3" x14ac:dyDescent="0.25">
      <c r="A70" s="30" t="s">
        <v>148</v>
      </c>
      <c r="B70">
        <v>18</v>
      </c>
      <c r="C70">
        <v>18</v>
      </c>
    </row>
    <row r="71" spans="1:3" x14ac:dyDescent="0.25">
      <c r="A71" s="30" t="s">
        <v>85</v>
      </c>
      <c r="B71">
        <v>12</v>
      </c>
      <c r="C71">
        <v>12</v>
      </c>
    </row>
    <row r="72" spans="1:3" x14ac:dyDescent="0.25">
      <c r="A72" s="30" t="s">
        <v>63</v>
      </c>
      <c r="B72">
        <v>8</v>
      </c>
      <c r="C72">
        <v>8</v>
      </c>
    </row>
    <row r="73" spans="1:3" x14ac:dyDescent="0.25">
      <c r="A73" s="30" t="s">
        <v>199</v>
      </c>
      <c r="B73">
        <v>7</v>
      </c>
      <c r="C73">
        <v>7</v>
      </c>
    </row>
    <row r="74" spans="1:3" x14ac:dyDescent="0.25">
      <c r="A74" s="30" t="s">
        <v>130</v>
      </c>
      <c r="B74">
        <v>7</v>
      </c>
      <c r="C74">
        <v>7</v>
      </c>
    </row>
    <row r="75" spans="1:3" x14ac:dyDescent="0.25">
      <c r="A75" s="30" t="s">
        <v>237</v>
      </c>
      <c r="B75">
        <v>5</v>
      </c>
      <c r="C75">
        <v>5</v>
      </c>
    </row>
    <row r="76" spans="1:3" x14ac:dyDescent="0.25">
      <c r="A76" s="30" t="s">
        <v>115</v>
      </c>
      <c r="B76">
        <v>3</v>
      </c>
      <c r="C76">
        <v>3</v>
      </c>
    </row>
    <row r="77" spans="1:3" x14ac:dyDescent="0.25">
      <c r="A77" s="30" t="s">
        <v>156</v>
      </c>
      <c r="B77">
        <v>1</v>
      </c>
      <c r="C77">
        <v>1</v>
      </c>
    </row>
    <row r="78" spans="1:3" x14ac:dyDescent="0.25">
      <c r="A78" s="30" t="s">
        <v>177</v>
      </c>
      <c r="B78">
        <v>1</v>
      </c>
      <c r="C78">
        <v>1</v>
      </c>
    </row>
    <row r="79" spans="1:3" x14ac:dyDescent="0.25">
      <c r="A79" s="30" t="s">
        <v>418</v>
      </c>
      <c r="B79">
        <v>1</v>
      </c>
      <c r="C79">
        <v>1</v>
      </c>
    </row>
    <row r="80" spans="1:3" x14ac:dyDescent="0.25">
      <c r="A80" s="30" t="s">
        <v>1457</v>
      </c>
      <c r="B80">
        <v>63</v>
      </c>
      <c r="C80">
        <v>63</v>
      </c>
    </row>
  </sheetData>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Consolidado Accidentes</vt:lpstr>
      <vt:lpstr>Consolidado Emergencia</vt:lpstr>
      <vt:lpstr>Datos Total</vt:lpstr>
      <vt:lpstr>Gráficos</vt:lpstr>
      <vt:lpstr>Grafica Sup.</vt:lpstr>
      <vt:lpstr>Hoja1</vt:lpstr>
      <vt:lpstr>Hoja2</vt:lpstr>
      <vt:lpstr>Hoja3</vt:lpstr>
      <vt:lpstr>Hoja5</vt:lpstr>
      <vt:lpstr>EST. TPO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cretamal</dc:creator>
  <cp:keywords/>
  <dc:description/>
  <cp:lastModifiedBy>Alan Ramon Carrasco Flores</cp:lastModifiedBy>
  <cp:revision/>
  <dcterms:created xsi:type="dcterms:W3CDTF">2016-01-04T16:31:25Z</dcterms:created>
  <dcterms:modified xsi:type="dcterms:W3CDTF">2024-02-27T16:35:43Z</dcterms:modified>
  <cp:category/>
  <cp:contentStatus/>
</cp:coreProperties>
</file>